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6848E944-413F-41AE-B874-EE20DD32DD57}" xr6:coauthVersionLast="47" xr6:coauthVersionMax="47" xr10:uidLastSave="{00000000-0000-0000-0000-000000000000}"/>
  <bookViews>
    <workbookView xWindow="-93" yWindow="-93" windowWidth="20186" windowHeight="12920" activeTab="3" xr2:uid="{00000000-000D-0000-FFFF-FFFF00000000}"/>
  </bookViews>
  <sheets>
    <sheet name="Table S1A" sheetId="1" r:id="rId1"/>
    <sheet name="Table S1B" sheetId="2" r:id="rId2"/>
    <sheet name="Table S1C" sheetId="3" r:id="rId3"/>
    <sheet name="Table S1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3" l="1"/>
  <c r="G5" i="3"/>
  <c r="G4" i="3"/>
  <c r="L28" i="1" l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14" i="1"/>
  <c r="E5" i="4"/>
  <c r="K19" i="4"/>
  <c r="K20" i="4"/>
  <c r="I20" i="4"/>
  <c r="I19" i="4"/>
  <c r="E20" i="4"/>
  <c r="E19" i="4"/>
  <c r="K25" i="4"/>
  <c r="K26" i="4"/>
  <c r="I26" i="4"/>
  <c r="I25" i="4"/>
  <c r="E26" i="4"/>
  <c r="E25" i="4"/>
  <c r="I22" i="4"/>
  <c r="I23" i="4"/>
  <c r="I24" i="4"/>
  <c r="I21" i="4"/>
  <c r="K22" i="4"/>
  <c r="K23" i="4"/>
  <c r="K24" i="4"/>
  <c r="K21" i="4"/>
  <c r="E22" i="4"/>
  <c r="E21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4" i="4"/>
  <c r="E18" i="4"/>
  <c r="E17" i="4"/>
  <c r="E16" i="4"/>
  <c r="E15" i="4"/>
  <c r="E14" i="4"/>
  <c r="E13" i="4"/>
  <c r="E4" i="4"/>
  <c r="E12" i="4"/>
  <c r="E11" i="4"/>
  <c r="E9" i="4"/>
  <c r="E8" i="4"/>
  <c r="E10" i="4"/>
  <c r="E6" i="4"/>
  <c r="E7" i="4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K29" i="3"/>
  <c r="K27" i="3"/>
  <c r="G27" i="3"/>
  <c r="F27" i="3"/>
  <c r="G28" i="3"/>
  <c r="F28" i="3"/>
  <c r="G29" i="3"/>
  <c r="F29" i="3"/>
  <c r="H29" i="3"/>
  <c r="H28" i="3"/>
  <c r="K28" i="3" s="1"/>
  <c r="H27" i="3"/>
  <c r="G24" i="3"/>
  <c r="F24" i="3"/>
  <c r="G25" i="3"/>
  <c r="F25" i="3"/>
  <c r="G26" i="3"/>
  <c r="F26" i="3"/>
  <c r="H26" i="3"/>
  <c r="K26" i="3" s="1"/>
  <c r="H25" i="3"/>
  <c r="K25" i="3" s="1"/>
  <c r="H24" i="3"/>
  <c r="K24" i="3" s="1"/>
  <c r="K23" i="3"/>
  <c r="G23" i="3"/>
  <c r="F23" i="3"/>
  <c r="H23" i="3"/>
  <c r="G22" i="3"/>
  <c r="F22" i="3"/>
  <c r="H22" i="3"/>
  <c r="K22" i="3" s="1"/>
  <c r="G21" i="3"/>
  <c r="F21" i="3"/>
  <c r="H21" i="3"/>
  <c r="K21" i="3" s="1"/>
  <c r="H20" i="3"/>
  <c r="K20" i="3" s="1"/>
  <c r="H19" i="3"/>
  <c r="K19" i="3" s="1"/>
  <c r="G20" i="3"/>
  <c r="F20" i="3"/>
  <c r="G19" i="3"/>
  <c r="F19" i="3"/>
  <c r="H16" i="3"/>
  <c r="K16" i="3" s="1"/>
  <c r="K17" i="3"/>
  <c r="K18" i="3"/>
  <c r="G18" i="3"/>
  <c r="F18" i="3"/>
  <c r="H18" i="3"/>
  <c r="G17" i="3"/>
  <c r="F17" i="3"/>
  <c r="H17" i="3"/>
  <c r="G16" i="3"/>
  <c r="F16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K7" i="3"/>
  <c r="K8" i="3"/>
  <c r="K13" i="3"/>
  <c r="K14" i="3"/>
  <c r="K15" i="3"/>
  <c r="J15" i="3"/>
  <c r="J14" i="3"/>
  <c r="J13" i="3"/>
  <c r="J12" i="3"/>
  <c r="J11" i="3"/>
  <c r="J10" i="3"/>
  <c r="J9" i="3"/>
  <c r="J8" i="3"/>
  <c r="J7" i="3"/>
  <c r="G15" i="3"/>
  <c r="F15" i="3"/>
  <c r="H15" i="3"/>
  <c r="G14" i="3"/>
  <c r="F14" i="3"/>
  <c r="H14" i="3"/>
  <c r="G13" i="3"/>
  <c r="F13" i="3"/>
  <c r="H13" i="3"/>
  <c r="G12" i="3"/>
  <c r="F12" i="3"/>
  <c r="H12" i="3"/>
  <c r="K12" i="3" s="1"/>
  <c r="G11" i="3"/>
  <c r="F11" i="3"/>
  <c r="H11" i="3"/>
  <c r="K11" i="3" s="1"/>
  <c r="G10" i="3"/>
  <c r="F10" i="3"/>
  <c r="H10" i="3"/>
  <c r="K10" i="3" s="1"/>
  <c r="G9" i="3"/>
  <c r="F9" i="3"/>
  <c r="H9" i="3"/>
  <c r="K9" i="3" s="1"/>
  <c r="G8" i="3"/>
  <c r="F8" i="3"/>
  <c r="H8" i="3"/>
  <c r="H7" i="3"/>
  <c r="G7" i="3"/>
  <c r="F7" i="3"/>
  <c r="E15" i="3"/>
  <c r="E14" i="3"/>
  <c r="E13" i="3"/>
  <c r="E12" i="3"/>
  <c r="E11" i="3"/>
  <c r="E10" i="3"/>
  <c r="E9" i="3"/>
  <c r="E8" i="3"/>
  <c r="E7" i="3"/>
  <c r="D23" i="2"/>
  <c r="D20" i="2"/>
  <c r="D22" i="2"/>
  <c r="D21" i="2"/>
  <c r="D19" i="2"/>
  <c r="D18" i="2"/>
  <c r="D17" i="2"/>
  <c r="D16" i="2"/>
  <c r="F23" i="2"/>
  <c r="E23" i="2"/>
  <c r="F22" i="2"/>
  <c r="E22" i="2"/>
  <c r="F21" i="2"/>
  <c r="E21" i="2"/>
  <c r="F20" i="2"/>
  <c r="E20" i="2"/>
  <c r="F19" i="2"/>
  <c r="E19" i="2"/>
  <c r="E17" i="2"/>
  <c r="F16" i="2"/>
  <c r="F18" i="2"/>
  <c r="E18" i="2"/>
  <c r="F17" i="2"/>
  <c r="E16" i="2"/>
  <c r="F15" i="2"/>
  <c r="E15" i="2"/>
  <c r="F14" i="2"/>
  <c r="E14" i="2"/>
  <c r="F13" i="2"/>
  <c r="E13" i="2"/>
  <c r="D15" i="2"/>
  <c r="D14" i="2"/>
  <c r="D13" i="2"/>
  <c r="E12" i="2"/>
  <c r="F12" i="2"/>
  <c r="E11" i="2"/>
  <c r="F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L12" i="1"/>
  <c r="L13" i="1"/>
  <c r="J12" i="1"/>
  <c r="J13" i="1"/>
  <c r="J11" i="1"/>
  <c r="J10" i="1"/>
  <c r="L92" i="1"/>
  <c r="J92" i="1"/>
  <c r="L91" i="1"/>
  <c r="J91" i="1"/>
  <c r="L90" i="1"/>
  <c r="J90" i="1"/>
  <c r="L89" i="1"/>
  <c r="J89" i="1"/>
  <c r="L88" i="1"/>
  <c r="J88" i="1"/>
  <c r="L87" i="1"/>
  <c r="J87" i="1"/>
  <c r="L86" i="1"/>
  <c r="J86" i="1"/>
  <c r="L85" i="1"/>
  <c r="J85" i="1"/>
  <c r="L84" i="1"/>
  <c r="J84" i="1"/>
  <c r="L83" i="1"/>
  <c r="J83" i="1"/>
  <c r="L82" i="1"/>
  <c r="J82" i="1"/>
  <c r="L81" i="1"/>
  <c r="J81" i="1"/>
  <c r="L80" i="1"/>
  <c r="J80" i="1"/>
  <c r="L79" i="1"/>
  <c r="J79" i="1"/>
  <c r="L78" i="1"/>
  <c r="J78" i="1"/>
  <c r="L77" i="1"/>
  <c r="J77" i="1"/>
  <c r="L76" i="1"/>
  <c r="J76" i="1"/>
  <c r="L75" i="1"/>
  <c r="J75" i="1"/>
  <c r="L74" i="1"/>
  <c r="J74" i="1"/>
  <c r="L73" i="1"/>
  <c r="J73" i="1"/>
  <c r="L72" i="1"/>
  <c r="J72" i="1"/>
  <c r="L71" i="1"/>
  <c r="J71" i="1"/>
  <c r="L70" i="1"/>
  <c r="J70" i="1"/>
  <c r="L69" i="1"/>
  <c r="J69" i="1"/>
  <c r="L68" i="1"/>
  <c r="J68" i="1"/>
  <c r="L67" i="1"/>
  <c r="J67" i="1"/>
  <c r="L66" i="1"/>
  <c r="J66" i="1"/>
  <c r="L65" i="1"/>
  <c r="J65" i="1"/>
  <c r="L64" i="1"/>
  <c r="J64" i="1"/>
  <c r="L63" i="1"/>
  <c r="J63" i="1"/>
  <c r="L62" i="1"/>
  <c r="J62" i="1"/>
  <c r="L61" i="1"/>
  <c r="J61" i="1"/>
  <c r="L60" i="1"/>
  <c r="J60" i="1"/>
  <c r="L59" i="1"/>
  <c r="J59" i="1"/>
  <c r="L58" i="1"/>
  <c r="J58" i="1"/>
  <c r="L57" i="1"/>
  <c r="J57" i="1"/>
  <c r="L56" i="1"/>
  <c r="J56" i="1"/>
  <c r="L55" i="1"/>
  <c r="J55" i="1"/>
  <c r="L54" i="1"/>
  <c r="J54" i="1"/>
  <c r="L53" i="1"/>
  <c r="J53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11" i="1"/>
  <c r="L10" i="1"/>
  <c r="L9" i="1"/>
  <c r="J9" i="1"/>
  <c r="L8" i="1"/>
  <c r="J8" i="1"/>
  <c r="L7" i="1"/>
  <c r="J7" i="1"/>
  <c r="L6" i="1"/>
  <c r="J6" i="1"/>
  <c r="L5" i="1"/>
  <c r="J5" i="1"/>
  <c r="L4" i="1"/>
  <c r="J4" i="1"/>
</calcChain>
</file>

<file path=xl/sharedStrings.xml><?xml version="1.0" encoding="utf-8"?>
<sst xmlns="http://schemas.openxmlformats.org/spreadsheetml/2006/main" count="738" uniqueCount="301">
  <si>
    <t>Unique ID</t>
  </si>
  <si>
    <t>Tissue</t>
  </si>
  <si>
    <t>Species</t>
  </si>
  <si>
    <t>Assembly</t>
  </si>
  <si>
    <t xml:space="preserve">Seuqnced Reads </t>
    <phoneticPr fontId="2" type="noConversion"/>
  </si>
  <si>
    <t xml:space="preserve">Mapped Reads </t>
    <phoneticPr fontId="2" type="noConversion"/>
  </si>
  <si>
    <t>Quality Mapped Reads</t>
    <phoneticPr fontId="2" type="noConversion"/>
  </si>
  <si>
    <t>% Quality</t>
    <phoneticPr fontId="2" type="noConversion"/>
  </si>
  <si>
    <t>Quality Reads After Removing Duplicates</t>
    <phoneticPr fontId="2" type="noConversion"/>
  </si>
  <si>
    <t>Relative Strand Correlation (RSC)</t>
  </si>
  <si>
    <t>Public data accession</t>
  </si>
  <si>
    <t>Liver</t>
    <phoneticPr fontId="2" type="noConversion"/>
  </si>
  <si>
    <t>Cattle</t>
    <phoneticPr fontId="2" type="noConversion"/>
  </si>
  <si>
    <t>ARS-UCD1.2</t>
    <phoneticPr fontId="2" type="noConversion"/>
  </si>
  <si>
    <t>NA</t>
    <phoneticPr fontId="2" type="noConversion"/>
  </si>
  <si>
    <t>Sheep</t>
    <phoneticPr fontId="2" type="noConversion"/>
  </si>
  <si>
    <t>Oar_rambouillet_v1.0</t>
    <phoneticPr fontId="2" type="noConversion"/>
  </si>
  <si>
    <t>Goat</t>
    <phoneticPr fontId="2" type="noConversion"/>
  </si>
  <si>
    <t>ARS1</t>
    <phoneticPr fontId="2" type="noConversion"/>
  </si>
  <si>
    <t>Pig</t>
    <phoneticPr fontId="2" type="noConversion"/>
  </si>
  <si>
    <t>Sscrofa11.1</t>
    <phoneticPr fontId="2" type="noConversion"/>
  </si>
  <si>
    <t>ERR2731951</t>
  </si>
  <si>
    <t>ERR2731964</t>
  </si>
  <si>
    <t>ERR2731921</t>
  </si>
  <si>
    <t>ERR2731946</t>
  </si>
  <si>
    <t>ERR2731957</t>
  </si>
  <si>
    <t>ERR2731927</t>
  </si>
  <si>
    <t>ERR2731950</t>
  </si>
  <si>
    <t>ERR2731961</t>
  </si>
  <si>
    <t>Mouse</t>
    <phoneticPr fontId="2" type="noConversion"/>
  </si>
  <si>
    <t>GRCh38.p13</t>
    <phoneticPr fontId="2" type="noConversion"/>
  </si>
  <si>
    <t>ERR2731755</t>
  </si>
  <si>
    <t>ERR2731787</t>
  </si>
  <si>
    <t>ERR2731800</t>
  </si>
  <si>
    <t>ERR2731758</t>
  </si>
  <si>
    <t>ERR2731789</t>
  </si>
  <si>
    <t>ERR2731804</t>
  </si>
  <si>
    <t>ERR2731762</t>
  </si>
  <si>
    <t>ERR2731791</t>
  </si>
  <si>
    <t>ERR2731806</t>
  </si>
  <si>
    <t>ERR2731757</t>
  </si>
  <si>
    <t>ERR2731786</t>
  </si>
  <si>
    <t>ERR2731802</t>
  </si>
  <si>
    <t>Human</t>
    <phoneticPr fontId="2" type="noConversion"/>
  </si>
  <si>
    <t>GRCm39</t>
    <phoneticPr fontId="2" type="noConversion"/>
  </si>
  <si>
    <t>ERR572148</t>
  </si>
  <si>
    <t>ERR572159</t>
    <phoneticPr fontId="2" type="noConversion"/>
  </si>
  <si>
    <t>ERR572219</t>
  </si>
  <si>
    <t>ERR572241</t>
  </si>
  <si>
    <t>ERR572248</t>
    <phoneticPr fontId="2" type="noConversion"/>
  </si>
  <si>
    <t>ERR572295</t>
  </si>
  <si>
    <t>ERR572285</t>
  </si>
  <si>
    <t>ERR572284</t>
    <phoneticPr fontId="2" type="noConversion"/>
  </si>
  <si>
    <t>ERR572249</t>
  </si>
  <si>
    <t>ERR572151</t>
  </si>
  <si>
    <t>ERR572270</t>
    <phoneticPr fontId="2" type="noConversion"/>
  </si>
  <si>
    <t>ERR572195</t>
  </si>
  <si>
    <t xml:space="preserve">Normalized strand correlation (NSC) </t>
    <phoneticPr fontId="2" type="noConversion"/>
  </si>
  <si>
    <t>Table S1A Sequencing and mapping statistics of ChIP-seq</t>
    <phoneticPr fontId="2" type="noConversion"/>
  </si>
  <si>
    <t>Library Layout</t>
    <phoneticPr fontId="2" type="noConversion"/>
  </si>
  <si>
    <t>PAIR</t>
    <phoneticPr fontId="2" type="noConversion"/>
  </si>
  <si>
    <t>SINGLE</t>
    <phoneticPr fontId="2" type="noConversion"/>
  </si>
  <si>
    <t>This study</t>
    <phoneticPr fontId="2" type="noConversion"/>
  </si>
  <si>
    <t>ERR572283</t>
  </si>
  <si>
    <t>Table S1B Sequencing and mapping statistics of RNA-seq</t>
    <phoneticPr fontId="2" type="noConversion"/>
  </si>
  <si>
    <t>Species</t>
    <phoneticPr fontId="2" type="noConversion"/>
  </si>
  <si>
    <t xml:space="preserve">raw reads </t>
  </si>
  <si>
    <t>clean reads</t>
  </si>
  <si>
    <t>Uniquely mapped
reads</t>
    <phoneticPr fontId="2" type="noConversion"/>
  </si>
  <si>
    <t>Cattle</t>
  </si>
  <si>
    <t>Sheep</t>
  </si>
  <si>
    <t>Goat</t>
  </si>
  <si>
    <t>Pig</t>
  </si>
  <si>
    <t>Human</t>
  </si>
  <si>
    <t>Mouse</t>
  </si>
  <si>
    <t>%Mapped Reads</t>
    <phoneticPr fontId="2" type="noConversion"/>
  </si>
  <si>
    <t>% Uniquely mapped rate</t>
    <phoneticPr fontId="2" type="noConversion"/>
  </si>
  <si>
    <t>ERR2731928</t>
    <phoneticPr fontId="2" type="noConversion"/>
  </si>
  <si>
    <t>ERR1138635</t>
  </si>
  <si>
    <t>ERR1138636</t>
  </si>
  <si>
    <t>ERR1138637</t>
  </si>
  <si>
    <t>ERR1331693</t>
  </si>
  <si>
    <t>ERR3417918</t>
  </si>
  <si>
    <t>ERR3417924</t>
    <phoneticPr fontId="2" type="noConversion"/>
  </si>
  <si>
    <t>ERR3417937</t>
    <phoneticPr fontId="2" type="noConversion"/>
  </si>
  <si>
    <t>ERR3417963</t>
  </si>
  <si>
    <t>ERR3417995</t>
  </si>
  <si>
    <t>ERR3418003</t>
  </si>
  <si>
    <t>ERR3415745</t>
  </si>
  <si>
    <t xml:space="preserve">Raw reads </t>
  </si>
  <si>
    <t xml:space="preserve">Clean reads </t>
  </si>
  <si>
    <t>Unique mapped reads</t>
  </si>
  <si>
    <t>Mapping rate (%)</t>
  </si>
  <si>
    <t>Bs conservation rate (%)</t>
  </si>
  <si>
    <t>Genomic coverage</t>
  </si>
  <si>
    <t>Unique ID</t>
    <phoneticPr fontId="2" type="noConversion"/>
  </si>
  <si>
    <t>C_R1</t>
    <phoneticPr fontId="2" type="noConversion"/>
  </si>
  <si>
    <t>C_R2</t>
  </si>
  <si>
    <t>C_R3</t>
  </si>
  <si>
    <t>S_R1</t>
    <phoneticPr fontId="2" type="noConversion"/>
  </si>
  <si>
    <t>S_R2</t>
  </si>
  <si>
    <t>S_R3</t>
  </si>
  <si>
    <t>G_R1</t>
    <phoneticPr fontId="2" type="noConversion"/>
  </si>
  <si>
    <t>G_R2</t>
  </si>
  <si>
    <t>G_R3</t>
  </si>
  <si>
    <t>P_R1</t>
    <phoneticPr fontId="2" type="noConversion"/>
  </si>
  <si>
    <t>P_R2</t>
  </si>
  <si>
    <t>P_R3</t>
  </si>
  <si>
    <t>H_R1</t>
    <phoneticPr fontId="2" type="noConversion"/>
  </si>
  <si>
    <t>H_R2</t>
  </si>
  <si>
    <t>H_R3</t>
  </si>
  <si>
    <t>H_R4</t>
  </si>
  <si>
    <t>M_R1</t>
    <phoneticPr fontId="2" type="noConversion"/>
  </si>
  <si>
    <t>M_R2</t>
  </si>
  <si>
    <t>M_R3</t>
  </si>
  <si>
    <t>M_R4</t>
  </si>
  <si>
    <t>Table S1C Sequencing and mapping statistics of WGBS</t>
    <phoneticPr fontId="2" type="noConversion"/>
  </si>
  <si>
    <t>Table S1D Sequencing and mapping statistics of ATAC-seq</t>
    <phoneticPr fontId="2" type="noConversion"/>
  </si>
  <si>
    <t>C_A1</t>
    <phoneticPr fontId="2" type="noConversion"/>
  </si>
  <si>
    <t>C_A2</t>
  </si>
  <si>
    <t>G_A1</t>
    <phoneticPr fontId="2" type="noConversion"/>
  </si>
  <si>
    <t>G_A2</t>
  </si>
  <si>
    <t>P_A1</t>
    <phoneticPr fontId="2" type="noConversion"/>
  </si>
  <si>
    <t>P_A2</t>
    <phoneticPr fontId="2" type="noConversion"/>
  </si>
  <si>
    <t>H_A1</t>
    <phoneticPr fontId="2" type="noConversion"/>
  </si>
  <si>
    <t>H_A2</t>
    <phoneticPr fontId="2" type="noConversion"/>
  </si>
  <si>
    <t>M_A1</t>
    <phoneticPr fontId="2" type="noConversion"/>
  </si>
  <si>
    <t>M_A2</t>
    <phoneticPr fontId="2" type="noConversion"/>
  </si>
  <si>
    <t>C_M1</t>
    <phoneticPr fontId="2" type="noConversion"/>
  </si>
  <si>
    <t>C_M2</t>
    <phoneticPr fontId="2" type="noConversion"/>
  </si>
  <si>
    <t>S_M1</t>
    <phoneticPr fontId="2" type="noConversion"/>
  </si>
  <si>
    <t>S_M2</t>
  </si>
  <si>
    <t>S_M3</t>
  </si>
  <si>
    <t>G_M1</t>
    <phoneticPr fontId="2" type="noConversion"/>
  </si>
  <si>
    <t>G_M2</t>
  </si>
  <si>
    <t>G_M3</t>
  </si>
  <si>
    <t>P_M1</t>
    <phoneticPr fontId="2" type="noConversion"/>
  </si>
  <si>
    <t>P_M2</t>
  </si>
  <si>
    <t>H_M1</t>
    <phoneticPr fontId="2" type="noConversion"/>
  </si>
  <si>
    <t>H_M2</t>
  </si>
  <si>
    <t>H_M3</t>
  </si>
  <si>
    <t>M_M1</t>
    <phoneticPr fontId="2" type="noConversion"/>
  </si>
  <si>
    <t>M_M2</t>
  </si>
  <si>
    <t>M_M3</t>
  </si>
  <si>
    <t>Tissue</t>
    <phoneticPr fontId="2" type="noConversion"/>
  </si>
  <si>
    <t>Adipose</t>
    <phoneticPr fontId="2" type="noConversion"/>
  </si>
  <si>
    <t>Cortex</t>
  </si>
  <si>
    <t>Cortex</t>
    <phoneticPr fontId="2" type="noConversion"/>
  </si>
  <si>
    <t>Lung</t>
  </si>
  <si>
    <t>Lung</t>
    <phoneticPr fontId="2" type="noConversion"/>
  </si>
  <si>
    <t>Muscle</t>
  </si>
  <si>
    <t>Muscle</t>
    <phoneticPr fontId="2" type="noConversion"/>
  </si>
  <si>
    <t>Spleen</t>
  </si>
  <si>
    <t>Spleen</t>
    <phoneticPr fontId="2" type="noConversion"/>
  </si>
  <si>
    <t>Deduplicate reads</t>
    <phoneticPr fontId="2" type="noConversion"/>
  </si>
  <si>
    <t>C_M1A</t>
    <phoneticPr fontId="2" type="noConversion"/>
  </si>
  <si>
    <t>C_M2A</t>
  </si>
  <si>
    <t>C_M1C</t>
    <phoneticPr fontId="2" type="noConversion"/>
  </si>
  <si>
    <t>C_M2C</t>
  </si>
  <si>
    <t>C_M1L</t>
    <phoneticPr fontId="2" type="noConversion"/>
  </si>
  <si>
    <t>C_M2L</t>
    <phoneticPr fontId="2" type="noConversion"/>
  </si>
  <si>
    <t>C_M1M</t>
    <phoneticPr fontId="2" type="noConversion"/>
  </si>
  <si>
    <t>C_M2M</t>
    <phoneticPr fontId="2" type="noConversion"/>
  </si>
  <si>
    <t>C_M1S</t>
    <phoneticPr fontId="2" type="noConversion"/>
  </si>
  <si>
    <t>PRJNA287622</t>
    <phoneticPr fontId="2" type="noConversion"/>
  </si>
  <si>
    <t>PRJNA357500</t>
    <phoneticPr fontId="2" type="noConversion"/>
  </si>
  <si>
    <t>PRJNA417285</t>
    <phoneticPr fontId="2" type="noConversion"/>
  </si>
  <si>
    <t>PRJNA612978</t>
    <phoneticPr fontId="2" type="noConversion"/>
  </si>
  <si>
    <t>C_A1A</t>
    <phoneticPr fontId="2" type="noConversion"/>
  </si>
  <si>
    <t>C_A2A</t>
  </si>
  <si>
    <t>C_A1Co</t>
    <phoneticPr fontId="2" type="noConversion"/>
  </si>
  <si>
    <t>C_A2Co</t>
    <phoneticPr fontId="2" type="noConversion"/>
  </si>
  <si>
    <t>C_A2H</t>
    <phoneticPr fontId="2" type="noConversion"/>
  </si>
  <si>
    <t>C_A2L</t>
    <phoneticPr fontId="2" type="noConversion"/>
  </si>
  <si>
    <t>C_A1Ce</t>
    <phoneticPr fontId="2" type="noConversion"/>
  </si>
  <si>
    <t>C_A1H</t>
    <phoneticPr fontId="2" type="noConversion"/>
  </si>
  <si>
    <t>C_A1L</t>
    <phoneticPr fontId="2" type="noConversion"/>
  </si>
  <si>
    <t>C_A1M</t>
    <phoneticPr fontId="2" type="noConversion"/>
  </si>
  <si>
    <t>C_A2M</t>
    <phoneticPr fontId="2" type="noConversion"/>
  </si>
  <si>
    <t>C_A1S</t>
    <phoneticPr fontId="2" type="noConversion"/>
  </si>
  <si>
    <t>C_A2S</t>
    <phoneticPr fontId="2" type="noConversion"/>
  </si>
  <si>
    <t>Cerebellum</t>
  </si>
  <si>
    <t>Hypothalamus</t>
  </si>
  <si>
    <t>SRR12697152</t>
  </si>
  <si>
    <t>SRR12697153</t>
  </si>
  <si>
    <t>SRR12697159</t>
    <phoneticPr fontId="2" type="noConversion"/>
  </si>
  <si>
    <t>SRR12697160</t>
    <phoneticPr fontId="2" type="noConversion"/>
  </si>
  <si>
    <t>SRR12697156</t>
    <phoneticPr fontId="2" type="noConversion"/>
  </si>
  <si>
    <t>SRR12697167</t>
    <phoneticPr fontId="2" type="noConversion"/>
  </si>
  <si>
    <t>SRR12697168</t>
    <phoneticPr fontId="2" type="noConversion"/>
  </si>
  <si>
    <t>SRR12697163</t>
    <phoneticPr fontId="2" type="noConversion"/>
  </si>
  <si>
    <t>SRR12697164</t>
    <phoneticPr fontId="2" type="noConversion"/>
  </si>
  <si>
    <t>SRR12697171</t>
    <phoneticPr fontId="2" type="noConversion"/>
  </si>
  <si>
    <t>SRR12697172</t>
    <phoneticPr fontId="2" type="noConversion"/>
  </si>
  <si>
    <t>SRR12697175</t>
    <phoneticPr fontId="2" type="noConversion"/>
  </si>
  <si>
    <t>SRR12697176</t>
    <phoneticPr fontId="2" type="noConversion"/>
  </si>
  <si>
    <t>SRR12697179</t>
    <phoneticPr fontId="2" type="noConversion"/>
  </si>
  <si>
    <t>SRR12697180</t>
    <phoneticPr fontId="2" type="noConversion"/>
  </si>
  <si>
    <t>PRJNA692238</t>
    <phoneticPr fontId="2" type="noConversion"/>
  </si>
  <si>
    <t>PRJNA644146</t>
    <phoneticPr fontId="2" type="noConversion"/>
  </si>
  <si>
    <t>PRJEB27111</t>
    <phoneticPr fontId="2" type="noConversion"/>
  </si>
  <si>
    <t>SRR12697169</t>
  </si>
  <si>
    <t>SRR12697170</t>
    <phoneticPr fontId="2" type="noConversion"/>
  </si>
  <si>
    <t>% Deduplicate Removed</t>
    <phoneticPr fontId="2" type="noConversion"/>
  </si>
  <si>
    <t>Hypothalamus</t>
    <phoneticPr fontId="2" type="noConversion"/>
  </si>
  <si>
    <t>Cerebellum</t>
    <phoneticPr fontId="2" type="noConversion"/>
  </si>
  <si>
    <t>PRJNA665199</t>
    <phoneticPr fontId="2" type="noConversion"/>
  </si>
  <si>
    <t>PRJNA665216</t>
    <phoneticPr fontId="2" type="noConversion"/>
  </si>
  <si>
    <t>C1_input</t>
    <phoneticPr fontId="2" type="noConversion"/>
  </si>
  <si>
    <t>C1_H3K4me3</t>
    <phoneticPr fontId="2" type="noConversion"/>
  </si>
  <si>
    <t>C2_H3K27ac</t>
    <phoneticPr fontId="2" type="noConversion"/>
  </si>
  <si>
    <t>C2_H3K4me3</t>
    <phoneticPr fontId="2" type="noConversion"/>
  </si>
  <si>
    <t>C2_input</t>
    <phoneticPr fontId="2" type="noConversion"/>
  </si>
  <si>
    <t>C3_H3K27ac</t>
    <phoneticPr fontId="2" type="noConversion"/>
  </si>
  <si>
    <t>C3_H3K4me3</t>
    <phoneticPr fontId="2" type="noConversion"/>
  </si>
  <si>
    <t>C3_input</t>
    <phoneticPr fontId="2" type="noConversion"/>
  </si>
  <si>
    <t>C4_H3K27ac</t>
    <phoneticPr fontId="2" type="noConversion"/>
  </si>
  <si>
    <t>C4_input</t>
    <phoneticPr fontId="2" type="noConversion"/>
  </si>
  <si>
    <t>C1A_H3K27ac</t>
    <phoneticPr fontId="2" type="noConversion"/>
  </si>
  <si>
    <t>C2A_H3K27ac</t>
    <phoneticPr fontId="2" type="noConversion"/>
  </si>
  <si>
    <t>C1Ce_H3K27ac</t>
    <phoneticPr fontId="2" type="noConversion"/>
  </si>
  <si>
    <t>C2Ce__H3K27ac</t>
    <phoneticPr fontId="2" type="noConversion"/>
  </si>
  <si>
    <t>C1Co__H3K27ac</t>
    <phoneticPr fontId="2" type="noConversion"/>
  </si>
  <si>
    <t>C2Co__H3K27ac</t>
    <phoneticPr fontId="2" type="noConversion"/>
  </si>
  <si>
    <t>C1H_H3K27ac</t>
    <phoneticPr fontId="2" type="noConversion"/>
  </si>
  <si>
    <t>C2H_H3K27ac</t>
    <phoneticPr fontId="2" type="noConversion"/>
  </si>
  <si>
    <t>C1L_H3K27ac</t>
    <phoneticPr fontId="2" type="noConversion"/>
  </si>
  <si>
    <t>C1M_H3K27ac</t>
    <phoneticPr fontId="2" type="noConversion"/>
  </si>
  <si>
    <t>C2M_H3K27ac</t>
    <phoneticPr fontId="2" type="noConversion"/>
  </si>
  <si>
    <t>C1S_H3K27ac</t>
    <phoneticPr fontId="2" type="noConversion"/>
  </si>
  <si>
    <t>C2S_H3K27ac</t>
    <phoneticPr fontId="2" type="noConversion"/>
  </si>
  <si>
    <t>C2A_H3K4me3</t>
    <phoneticPr fontId="2" type="noConversion"/>
  </si>
  <si>
    <t>C1Ce_H3K4me3</t>
    <phoneticPr fontId="2" type="noConversion"/>
  </si>
  <si>
    <t>C2Ce_H3K4me3</t>
    <phoneticPr fontId="2" type="noConversion"/>
  </si>
  <si>
    <t>C1Co_H3K4me3</t>
    <phoneticPr fontId="2" type="noConversion"/>
  </si>
  <si>
    <t>C2Co_H3K4me3</t>
    <phoneticPr fontId="2" type="noConversion"/>
  </si>
  <si>
    <t>C1H_H3K4me3</t>
    <phoneticPr fontId="2" type="noConversion"/>
  </si>
  <si>
    <t>C2H_H3K4me3</t>
    <phoneticPr fontId="2" type="noConversion"/>
  </si>
  <si>
    <t>C1L_H3K4me3</t>
    <phoneticPr fontId="2" type="noConversion"/>
  </si>
  <si>
    <t>C2L_H3K4me3</t>
    <phoneticPr fontId="2" type="noConversion"/>
  </si>
  <si>
    <t>C1M_H3K4me3</t>
    <phoneticPr fontId="2" type="noConversion"/>
  </si>
  <si>
    <t>C2M_H3K4me3</t>
    <phoneticPr fontId="2" type="noConversion"/>
  </si>
  <si>
    <t>C1S_H3K4me3</t>
    <phoneticPr fontId="2" type="noConversion"/>
  </si>
  <si>
    <t>C2S_H3K4me3</t>
    <phoneticPr fontId="2" type="noConversion"/>
  </si>
  <si>
    <t>S1_H3K27ac</t>
    <phoneticPr fontId="2" type="noConversion"/>
  </si>
  <si>
    <t>S1_H3K4me3</t>
    <phoneticPr fontId="2" type="noConversion"/>
  </si>
  <si>
    <t>S1_input</t>
    <phoneticPr fontId="2" type="noConversion"/>
  </si>
  <si>
    <t>S2_H3K27ac</t>
    <phoneticPr fontId="2" type="noConversion"/>
  </si>
  <si>
    <t>S2H3K4me3</t>
    <phoneticPr fontId="2" type="noConversion"/>
  </si>
  <si>
    <t>S2_input</t>
    <phoneticPr fontId="2" type="noConversion"/>
  </si>
  <si>
    <t>S3_H3K27ac</t>
    <phoneticPr fontId="2" type="noConversion"/>
  </si>
  <si>
    <t>S3_H3K4me3</t>
    <phoneticPr fontId="2" type="noConversion"/>
  </si>
  <si>
    <t>C1A_H3K4me3</t>
    <phoneticPr fontId="2" type="noConversion"/>
  </si>
  <si>
    <t>C2L_H3K27ac</t>
    <phoneticPr fontId="2" type="noConversion"/>
  </si>
  <si>
    <t>S3_input</t>
    <phoneticPr fontId="2" type="noConversion"/>
  </si>
  <si>
    <t>G1_H3K27ac</t>
    <phoneticPr fontId="2" type="noConversion"/>
  </si>
  <si>
    <t>G2_H3K4me3</t>
    <phoneticPr fontId="2" type="noConversion"/>
  </si>
  <si>
    <t>G1_input</t>
    <phoneticPr fontId="2" type="noConversion"/>
  </si>
  <si>
    <t>G1_H3K4me3</t>
    <phoneticPr fontId="2" type="noConversion"/>
  </si>
  <si>
    <t>G2_H3K27ac</t>
    <phoneticPr fontId="2" type="noConversion"/>
  </si>
  <si>
    <t>G2_input</t>
    <phoneticPr fontId="2" type="noConversion"/>
  </si>
  <si>
    <t>G3_H3K27ac</t>
    <phoneticPr fontId="2" type="noConversion"/>
  </si>
  <si>
    <t>G3_input</t>
    <phoneticPr fontId="2" type="noConversion"/>
  </si>
  <si>
    <t>G3_H3K4me3</t>
    <phoneticPr fontId="2" type="noConversion"/>
  </si>
  <si>
    <t>P1_H3K27ac</t>
    <phoneticPr fontId="2" type="noConversion"/>
  </si>
  <si>
    <t>P2_H3K4me3</t>
    <phoneticPr fontId="2" type="noConversion"/>
  </si>
  <si>
    <t>P1_input</t>
    <phoneticPr fontId="2" type="noConversion"/>
  </si>
  <si>
    <t>P1_H3K4me3</t>
    <phoneticPr fontId="2" type="noConversion"/>
  </si>
  <si>
    <t>P2_H3K27ac</t>
    <phoneticPr fontId="2" type="noConversion"/>
  </si>
  <si>
    <t>P2_input</t>
    <phoneticPr fontId="2" type="noConversion"/>
  </si>
  <si>
    <t>P3_H3K27ac</t>
    <phoneticPr fontId="2" type="noConversion"/>
  </si>
  <si>
    <t>P3_H3K4me3</t>
    <phoneticPr fontId="2" type="noConversion"/>
  </si>
  <si>
    <t>P3_input</t>
    <phoneticPr fontId="2" type="noConversion"/>
  </si>
  <si>
    <t>M1_H3K27ac</t>
    <phoneticPr fontId="2" type="noConversion"/>
  </si>
  <si>
    <t>M1_H3K4me3</t>
    <phoneticPr fontId="2" type="noConversion"/>
  </si>
  <si>
    <t>M1_input</t>
    <phoneticPr fontId="2" type="noConversion"/>
  </si>
  <si>
    <t>M2_H3K27ac</t>
    <phoneticPr fontId="2" type="noConversion"/>
  </si>
  <si>
    <t>M2_H3K4me3</t>
    <phoneticPr fontId="2" type="noConversion"/>
  </si>
  <si>
    <t>M2_input</t>
    <phoneticPr fontId="2" type="noConversion"/>
  </si>
  <si>
    <t>M3_H3K27ac</t>
    <phoneticPr fontId="2" type="noConversion"/>
  </si>
  <si>
    <t>M3_H3K4me3</t>
    <phoneticPr fontId="2" type="noConversion"/>
  </si>
  <si>
    <t>M3_input</t>
    <phoneticPr fontId="2" type="noConversion"/>
  </si>
  <si>
    <t>M4_H3K27ac</t>
    <phoneticPr fontId="2" type="noConversion"/>
  </si>
  <si>
    <t>M4_H3K4me3</t>
    <phoneticPr fontId="2" type="noConversion"/>
  </si>
  <si>
    <t>M4_input</t>
    <phoneticPr fontId="2" type="noConversion"/>
  </si>
  <si>
    <t>H1_H3K27ac</t>
    <phoneticPr fontId="2" type="noConversion"/>
  </si>
  <si>
    <t>H1_H3K4me3</t>
    <phoneticPr fontId="2" type="noConversion"/>
  </si>
  <si>
    <t>H1_input</t>
    <phoneticPr fontId="2" type="noConversion"/>
  </si>
  <si>
    <t>H2_H3K27ac</t>
    <phoneticPr fontId="2" type="noConversion"/>
  </si>
  <si>
    <t>H2_H3K4me3</t>
    <phoneticPr fontId="2" type="noConversion"/>
  </si>
  <si>
    <t>H2_input</t>
    <phoneticPr fontId="2" type="noConversion"/>
  </si>
  <si>
    <t>H3_H3K27ac</t>
    <phoneticPr fontId="2" type="noConversion"/>
  </si>
  <si>
    <t>H3_H3K4me3</t>
    <phoneticPr fontId="2" type="noConversion"/>
  </si>
  <si>
    <t>H3_input</t>
    <phoneticPr fontId="2" type="noConversion"/>
  </si>
  <si>
    <t>H4_H3K27ac</t>
    <phoneticPr fontId="2" type="noConversion"/>
  </si>
  <si>
    <t>H4_H3K4me3</t>
    <phoneticPr fontId="2" type="noConversion"/>
  </si>
  <si>
    <t>H4_input</t>
    <phoneticPr fontId="2" type="noConversion"/>
  </si>
  <si>
    <t>C_M3</t>
    <phoneticPr fontId="2" type="noConversion"/>
  </si>
  <si>
    <t>PRJNA416505</t>
    <phoneticPr fontId="2" type="noConversion"/>
  </si>
  <si>
    <t xml:space="preserve">Sequenced Reads </t>
    <phoneticPr fontId="2" type="noConversion"/>
  </si>
  <si>
    <t>ERR572199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</si>
</sst>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b/>
      <sz val="12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6" fontId="0" fillId="0" borderId="0" xfId="0" applyNumberFormat="1"/>
    <xf numFmtId="0" fontId="0" fillId="0" borderId="2" xfId="0" applyBorder="1"/>
    <xf numFmtId="176" fontId="0" fillId="0" borderId="2" xfId="0" applyNumberFormat="1" applyBorder="1"/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76" fontId="3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opLeftCell="G1" workbookViewId="0">
      <selection activeCell="O12" sqref="O12"/>
    </sheetView>
  </sheetViews>
  <sheetFormatPr defaultRowHeight="14" x14ac:dyDescent="0.45"/>
  <cols>
    <col min="1" max="1" width="30.87890625" bestFit="1" customWidth="1"/>
    <col min="2" max="2" width="13.234375" bestFit="1" customWidth="1"/>
    <col min="3" max="4" width="9.1171875" customWidth="1"/>
    <col min="5" max="5" width="19.87890625" bestFit="1" customWidth="1"/>
    <col min="6" max="6" width="17.234375" customWidth="1"/>
    <col min="7" max="7" width="16.234375" customWidth="1"/>
    <col min="8" max="8" width="13.64453125" customWidth="1"/>
    <col min="9" max="9" width="19.76171875" customWidth="1"/>
    <col min="10" max="10" width="14.87890625" style="1" customWidth="1"/>
    <col min="11" max="11" width="23.87890625" customWidth="1"/>
    <col min="12" max="12" width="15.3515625" style="1" customWidth="1"/>
    <col min="13" max="13" width="19" style="1" customWidth="1"/>
    <col min="14" max="14" width="20.234375" style="1" customWidth="1"/>
    <col min="15" max="15" width="14" bestFit="1" customWidth="1"/>
  </cols>
  <sheetData>
    <row r="1" spans="1:15" ht="15.7" x14ac:dyDescent="0.45">
      <c r="A1" s="27" t="s">
        <v>58</v>
      </c>
      <c r="B1" s="27"/>
      <c r="C1" s="27"/>
      <c r="D1" s="27"/>
      <c r="E1" s="27"/>
    </row>
    <row r="2" spans="1:15" ht="14.35" thickBot="1" x14ac:dyDescent="0.5">
      <c r="A2" s="2"/>
      <c r="B2" s="2"/>
      <c r="C2" s="2"/>
      <c r="D2" s="2"/>
      <c r="E2" s="2"/>
      <c r="F2" s="2"/>
      <c r="G2" s="2"/>
      <c r="H2" s="2"/>
      <c r="I2" s="2"/>
      <c r="J2" s="3"/>
      <c r="K2" s="2"/>
      <c r="L2" s="3"/>
      <c r="M2" s="3"/>
      <c r="N2" s="3"/>
      <c r="O2" s="2"/>
    </row>
    <row r="3" spans="1:15" ht="42" customHeight="1" thickBot="1" x14ac:dyDescent="0.5">
      <c r="A3" s="4" t="s">
        <v>95</v>
      </c>
      <c r="B3" s="4" t="s">
        <v>1</v>
      </c>
      <c r="C3" s="4" t="s">
        <v>2</v>
      </c>
      <c r="D3" s="4" t="s">
        <v>59</v>
      </c>
      <c r="E3" s="4" t="s">
        <v>3</v>
      </c>
      <c r="F3" s="4" t="s">
        <v>299</v>
      </c>
      <c r="G3" s="4" t="s">
        <v>5</v>
      </c>
      <c r="H3" s="4" t="s">
        <v>75</v>
      </c>
      <c r="I3" s="4" t="s">
        <v>6</v>
      </c>
      <c r="J3" s="5" t="s">
        <v>7</v>
      </c>
      <c r="K3" s="4" t="s">
        <v>8</v>
      </c>
      <c r="L3" s="5" t="s">
        <v>203</v>
      </c>
      <c r="M3" s="5" t="s">
        <v>9</v>
      </c>
      <c r="N3" s="5" t="s">
        <v>57</v>
      </c>
      <c r="O3" s="5" t="s">
        <v>10</v>
      </c>
    </row>
    <row r="4" spans="1:15" ht="14.35" thickTop="1" x14ac:dyDescent="0.45">
      <c r="A4" s="6" t="s">
        <v>209</v>
      </c>
      <c r="B4" s="6" t="s">
        <v>11</v>
      </c>
      <c r="C4" s="6" t="s">
        <v>12</v>
      </c>
      <c r="D4" s="6" t="s">
        <v>60</v>
      </c>
      <c r="E4" s="28" t="s">
        <v>13</v>
      </c>
      <c r="F4" s="6">
        <v>77323070</v>
      </c>
      <c r="G4" s="6">
        <v>76937531</v>
      </c>
      <c r="H4" s="6">
        <v>99.5</v>
      </c>
      <c r="I4" s="6">
        <v>68098225</v>
      </c>
      <c r="J4" s="7">
        <f t="shared" ref="J4:J92" si="0">I4/G4*100</f>
        <v>88.511061006103773</v>
      </c>
      <c r="K4" s="6">
        <v>52227090</v>
      </c>
      <c r="L4" s="7">
        <f t="shared" ref="L4:L92" si="1">K4/I4*100</f>
        <v>76.693761107576591</v>
      </c>
      <c r="M4" s="7">
        <v>1.1344700000000001</v>
      </c>
      <c r="N4" s="7">
        <v>1.4882550000000001</v>
      </c>
      <c r="O4" s="23" t="s">
        <v>62</v>
      </c>
    </row>
    <row r="5" spans="1:15" x14ac:dyDescent="0.45">
      <c r="A5" s="6" t="s">
        <v>208</v>
      </c>
      <c r="B5" s="6" t="s">
        <v>11</v>
      </c>
      <c r="C5" s="6" t="s">
        <v>12</v>
      </c>
      <c r="D5" s="6" t="s">
        <v>60</v>
      </c>
      <c r="E5" s="25"/>
      <c r="F5" s="6">
        <v>64648002</v>
      </c>
      <c r="G5" s="6">
        <v>64443333</v>
      </c>
      <c r="H5" s="6">
        <v>99.68</v>
      </c>
      <c r="I5" s="6">
        <v>57420697</v>
      </c>
      <c r="J5" s="7">
        <f t="shared" si="0"/>
        <v>89.102618264638807</v>
      </c>
      <c r="K5" s="6">
        <v>45706045</v>
      </c>
      <c r="L5" s="7">
        <f t="shared" si="1"/>
        <v>79.598554855577603</v>
      </c>
      <c r="M5" s="7" t="s">
        <v>14</v>
      </c>
      <c r="N5" s="7" t="s">
        <v>14</v>
      </c>
      <c r="O5" s="24"/>
    </row>
    <row r="6" spans="1:15" x14ac:dyDescent="0.45">
      <c r="A6" s="6" t="s">
        <v>210</v>
      </c>
      <c r="B6" s="6" t="s">
        <v>11</v>
      </c>
      <c r="C6" s="6" t="s">
        <v>12</v>
      </c>
      <c r="D6" s="6" t="s">
        <v>60</v>
      </c>
      <c r="E6" s="25"/>
      <c r="F6" s="6">
        <v>62072987</v>
      </c>
      <c r="G6" s="6">
        <v>61965422</v>
      </c>
      <c r="H6" s="6">
        <v>99.83</v>
      </c>
      <c r="I6" s="6">
        <v>60495099</v>
      </c>
      <c r="J6" s="7">
        <f t="shared" si="0"/>
        <v>97.627187950079644</v>
      </c>
      <c r="K6" s="6">
        <v>47837287</v>
      </c>
      <c r="L6" s="7">
        <f t="shared" si="1"/>
        <v>79.076301701729591</v>
      </c>
      <c r="M6" s="7">
        <v>1.3917440000000001</v>
      </c>
      <c r="N6" s="7">
        <v>1.157054</v>
      </c>
      <c r="O6" s="24"/>
    </row>
    <row r="7" spans="1:15" x14ac:dyDescent="0.45">
      <c r="A7" s="6" t="s">
        <v>211</v>
      </c>
      <c r="B7" s="6" t="s">
        <v>11</v>
      </c>
      <c r="C7" s="6" t="s">
        <v>12</v>
      </c>
      <c r="D7" s="6" t="s">
        <v>60</v>
      </c>
      <c r="E7" s="25"/>
      <c r="F7" s="6">
        <v>65150441</v>
      </c>
      <c r="G7" s="6">
        <v>64859810</v>
      </c>
      <c r="H7" s="6">
        <v>99.55</v>
      </c>
      <c r="I7" s="6">
        <v>55638201</v>
      </c>
      <c r="J7" s="7">
        <f t="shared" si="0"/>
        <v>85.78224481385314</v>
      </c>
      <c r="K7" s="6">
        <v>42178652</v>
      </c>
      <c r="L7" s="7">
        <f t="shared" si="1"/>
        <v>75.808799065951106</v>
      </c>
      <c r="M7" s="7">
        <v>1.360568</v>
      </c>
      <c r="N7" s="7">
        <v>1.0983719999999999</v>
      </c>
      <c r="O7" s="24"/>
    </row>
    <row r="8" spans="1:15" x14ac:dyDescent="0.45">
      <c r="A8" s="6" t="s">
        <v>212</v>
      </c>
      <c r="B8" s="6" t="s">
        <v>11</v>
      </c>
      <c r="C8" s="6" t="s">
        <v>12</v>
      </c>
      <c r="D8" s="6" t="s">
        <v>60</v>
      </c>
      <c r="E8" s="25"/>
      <c r="F8" s="6">
        <v>58301568</v>
      </c>
      <c r="G8" s="6">
        <v>58160493</v>
      </c>
      <c r="H8" s="6">
        <v>99.76</v>
      </c>
      <c r="I8" s="6">
        <v>52207511</v>
      </c>
      <c r="J8" s="7">
        <f t="shared" si="0"/>
        <v>89.764560627090972</v>
      </c>
      <c r="K8" s="6">
        <v>41843779</v>
      </c>
      <c r="L8" s="7">
        <f t="shared" si="1"/>
        <v>80.148963623261025</v>
      </c>
      <c r="M8" s="7" t="s">
        <v>14</v>
      </c>
      <c r="N8" s="7" t="s">
        <v>14</v>
      </c>
      <c r="O8" s="24"/>
    </row>
    <row r="9" spans="1:15" x14ac:dyDescent="0.45">
      <c r="A9" s="6" t="s">
        <v>213</v>
      </c>
      <c r="B9" s="6" t="s">
        <v>11</v>
      </c>
      <c r="C9" s="6" t="s">
        <v>12</v>
      </c>
      <c r="D9" s="6" t="s">
        <v>60</v>
      </c>
      <c r="E9" s="25"/>
      <c r="F9" s="6">
        <v>61738448</v>
      </c>
      <c r="G9" s="6">
        <v>61605645</v>
      </c>
      <c r="H9" s="6">
        <v>99.78</v>
      </c>
      <c r="I9" s="6">
        <v>59449879</v>
      </c>
      <c r="J9" s="7">
        <f t="shared" si="0"/>
        <v>96.500700544568602</v>
      </c>
      <c r="K9" s="6">
        <v>47858514</v>
      </c>
      <c r="L9" s="7">
        <f t="shared" si="1"/>
        <v>80.502290004660907</v>
      </c>
      <c r="M9" s="7">
        <v>1.2431110000000001</v>
      </c>
      <c r="N9" s="7">
        <v>1.2401789999999999</v>
      </c>
      <c r="O9" s="24"/>
    </row>
    <row r="10" spans="1:15" x14ac:dyDescent="0.45">
      <c r="A10" s="6" t="s">
        <v>214</v>
      </c>
      <c r="B10" s="6" t="s">
        <v>11</v>
      </c>
      <c r="C10" s="6" t="s">
        <v>12</v>
      </c>
      <c r="D10" s="6" t="s">
        <v>60</v>
      </c>
      <c r="E10" s="25"/>
      <c r="F10" s="6">
        <v>65904568</v>
      </c>
      <c r="G10" s="6">
        <v>65566990</v>
      </c>
      <c r="H10" s="6">
        <v>99.49</v>
      </c>
      <c r="I10" s="6">
        <v>57382440</v>
      </c>
      <c r="J10" s="7">
        <f>I10/G10*100</f>
        <v>87.517270504563356</v>
      </c>
      <c r="K10" s="6">
        <v>42752363</v>
      </c>
      <c r="L10" s="7">
        <f t="shared" si="1"/>
        <v>74.504261233924524</v>
      </c>
      <c r="M10" s="7">
        <v>1.1102000000000001</v>
      </c>
      <c r="N10" s="7">
        <v>1.89497</v>
      </c>
      <c r="O10" s="24"/>
    </row>
    <row r="11" spans="1:15" x14ac:dyDescent="0.45">
      <c r="A11" s="6" t="s">
        <v>215</v>
      </c>
      <c r="B11" s="6" t="s">
        <v>11</v>
      </c>
      <c r="C11" s="6" t="s">
        <v>12</v>
      </c>
      <c r="D11" s="6" t="s">
        <v>60</v>
      </c>
      <c r="E11" s="25"/>
      <c r="F11" s="6">
        <v>62733606</v>
      </c>
      <c r="G11" s="6">
        <v>62512873</v>
      </c>
      <c r="H11" s="6">
        <v>99.65</v>
      </c>
      <c r="I11" s="6">
        <v>55463261</v>
      </c>
      <c r="J11" s="7">
        <f>I11/G11*100</f>
        <v>88.722943512770556</v>
      </c>
      <c r="K11" s="6">
        <v>42399862</v>
      </c>
      <c r="L11" s="7">
        <f t="shared" si="1"/>
        <v>76.446752743225829</v>
      </c>
      <c r="M11" s="7" t="s">
        <v>14</v>
      </c>
      <c r="N11" s="7" t="s">
        <v>14</v>
      </c>
      <c r="O11" s="24"/>
    </row>
    <row r="12" spans="1:15" x14ac:dyDescent="0.45">
      <c r="A12" s="6" t="s">
        <v>216</v>
      </c>
      <c r="B12" s="6" t="s">
        <v>11</v>
      </c>
      <c r="C12" s="6" t="s">
        <v>12</v>
      </c>
      <c r="D12" s="6" t="s">
        <v>61</v>
      </c>
      <c r="E12" s="25"/>
      <c r="F12" s="6">
        <v>19851404</v>
      </c>
      <c r="G12" s="6">
        <v>16334110</v>
      </c>
      <c r="H12" s="6">
        <v>82.28</v>
      </c>
      <c r="I12" s="6">
        <v>14260935</v>
      </c>
      <c r="J12" s="7">
        <f>I12/G12*100</f>
        <v>87.307695368771249</v>
      </c>
      <c r="K12" s="6">
        <v>13121362</v>
      </c>
      <c r="L12" s="7">
        <f t="shared" si="1"/>
        <v>92.009128433724712</v>
      </c>
      <c r="M12" s="7">
        <v>1.639465</v>
      </c>
      <c r="N12" s="7">
        <v>1.254718</v>
      </c>
      <c r="O12" s="10" t="s">
        <v>300</v>
      </c>
    </row>
    <row r="13" spans="1:15" x14ac:dyDescent="0.45">
      <c r="A13" s="6" t="s">
        <v>217</v>
      </c>
      <c r="B13" s="6" t="s">
        <v>11</v>
      </c>
      <c r="C13" s="6" t="s">
        <v>12</v>
      </c>
      <c r="D13" s="6" t="s">
        <v>61</v>
      </c>
      <c r="E13" s="25"/>
      <c r="F13" s="6">
        <v>23296372</v>
      </c>
      <c r="G13" s="6">
        <v>22471346</v>
      </c>
      <c r="H13" s="6">
        <v>96.46</v>
      </c>
      <c r="I13" s="6">
        <v>17550353</v>
      </c>
      <c r="J13" s="7">
        <f t="shared" ref="J13" si="2">I13/G13*100</f>
        <v>78.101031420191745</v>
      </c>
      <c r="K13" s="6">
        <v>16816373</v>
      </c>
      <c r="L13" s="7">
        <f t="shared" si="1"/>
        <v>95.817861897136765</v>
      </c>
      <c r="M13" s="7" t="s">
        <v>14</v>
      </c>
      <c r="N13" s="7" t="s">
        <v>14</v>
      </c>
      <c r="O13" s="10" t="s">
        <v>63</v>
      </c>
    </row>
    <row r="14" spans="1:15" x14ac:dyDescent="0.45">
      <c r="A14" s="6" t="s">
        <v>218</v>
      </c>
      <c r="B14" s="6" t="s">
        <v>145</v>
      </c>
      <c r="C14" s="6" t="s">
        <v>12</v>
      </c>
      <c r="D14" s="6" t="s">
        <v>61</v>
      </c>
      <c r="E14" s="25"/>
      <c r="F14" s="6">
        <v>58290269</v>
      </c>
      <c r="G14" s="6">
        <v>50457206</v>
      </c>
      <c r="H14" s="6">
        <v>89.18</v>
      </c>
      <c r="I14" s="6">
        <v>41844447</v>
      </c>
      <c r="J14" s="7">
        <f>I14/G14*100</f>
        <v>82.930566944194254</v>
      </c>
      <c r="K14" s="6">
        <v>27756702</v>
      </c>
      <c r="L14" s="7">
        <f>K14/I14*100</f>
        <v>66.333059676950683</v>
      </c>
      <c r="M14" s="7">
        <v>1.219336</v>
      </c>
      <c r="N14" s="7">
        <v>1.092978</v>
      </c>
      <c r="O14" s="24" t="s">
        <v>206</v>
      </c>
    </row>
    <row r="15" spans="1:15" x14ac:dyDescent="0.45">
      <c r="A15" s="6" t="s">
        <v>219</v>
      </c>
      <c r="B15" s="6" t="s">
        <v>145</v>
      </c>
      <c r="C15" s="6" t="s">
        <v>12</v>
      </c>
      <c r="D15" s="6" t="s">
        <v>61</v>
      </c>
      <c r="E15" s="25"/>
      <c r="F15" s="6">
        <v>52422066</v>
      </c>
      <c r="G15" s="6">
        <v>47000059</v>
      </c>
      <c r="H15" s="6">
        <v>91.82</v>
      </c>
      <c r="I15" s="6">
        <v>38548423</v>
      </c>
      <c r="J15" s="7">
        <f t="shared" ref="J15:J41" si="3">I15/G15*100</f>
        <v>82.017818318057863</v>
      </c>
      <c r="K15" s="6">
        <v>26822268</v>
      </c>
      <c r="L15" s="7">
        <f t="shared" ref="L15:L41" si="4">K15/I15*100</f>
        <v>69.580714105995995</v>
      </c>
      <c r="M15" s="7">
        <v>1.374271</v>
      </c>
      <c r="N15" s="7">
        <v>1.066934</v>
      </c>
      <c r="O15" s="24"/>
    </row>
    <row r="16" spans="1:15" x14ac:dyDescent="0.45">
      <c r="A16" s="6" t="s">
        <v>220</v>
      </c>
      <c r="B16" s="6" t="s">
        <v>181</v>
      </c>
      <c r="C16" s="6" t="s">
        <v>12</v>
      </c>
      <c r="D16" s="6" t="s">
        <v>61</v>
      </c>
      <c r="E16" s="25"/>
      <c r="F16" s="6">
        <v>43341618</v>
      </c>
      <c r="G16" s="6">
        <v>40225633</v>
      </c>
      <c r="H16" s="6">
        <v>95.41</v>
      </c>
      <c r="I16" s="6">
        <v>34705947</v>
      </c>
      <c r="J16" s="7">
        <f t="shared" si="3"/>
        <v>86.278187343875985</v>
      </c>
      <c r="K16" s="6">
        <v>23821766</v>
      </c>
      <c r="L16" s="7">
        <f t="shared" si="4"/>
        <v>68.638858925244136</v>
      </c>
      <c r="M16" s="7">
        <v>1.027102</v>
      </c>
      <c r="N16" s="7">
        <v>1.1512709999999999</v>
      </c>
      <c r="O16" s="24"/>
    </row>
    <row r="17" spans="1:15" x14ac:dyDescent="0.45">
      <c r="A17" s="6" t="s">
        <v>221</v>
      </c>
      <c r="B17" s="6" t="s">
        <v>205</v>
      </c>
      <c r="C17" s="6" t="s">
        <v>12</v>
      </c>
      <c r="D17" s="6" t="s">
        <v>61</v>
      </c>
      <c r="E17" s="25"/>
      <c r="F17" s="6">
        <v>49877925</v>
      </c>
      <c r="G17" s="6">
        <v>30253312</v>
      </c>
      <c r="H17" s="6">
        <v>68.900000000000006</v>
      </c>
      <c r="I17" s="6">
        <v>25627972</v>
      </c>
      <c r="J17" s="7">
        <f t="shared" si="3"/>
        <v>84.711293758514771</v>
      </c>
      <c r="K17" s="6">
        <v>20408119</v>
      </c>
      <c r="L17" s="7">
        <f t="shared" si="4"/>
        <v>79.632204218109806</v>
      </c>
      <c r="M17" s="7">
        <v>1.219795</v>
      </c>
      <c r="N17" s="7">
        <v>1.09216</v>
      </c>
      <c r="O17" s="24"/>
    </row>
    <row r="18" spans="1:15" x14ac:dyDescent="0.45">
      <c r="A18" s="6" t="s">
        <v>222</v>
      </c>
      <c r="B18" s="6" t="s">
        <v>147</v>
      </c>
      <c r="C18" s="6" t="s">
        <v>12</v>
      </c>
      <c r="D18" s="6" t="s">
        <v>61</v>
      </c>
      <c r="E18" s="25"/>
      <c r="F18" s="6">
        <v>44471714</v>
      </c>
      <c r="G18" s="6">
        <v>43255932</v>
      </c>
      <c r="H18" s="6">
        <v>97.54</v>
      </c>
      <c r="I18" s="6">
        <v>37096611</v>
      </c>
      <c r="J18" s="7">
        <f t="shared" si="3"/>
        <v>85.76074837550604</v>
      </c>
      <c r="K18" s="6">
        <v>27537828</v>
      </c>
      <c r="L18" s="7">
        <f t="shared" si="4"/>
        <v>74.232732472516147</v>
      </c>
      <c r="M18" s="7">
        <v>1.1812389999999999</v>
      </c>
      <c r="N18" s="7">
        <v>1.1039680000000001</v>
      </c>
      <c r="O18" s="24"/>
    </row>
    <row r="19" spans="1:15" ht="12.95" customHeight="1" x14ac:dyDescent="0.45">
      <c r="A19" s="6" t="s">
        <v>223</v>
      </c>
      <c r="B19" s="6" t="s">
        <v>146</v>
      </c>
      <c r="C19" s="6" t="s">
        <v>12</v>
      </c>
      <c r="D19" s="6" t="s">
        <v>61</v>
      </c>
      <c r="E19" s="25"/>
      <c r="F19" s="6">
        <v>52047091</v>
      </c>
      <c r="G19" s="6">
        <v>50685481</v>
      </c>
      <c r="H19" s="6">
        <v>97.61</v>
      </c>
      <c r="I19" s="6">
        <v>42175422</v>
      </c>
      <c r="J19" s="7">
        <f t="shared" si="3"/>
        <v>83.210065620172372</v>
      </c>
      <c r="K19" s="6">
        <v>31417381</v>
      </c>
      <c r="L19" s="7">
        <f t="shared" si="4"/>
        <v>74.492155644583718</v>
      </c>
      <c r="M19" s="7">
        <v>1.091809</v>
      </c>
      <c r="N19" s="7">
        <v>1.0730459999999999</v>
      </c>
      <c r="O19" s="24"/>
    </row>
    <row r="20" spans="1:15" ht="12.95" customHeight="1" x14ac:dyDescent="0.45">
      <c r="A20" s="6" t="s">
        <v>224</v>
      </c>
      <c r="B20" s="6" t="s">
        <v>204</v>
      </c>
      <c r="C20" s="6" t="s">
        <v>12</v>
      </c>
      <c r="D20" s="6" t="s">
        <v>61</v>
      </c>
      <c r="E20" s="25"/>
      <c r="F20" s="6">
        <v>78628059</v>
      </c>
      <c r="G20" s="6">
        <v>69611414</v>
      </c>
      <c r="H20" s="6">
        <v>90.12</v>
      </c>
      <c r="I20" s="6">
        <v>58755924</v>
      </c>
      <c r="J20" s="7">
        <f t="shared" si="3"/>
        <v>84.405589002975873</v>
      </c>
      <c r="K20" s="6">
        <v>14262335</v>
      </c>
      <c r="L20" s="7">
        <f t="shared" si="4"/>
        <v>24.273867261452651</v>
      </c>
      <c r="M20" s="7">
        <v>1.461444</v>
      </c>
      <c r="N20" s="7">
        <v>1.0804609999999999</v>
      </c>
      <c r="O20" s="24"/>
    </row>
    <row r="21" spans="1:15" ht="12.95" customHeight="1" x14ac:dyDescent="0.45">
      <c r="A21" s="6" t="s">
        <v>225</v>
      </c>
      <c r="B21" s="6" t="s">
        <v>182</v>
      </c>
      <c r="C21" s="6" t="s">
        <v>12</v>
      </c>
      <c r="D21" s="6" t="s">
        <v>61</v>
      </c>
      <c r="E21" s="25"/>
      <c r="F21" s="6">
        <v>78277210</v>
      </c>
      <c r="G21" s="6">
        <v>74126823</v>
      </c>
      <c r="H21" s="6">
        <v>94.88</v>
      </c>
      <c r="I21" s="6">
        <v>62873432</v>
      </c>
      <c r="J21" s="7">
        <f t="shared" si="3"/>
        <v>84.81873288971255</v>
      </c>
      <c r="K21" s="6">
        <v>50430987</v>
      </c>
      <c r="L21" s="7">
        <f t="shared" si="4"/>
        <v>80.210329539510425</v>
      </c>
      <c r="M21" s="7">
        <v>1.10385</v>
      </c>
      <c r="N21" s="7">
        <v>1.0366219999999999</v>
      </c>
      <c r="O21" s="24"/>
    </row>
    <row r="22" spans="1:15" ht="12.95" customHeight="1" x14ac:dyDescent="0.45">
      <c r="A22" s="6" t="s">
        <v>226</v>
      </c>
      <c r="B22" s="6" t="s">
        <v>149</v>
      </c>
      <c r="C22" s="6" t="s">
        <v>12</v>
      </c>
      <c r="D22" s="6" t="s">
        <v>61</v>
      </c>
      <c r="E22" s="25"/>
      <c r="F22" s="6">
        <v>99464879</v>
      </c>
      <c r="G22" s="6">
        <v>98097497</v>
      </c>
      <c r="H22" s="6">
        <v>98.44</v>
      </c>
      <c r="I22" s="6">
        <v>89480606</v>
      </c>
      <c r="J22" s="7">
        <f t="shared" si="3"/>
        <v>91.215993003368879</v>
      </c>
      <c r="K22" s="6">
        <v>56948473</v>
      </c>
      <c r="L22" s="7">
        <f t="shared" si="4"/>
        <v>63.643369826976802</v>
      </c>
      <c r="M22" s="7">
        <v>1.283523</v>
      </c>
      <c r="N22" s="7">
        <v>1.2039040000000001</v>
      </c>
      <c r="O22" s="24"/>
    </row>
    <row r="23" spans="1:15" ht="12.95" customHeight="1" x14ac:dyDescent="0.45">
      <c r="A23" s="6" t="s">
        <v>253</v>
      </c>
      <c r="B23" s="6" t="s">
        <v>148</v>
      </c>
      <c r="C23" s="6" t="s">
        <v>12</v>
      </c>
      <c r="D23" s="6" t="s">
        <v>61</v>
      </c>
      <c r="E23" s="25"/>
      <c r="F23" s="6">
        <v>93919895</v>
      </c>
      <c r="G23" s="6">
        <v>92431871</v>
      </c>
      <c r="H23" s="6">
        <v>98.28</v>
      </c>
      <c r="I23" s="6">
        <v>86199494</v>
      </c>
      <c r="J23" s="7">
        <f t="shared" si="3"/>
        <v>93.257328957454504</v>
      </c>
      <c r="K23" s="6">
        <v>56882628</v>
      </c>
      <c r="L23" s="7">
        <f t="shared" si="4"/>
        <v>65.989514973254941</v>
      </c>
      <c r="M23" s="7">
        <v>1.2727409999999999</v>
      </c>
      <c r="N23" s="7">
        <v>1.20221</v>
      </c>
      <c r="O23" s="24"/>
    </row>
    <row r="24" spans="1:15" ht="12.95" customHeight="1" x14ac:dyDescent="0.45">
      <c r="A24" s="6" t="s">
        <v>227</v>
      </c>
      <c r="B24" s="6" t="s">
        <v>151</v>
      </c>
      <c r="C24" s="6" t="s">
        <v>12</v>
      </c>
      <c r="D24" s="6" t="s">
        <v>61</v>
      </c>
      <c r="E24" s="25"/>
      <c r="F24" s="6">
        <v>80344388</v>
      </c>
      <c r="G24" s="6">
        <v>76698761</v>
      </c>
      <c r="H24" s="6">
        <v>95.46</v>
      </c>
      <c r="I24" s="6">
        <v>70392017</v>
      </c>
      <c r="J24" s="7">
        <f t="shared" si="3"/>
        <v>91.777254393979064</v>
      </c>
      <c r="K24" s="6">
        <v>26000604</v>
      </c>
      <c r="L24" s="7">
        <f t="shared" si="4"/>
        <v>36.936864587926216</v>
      </c>
      <c r="M24" s="7">
        <v>1.359961</v>
      </c>
      <c r="N24" s="7">
        <v>1.4243319999999999</v>
      </c>
      <c r="O24" s="24"/>
    </row>
    <row r="25" spans="1:15" ht="12.95" customHeight="1" x14ac:dyDescent="0.45">
      <c r="A25" s="6" t="s">
        <v>228</v>
      </c>
      <c r="B25" s="6" t="s">
        <v>150</v>
      </c>
      <c r="C25" s="6" t="s">
        <v>12</v>
      </c>
      <c r="D25" s="6" t="s">
        <v>61</v>
      </c>
      <c r="E25" s="25"/>
      <c r="F25" s="6">
        <v>83089719</v>
      </c>
      <c r="G25" s="6">
        <v>77830461</v>
      </c>
      <c r="H25" s="6">
        <v>93.7</v>
      </c>
      <c r="I25" s="6">
        <v>69068854</v>
      </c>
      <c r="J25" s="7">
        <f t="shared" si="3"/>
        <v>88.742701909474746</v>
      </c>
      <c r="K25" s="6">
        <v>19379172</v>
      </c>
      <c r="L25" s="7">
        <f t="shared" si="4"/>
        <v>28.057758132196604</v>
      </c>
      <c r="M25" s="7">
        <v>1.395346</v>
      </c>
      <c r="N25" s="7">
        <v>1.4799169999999999</v>
      </c>
      <c r="O25" s="24"/>
    </row>
    <row r="26" spans="1:15" ht="12.95" customHeight="1" x14ac:dyDescent="0.45">
      <c r="A26" s="6" t="s">
        <v>229</v>
      </c>
      <c r="B26" s="6" t="s">
        <v>153</v>
      </c>
      <c r="C26" s="6" t="s">
        <v>12</v>
      </c>
      <c r="D26" s="6" t="s">
        <v>61</v>
      </c>
      <c r="E26" s="25"/>
      <c r="F26" s="6">
        <v>58865634</v>
      </c>
      <c r="G26" s="6">
        <v>57542709</v>
      </c>
      <c r="H26" s="6">
        <v>97.79</v>
      </c>
      <c r="I26" s="6">
        <v>48231666</v>
      </c>
      <c r="J26" s="7">
        <f t="shared" si="3"/>
        <v>83.818900497020394</v>
      </c>
      <c r="K26" s="6">
        <v>32843960</v>
      </c>
      <c r="L26" s="7">
        <f t="shared" si="4"/>
        <v>68.096258586630626</v>
      </c>
      <c r="M26" s="7">
        <v>1.524232</v>
      </c>
      <c r="N26" s="7">
        <v>1.050116</v>
      </c>
      <c r="O26" s="24"/>
    </row>
    <row r="27" spans="1:15" ht="12.95" customHeight="1" x14ac:dyDescent="0.45">
      <c r="A27" s="6" t="s">
        <v>230</v>
      </c>
      <c r="B27" s="6" t="s">
        <v>152</v>
      </c>
      <c r="C27" s="6" t="s">
        <v>12</v>
      </c>
      <c r="D27" s="6" t="s">
        <v>61</v>
      </c>
      <c r="E27" s="25"/>
      <c r="F27" s="6">
        <v>71109704</v>
      </c>
      <c r="G27" s="6">
        <v>69530120</v>
      </c>
      <c r="H27" s="6">
        <v>97.82</v>
      </c>
      <c r="I27" s="6">
        <v>58046091</v>
      </c>
      <c r="J27" s="7">
        <f t="shared" si="3"/>
        <v>83.483375262404266</v>
      </c>
      <c r="K27" s="6">
        <v>35372372</v>
      </c>
      <c r="L27" s="7">
        <f t="shared" si="4"/>
        <v>60.938422192805362</v>
      </c>
      <c r="M27" s="7">
        <v>1.5815980000000001</v>
      </c>
      <c r="N27" s="7">
        <v>1.054573</v>
      </c>
      <c r="O27" s="24"/>
    </row>
    <row r="28" spans="1:15" ht="12.95" customHeight="1" x14ac:dyDescent="0.45">
      <c r="A28" s="6" t="s">
        <v>252</v>
      </c>
      <c r="B28" s="6" t="s">
        <v>145</v>
      </c>
      <c r="C28" s="6" t="s">
        <v>12</v>
      </c>
      <c r="D28" s="6" t="s">
        <v>61</v>
      </c>
      <c r="E28" s="25"/>
      <c r="F28" s="6">
        <v>74274503</v>
      </c>
      <c r="G28" s="6">
        <v>65214630</v>
      </c>
      <c r="H28" s="6">
        <v>90.11</v>
      </c>
      <c r="I28" s="6">
        <v>53017369</v>
      </c>
      <c r="J28" s="7">
        <f t="shared" si="3"/>
        <v>81.296741237357324</v>
      </c>
      <c r="K28" s="6">
        <v>29769508</v>
      </c>
      <c r="L28" s="7">
        <f t="shared" si="4"/>
        <v>56.150481552564401</v>
      </c>
      <c r="M28" s="7">
        <v>1.1653469999999999</v>
      </c>
      <c r="N28" s="7">
        <v>1.2369479999999999</v>
      </c>
      <c r="O28" s="24" t="s">
        <v>207</v>
      </c>
    </row>
    <row r="29" spans="1:15" ht="12.95" customHeight="1" x14ac:dyDescent="0.45">
      <c r="A29" s="6" t="s">
        <v>231</v>
      </c>
      <c r="B29" s="6" t="s">
        <v>145</v>
      </c>
      <c r="C29" s="6" t="s">
        <v>12</v>
      </c>
      <c r="D29" s="6" t="s">
        <v>61</v>
      </c>
      <c r="E29" s="25"/>
      <c r="F29" s="6">
        <v>89068702</v>
      </c>
      <c r="G29" s="6">
        <v>83498132</v>
      </c>
      <c r="H29" s="6">
        <v>93.87</v>
      </c>
      <c r="I29" s="6">
        <v>71120384</v>
      </c>
      <c r="J29" s="7">
        <f t="shared" si="3"/>
        <v>85.176018069482083</v>
      </c>
      <c r="K29" s="6">
        <v>53288977</v>
      </c>
      <c r="L29" s="7">
        <f t="shared" si="4"/>
        <v>74.927853314177824</v>
      </c>
      <c r="M29" s="7">
        <v>1.177789</v>
      </c>
      <c r="N29" s="7">
        <v>1.4234549999999999</v>
      </c>
      <c r="O29" s="24"/>
    </row>
    <row r="30" spans="1:15" ht="12.95" customHeight="1" x14ac:dyDescent="0.45">
      <c r="A30" s="6" t="s">
        <v>232</v>
      </c>
      <c r="B30" s="6" t="s">
        <v>181</v>
      </c>
      <c r="C30" s="6" t="s">
        <v>12</v>
      </c>
      <c r="D30" s="6" t="s">
        <v>61</v>
      </c>
      <c r="E30" s="25"/>
      <c r="F30" s="6">
        <v>60184893</v>
      </c>
      <c r="G30" s="6">
        <v>51079603</v>
      </c>
      <c r="H30" s="6">
        <v>86.1</v>
      </c>
      <c r="I30" s="6">
        <v>44352296</v>
      </c>
      <c r="J30" s="7">
        <f t="shared" si="3"/>
        <v>86.829758641624522</v>
      </c>
      <c r="K30" s="6">
        <v>23296364</v>
      </c>
      <c r="L30" s="7">
        <f t="shared" si="4"/>
        <v>52.525722681865219</v>
      </c>
      <c r="M30" s="7">
        <v>1.074981</v>
      </c>
      <c r="N30" s="7">
        <v>1.294988</v>
      </c>
      <c r="O30" s="24"/>
    </row>
    <row r="31" spans="1:15" ht="12.95" customHeight="1" x14ac:dyDescent="0.45">
      <c r="A31" s="6" t="s">
        <v>233</v>
      </c>
      <c r="B31" s="6" t="s">
        <v>181</v>
      </c>
      <c r="C31" s="6" t="s">
        <v>12</v>
      </c>
      <c r="D31" s="6" t="s">
        <v>61</v>
      </c>
      <c r="E31" s="25"/>
      <c r="F31" s="6">
        <v>84318070</v>
      </c>
      <c r="G31" s="6">
        <v>79857716</v>
      </c>
      <c r="H31" s="6">
        <v>95.63</v>
      </c>
      <c r="I31" s="6">
        <v>68660762</v>
      </c>
      <c r="J31" s="7">
        <f t="shared" si="3"/>
        <v>85.978870219629115</v>
      </c>
      <c r="K31" s="6">
        <v>20932293</v>
      </c>
      <c r="L31" s="7">
        <f t="shared" si="4"/>
        <v>30.486543391405995</v>
      </c>
      <c r="M31" s="7">
        <v>1.2205699999999999</v>
      </c>
      <c r="N31" s="7">
        <v>1.3466279999999999</v>
      </c>
      <c r="O31" s="24"/>
    </row>
    <row r="32" spans="1:15" ht="12.95" customHeight="1" x14ac:dyDescent="0.45">
      <c r="A32" s="6" t="s">
        <v>234</v>
      </c>
      <c r="B32" s="6" t="s">
        <v>146</v>
      </c>
      <c r="C32" s="6" t="s">
        <v>12</v>
      </c>
      <c r="D32" s="6" t="s">
        <v>61</v>
      </c>
      <c r="E32" s="25"/>
      <c r="F32" s="6">
        <v>61322715</v>
      </c>
      <c r="G32" s="6">
        <v>59396426</v>
      </c>
      <c r="H32" s="6">
        <v>97.1</v>
      </c>
      <c r="I32" s="6">
        <v>51996855</v>
      </c>
      <c r="J32" s="7">
        <f t="shared" si="3"/>
        <v>87.542060190624937</v>
      </c>
      <c r="K32" s="6">
        <v>33485428</v>
      </c>
      <c r="L32" s="7">
        <f t="shared" si="4"/>
        <v>64.398948744111536</v>
      </c>
      <c r="M32" s="7">
        <v>1.21383</v>
      </c>
      <c r="N32" s="7">
        <v>1.7107950000000001</v>
      </c>
      <c r="O32" s="24"/>
    </row>
    <row r="33" spans="1:15" ht="12.95" customHeight="1" x14ac:dyDescent="0.45">
      <c r="A33" s="6" t="s">
        <v>235</v>
      </c>
      <c r="B33" s="6" t="s">
        <v>146</v>
      </c>
      <c r="C33" s="6" t="s">
        <v>12</v>
      </c>
      <c r="D33" s="6" t="s">
        <v>61</v>
      </c>
      <c r="E33" s="25"/>
      <c r="F33" s="6">
        <v>55573910</v>
      </c>
      <c r="G33" s="6">
        <v>53883614</v>
      </c>
      <c r="H33" s="6">
        <v>97.23</v>
      </c>
      <c r="I33" s="6">
        <v>44910363</v>
      </c>
      <c r="J33" s="7">
        <f t="shared" si="3"/>
        <v>83.346976318255116</v>
      </c>
      <c r="K33" s="6">
        <v>32975729</v>
      </c>
      <c r="L33" s="7">
        <f t="shared" si="4"/>
        <v>73.425656791061783</v>
      </c>
      <c r="M33" s="7">
        <v>1.205633</v>
      </c>
      <c r="N33" s="7">
        <v>1.2294080000000001</v>
      </c>
      <c r="O33" s="24"/>
    </row>
    <row r="34" spans="1:15" ht="12.95" customHeight="1" x14ac:dyDescent="0.45">
      <c r="A34" s="6" t="s">
        <v>236</v>
      </c>
      <c r="B34" s="6" t="s">
        <v>182</v>
      </c>
      <c r="C34" s="6" t="s">
        <v>12</v>
      </c>
      <c r="D34" s="6" t="s">
        <v>61</v>
      </c>
      <c r="E34" s="25"/>
      <c r="F34" s="6">
        <v>33443383</v>
      </c>
      <c r="G34" s="6">
        <v>31863844</v>
      </c>
      <c r="H34" s="6">
        <v>97.93</v>
      </c>
      <c r="I34" s="6">
        <v>29377282</v>
      </c>
      <c r="J34" s="7">
        <f t="shared" si="3"/>
        <v>92.196289939154866</v>
      </c>
      <c r="K34" s="6">
        <v>20139191</v>
      </c>
      <c r="L34" s="7">
        <f t="shared" si="4"/>
        <v>68.553622489650337</v>
      </c>
      <c r="M34" s="7">
        <v>1.236774</v>
      </c>
      <c r="N34" s="7">
        <v>2.7466849999999998</v>
      </c>
      <c r="O34" s="24"/>
    </row>
    <row r="35" spans="1:15" ht="12.95" customHeight="1" x14ac:dyDescent="0.45">
      <c r="A35" s="6" t="s">
        <v>237</v>
      </c>
      <c r="B35" s="6" t="s">
        <v>182</v>
      </c>
      <c r="C35" s="6" t="s">
        <v>12</v>
      </c>
      <c r="D35" s="6" t="s">
        <v>61</v>
      </c>
      <c r="E35" s="25"/>
      <c r="F35" s="6">
        <v>46480165</v>
      </c>
      <c r="G35" s="6">
        <v>44803437</v>
      </c>
      <c r="H35" s="6">
        <v>97.84</v>
      </c>
      <c r="I35" s="6">
        <v>40879096</v>
      </c>
      <c r="J35" s="7">
        <f t="shared" si="3"/>
        <v>91.240982248750242</v>
      </c>
      <c r="K35" s="6">
        <v>27230761</v>
      </c>
      <c r="L35" s="7">
        <f t="shared" si="4"/>
        <v>66.612923632166428</v>
      </c>
      <c r="M35" s="7">
        <v>1.211549</v>
      </c>
      <c r="N35" s="7">
        <v>2.1523599999999998</v>
      </c>
      <c r="O35" s="24"/>
    </row>
    <row r="36" spans="1:15" ht="12.95" customHeight="1" x14ac:dyDescent="0.45">
      <c r="A36" s="6" t="s">
        <v>238</v>
      </c>
      <c r="B36" s="6" t="s">
        <v>148</v>
      </c>
      <c r="C36" s="6" t="s">
        <v>12</v>
      </c>
      <c r="D36" s="6" t="s">
        <v>61</v>
      </c>
      <c r="E36" s="25"/>
      <c r="F36" s="6">
        <v>59702492</v>
      </c>
      <c r="G36" s="6">
        <v>57690437</v>
      </c>
      <c r="H36" s="6">
        <v>96.67</v>
      </c>
      <c r="I36" s="6">
        <v>48339306</v>
      </c>
      <c r="J36" s="7">
        <f t="shared" si="3"/>
        <v>83.790847346155488</v>
      </c>
      <c r="K36" s="6">
        <v>34684281</v>
      </c>
      <c r="L36" s="7">
        <f t="shared" si="4"/>
        <v>71.751714846712943</v>
      </c>
      <c r="M36" s="7">
        <v>1.2237560000000001</v>
      </c>
      <c r="N36" s="7">
        <v>1.1994480000000001</v>
      </c>
      <c r="O36" s="24"/>
    </row>
    <row r="37" spans="1:15" ht="12.95" customHeight="1" x14ac:dyDescent="0.45">
      <c r="A37" s="6" t="s">
        <v>239</v>
      </c>
      <c r="B37" s="6" t="s">
        <v>148</v>
      </c>
      <c r="C37" s="6" t="s">
        <v>12</v>
      </c>
      <c r="D37" s="6" t="s">
        <v>61</v>
      </c>
      <c r="E37" s="25"/>
      <c r="F37" s="6">
        <v>57092039</v>
      </c>
      <c r="G37" s="6">
        <v>54754331</v>
      </c>
      <c r="H37" s="6">
        <v>96.27</v>
      </c>
      <c r="I37" s="6">
        <v>45295818</v>
      </c>
      <c r="J37" s="7">
        <f t="shared" si="3"/>
        <v>82.725543665212527</v>
      </c>
      <c r="K37" s="6">
        <v>32679943</v>
      </c>
      <c r="L37" s="7">
        <f t="shared" si="4"/>
        <v>72.147815058776516</v>
      </c>
      <c r="M37" s="7">
        <v>1.2255370000000001</v>
      </c>
      <c r="N37" s="7">
        <v>1.206118</v>
      </c>
      <c r="O37" s="24"/>
    </row>
    <row r="38" spans="1:15" x14ac:dyDescent="0.45">
      <c r="A38" s="6" t="s">
        <v>240</v>
      </c>
      <c r="B38" s="6" t="s">
        <v>150</v>
      </c>
      <c r="C38" s="6" t="s">
        <v>12</v>
      </c>
      <c r="D38" s="6" t="s">
        <v>61</v>
      </c>
      <c r="E38" s="25"/>
      <c r="F38" s="6">
        <v>140123141</v>
      </c>
      <c r="G38" s="6">
        <v>119453550</v>
      </c>
      <c r="H38" s="6">
        <v>85.29</v>
      </c>
      <c r="I38" s="6">
        <v>103362721</v>
      </c>
      <c r="J38" s="7">
        <f t="shared" si="3"/>
        <v>86.52963515944063</v>
      </c>
      <c r="K38" s="6">
        <v>16584899</v>
      </c>
      <c r="L38" s="7">
        <f t="shared" si="4"/>
        <v>16.045339015407691</v>
      </c>
      <c r="M38" s="7">
        <v>1.1070530000000001</v>
      </c>
      <c r="N38" s="7">
        <v>1.9482820000000001</v>
      </c>
      <c r="O38" s="24"/>
    </row>
    <row r="39" spans="1:15" x14ac:dyDescent="0.45">
      <c r="A39" s="6" t="s">
        <v>241</v>
      </c>
      <c r="B39" s="6" t="s">
        <v>150</v>
      </c>
      <c r="C39" s="6" t="s">
        <v>12</v>
      </c>
      <c r="D39" s="6" t="s">
        <v>61</v>
      </c>
      <c r="E39" s="25"/>
      <c r="F39" s="6">
        <v>119925560</v>
      </c>
      <c r="G39" s="6">
        <v>106596409</v>
      </c>
      <c r="H39" s="6">
        <v>88.94</v>
      </c>
      <c r="I39" s="6">
        <v>91424235</v>
      </c>
      <c r="J39" s="7">
        <f t="shared" si="3"/>
        <v>85.766711897396092</v>
      </c>
      <c r="K39" s="6">
        <v>16060870</v>
      </c>
      <c r="L39" s="7">
        <f t="shared" si="4"/>
        <v>17.567409779256018</v>
      </c>
      <c r="M39" s="7">
        <v>1.0935619999999999</v>
      </c>
      <c r="N39" s="7">
        <v>2.056759</v>
      </c>
      <c r="O39" s="24"/>
    </row>
    <row r="40" spans="1:15" x14ac:dyDescent="0.45">
      <c r="A40" s="6" t="s">
        <v>242</v>
      </c>
      <c r="B40" s="6" t="s">
        <v>152</v>
      </c>
      <c r="C40" s="6" t="s">
        <v>12</v>
      </c>
      <c r="D40" s="6" t="s">
        <v>61</v>
      </c>
      <c r="E40" s="25"/>
      <c r="F40" s="6">
        <v>57438232</v>
      </c>
      <c r="G40" s="6">
        <v>56103372</v>
      </c>
      <c r="H40" s="6">
        <v>97.61</v>
      </c>
      <c r="I40" s="6">
        <v>46818415</v>
      </c>
      <c r="J40" s="7">
        <f t="shared" si="3"/>
        <v>83.45026926367278</v>
      </c>
      <c r="K40" s="6">
        <v>24562044</v>
      </c>
      <c r="L40" s="7">
        <f t="shared" si="4"/>
        <v>52.462356959328929</v>
      </c>
      <c r="M40" s="7">
        <v>1.3640920000000001</v>
      </c>
      <c r="N40" s="7">
        <v>1.151591</v>
      </c>
      <c r="O40" s="24"/>
    </row>
    <row r="41" spans="1:15" x14ac:dyDescent="0.45">
      <c r="A41" s="6" t="s">
        <v>243</v>
      </c>
      <c r="B41" s="6" t="s">
        <v>152</v>
      </c>
      <c r="C41" s="6" t="s">
        <v>12</v>
      </c>
      <c r="D41" s="6" t="s">
        <v>61</v>
      </c>
      <c r="E41" s="25"/>
      <c r="F41" s="6">
        <v>63423277</v>
      </c>
      <c r="G41" s="6">
        <v>61648832</v>
      </c>
      <c r="H41" s="6">
        <v>97.25</v>
      </c>
      <c r="I41" s="6">
        <v>50463180</v>
      </c>
      <c r="J41" s="7">
        <f t="shared" si="3"/>
        <v>81.85585738266704</v>
      </c>
      <c r="K41" s="6">
        <v>39568302</v>
      </c>
      <c r="L41" s="7">
        <f t="shared" si="4"/>
        <v>78.410242874111375</v>
      </c>
      <c r="M41" s="7">
        <v>1.175689</v>
      </c>
      <c r="N41" s="7">
        <v>1.1410009999999999</v>
      </c>
      <c r="O41" s="24"/>
    </row>
    <row r="42" spans="1:15" x14ac:dyDescent="0.45">
      <c r="A42" s="6" t="s">
        <v>244</v>
      </c>
      <c r="B42" s="6" t="s">
        <v>11</v>
      </c>
      <c r="C42" s="6" t="s">
        <v>15</v>
      </c>
      <c r="D42" s="6" t="s">
        <v>60</v>
      </c>
      <c r="E42" s="25" t="s">
        <v>16</v>
      </c>
      <c r="F42" s="6">
        <v>57654638</v>
      </c>
      <c r="G42" s="6">
        <v>57564069</v>
      </c>
      <c r="H42" s="6">
        <v>99.84</v>
      </c>
      <c r="I42" s="6">
        <v>55245699</v>
      </c>
      <c r="J42" s="7">
        <f t="shared" si="0"/>
        <v>95.972539745235878</v>
      </c>
      <c r="K42" s="6">
        <v>46780068</v>
      </c>
      <c r="L42" s="7">
        <f t="shared" si="1"/>
        <v>84.676398066752668</v>
      </c>
      <c r="M42" s="7">
        <v>1.350784</v>
      </c>
      <c r="N42" s="7">
        <v>1.1835119999999999</v>
      </c>
      <c r="O42" s="24" t="s">
        <v>62</v>
      </c>
    </row>
    <row r="43" spans="1:15" x14ac:dyDescent="0.45">
      <c r="A43" s="6" t="s">
        <v>245</v>
      </c>
      <c r="B43" s="6" t="s">
        <v>11</v>
      </c>
      <c r="C43" s="6" t="s">
        <v>15</v>
      </c>
      <c r="D43" s="6" t="s">
        <v>60</v>
      </c>
      <c r="E43" s="25"/>
      <c r="F43" s="6">
        <v>59802729</v>
      </c>
      <c r="G43" s="6">
        <v>59691021</v>
      </c>
      <c r="H43" s="6">
        <v>99.81</v>
      </c>
      <c r="I43" s="6">
        <v>48288536</v>
      </c>
      <c r="J43" s="7">
        <f t="shared" si="0"/>
        <v>80.897487077662817</v>
      </c>
      <c r="K43" s="6">
        <v>39021198</v>
      </c>
      <c r="L43" s="7">
        <f t="shared" si="1"/>
        <v>80.808409681337196</v>
      </c>
      <c r="M43" s="7">
        <v>1.1129020000000001</v>
      </c>
      <c r="N43" s="7">
        <v>1.929718</v>
      </c>
      <c r="O43" s="24"/>
    </row>
    <row r="44" spans="1:15" x14ac:dyDescent="0.45">
      <c r="A44" s="6" t="s">
        <v>246</v>
      </c>
      <c r="B44" s="6" t="s">
        <v>11</v>
      </c>
      <c r="C44" s="6" t="s">
        <v>15</v>
      </c>
      <c r="D44" s="6" t="s">
        <v>60</v>
      </c>
      <c r="E44" s="25"/>
      <c r="F44" s="6">
        <v>59689860</v>
      </c>
      <c r="G44" s="6">
        <v>59425478</v>
      </c>
      <c r="H44" s="6">
        <v>99.56</v>
      </c>
      <c r="I44" s="6">
        <v>52123765</v>
      </c>
      <c r="J44" s="7">
        <f t="shared" si="0"/>
        <v>87.712824118974694</v>
      </c>
      <c r="K44" s="6">
        <v>44312246</v>
      </c>
      <c r="L44" s="7">
        <f t="shared" si="1"/>
        <v>85.013517346646012</v>
      </c>
      <c r="M44" s="7" t="s">
        <v>14</v>
      </c>
      <c r="N44" s="7" t="s">
        <v>14</v>
      </c>
      <c r="O44" s="24"/>
    </row>
    <row r="45" spans="1:15" x14ac:dyDescent="0.45">
      <c r="A45" s="6" t="s">
        <v>247</v>
      </c>
      <c r="B45" s="6" t="s">
        <v>11</v>
      </c>
      <c r="C45" s="6" t="s">
        <v>15</v>
      </c>
      <c r="D45" s="6" t="s">
        <v>60</v>
      </c>
      <c r="E45" s="25"/>
      <c r="F45" s="6">
        <v>59650906</v>
      </c>
      <c r="G45" s="6">
        <v>59537402</v>
      </c>
      <c r="H45" s="6">
        <v>99.81</v>
      </c>
      <c r="I45" s="6">
        <v>57051134</v>
      </c>
      <c r="J45" s="7">
        <f>I45/G45*100</f>
        <v>95.824023359299417</v>
      </c>
      <c r="K45" s="6">
        <v>46029451</v>
      </c>
      <c r="L45" s="7">
        <f t="shared" si="1"/>
        <v>80.68104483251814</v>
      </c>
      <c r="M45" s="7">
        <v>1.350579</v>
      </c>
      <c r="N45" s="7">
        <v>1.1752119999999999</v>
      </c>
      <c r="O45" s="24"/>
    </row>
    <row r="46" spans="1:15" x14ac:dyDescent="0.45">
      <c r="A46" s="6" t="s">
        <v>248</v>
      </c>
      <c r="B46" s="6" t="s">
        <v>11</v>
      </c>
      <c r="C46" s="6" t="s">
        <v>15</v>
      </c>
      <c r="D46" s="6" t="s">
        <v>60</v>
      </c>
      <c r="E46" s="25"/>
      <c r="F46" s="6">
        <v>62182816</v>
      </c>
      <c r="G46" s="6">
        <v>62096513</v>
      </c>
      <c r="H46" s="6">
        <v>99.86</v>
      </c>
      <c r="I46" s="6">
        <v>51513965</v>
      </c>
      <c r="J46" s="7">
        <f t="shared" si="0"/>
        <v>82.957902966306662</v>
      </c>
      <c r="K46" s="6">
        <v>41670222</v>
      </c>
      <c r="L46" s="7">
        <f t="shared" si="1"/>
        <v>80.891117583358223</v>
      </c>
      <c r="M46" s="7">
        <v>1.1071329999999999</v>
      </c>
      <c r="N46" s="7">
        <v>2.0754220000000001</v>
      </c>
      <c r="O46" s="24"/>
    </row>
    <row r="47" spans="1:15" x14ac:dyDescent="0.45">
      <c r="A47" s="6" t="s">
        <v>249</v>
      </c>
      <c r="B47" s="6" t="s">
        <v>11</v>
      </c>
      <c r="C47" s="6" t="s">
        <v>15</v>
      </c>
      <c r="D47" s="6" t="s">
        <v>60</v>
      </c>
      <c r="E47" s="25"/>
      <c r="F47" s="6">
        <v>57854434</v>
      </c>
      <c r="G47" s="6">
        <v>57737473</v>
      </c>
      <c r="H47" s="6">
        <v>99.8</v>
      </c>
      <c r="I47" s="6">
        <v>50602513</v>
      </c>
      <c r="J47" s="7">
        <f t="shared" si="0"/>
        <v>87.642410328557332</v>
      </c>
      <c r="K47" s="6">
        <v>43428712</v>
      </c>
      <c r="L47" s="7">
        <f t="shared" si="1"/>
        <v>85.82323174345116</v>
      </c>
      <c r="M47" s="7" t="s">
        <v>14</v>
      </c>
      <c r="N47" s="7" t="s">
        <v>14</v>
      </c>
      <c r="O47" s="24"/>
    </row>
    <row r="48" spans="1:15" x14ac:dyDescent="0.45">
      <c r="A48" s="6" t="s">
        <v>250</v>
      </c>
      <c r="B48" s="6" t="s">
        <v>11</v>
      </c>
      <c r="C48" s="6" t="s">
        <v>15</v>
      </c>
      <c r="D48" s="6" t="s">
        <v>60</v>
      </c>
      <c r="E48" s="25"/>
      <c r="F48" s="6">
        <v>62026547</v>
      </c>
      <c r="G48" s="6">
        <v>61892671</v>
      </c>
      <c r="H48" s="6">
        <v>99.78</v>
      </c>
      <c r="I48" s="6">
        <v>59573777</v>
      </c>
      <c r="J48" s="7">
        <f t="shared" si="0"/>
        <v>96.253362534636778</v>
      </c>
      <c r="K48" s="6">
        <v>46456000</v>
      </c>
      <c r="L48" s="7">
        <f t="shared" si="1"/>
        <v>77.980618888743606</v>
      </c>
      <c r="M48" s="7">
        <v>1.1807559999999999</v>
      </c>
      <c r="N48" s="7">
        <v>1.1968449999999999</v>
      </c>
      <c r="O48" s="24"/>
    </row>
    <row r="49" spans="1:15" x14ac:dyDescent="0.45">
      <c r="A49" s="6" t="s">
        <v>251</v>
      </c>
      <c r="B49" s="6" t="s">
        <v>11</v>
      </c>
      <c r="C49" s="6" t="s">
        <v>15</v>
      </c>
      <c r="D49" s="6" t="s">
        <v>60</v>
      </c>
      <c r="E49" s="25"/>
      <c r="F49" s="6">
        <v>68403503</v>
      </c>
      <c r="G49" s="6">
        <v>68288541</v>
      </c>
      <c r="H49" s="6">
        <v>99.83</v>
      </c>
      <c r="I49" s="6">
        <v>58060819</v>
      </c>
      <c r="J49" s="7">
        <f t="shared" si="0"/>
        <v>85.022784422938543</v>
      </c>
      <c r="K49" s="6">
        <v>45591188</v>
      </c>
      <c r="L49" s="7">
        <f t="shared" si="1"/>
        <v>78.523156898630731</v>
      </c>
      <c r="M49" s="7">
        <v>1.1211199999999999</v>
      </c>
      <c r="N49" s="7">
        <v>1.9807440000000001</v>
      </c>
      <c r="O49" s="24"/>
    </row>
    <row r="50" spans="1:15" x14ac:dyDescent="0.45">
      <c r="A50" s="6" t="s">
        <v>254</v>
      </c>
      <c r="B50" s="6" t="s">
        <v>11</v>
      </c>
      <c r="C50" s="6" t="s">
        <v>15</v>
      </c>
      <c r="D50" s="6" t="s">
        <v>60</v>
      </c>
      <c r="E50" s="25"/>
      <c r="F50" s="6">
        <v>72357630</v>
      </c>
      <c r="G50" s="6">
        <v>72289665</v>
      </c>
      <c r="H50" s="6">
        <v>99.91</v>
      </c>
      <c r="I50" s="6">
        <v>63996226</v>
      </c>
      <c r="J50" s="7">
        <f t="shared" si="0"/>
        <v>88.527490063759458</v>
      </c>
      <c r="K50" s="6">
        <v>50847779</v>
      </c>
      <c r="L50" s="7">
        <f t="shared" si="1"/>
        <v>79.454340010612498</v>
      </c>
      <c r="M50" s="7" t="s">
        <v>14</v>
      </c>
      <c r="N50" s="7" t="s">
        <v>14</v>
      </c>
      <c r="O50" s="24"/>
    </row>
    <row r="51" spans="1:15" x14ac:dyDescent="0.45">
      <c r="A51" s="6" t="s">
        <v>255</v>
      </c>
      <c r="B51" s="6" t="s">
        <v>11</v>
      </c>
      <c r="C51" s="6" t="s">
        <v>17</v>
      </c>
      <c r="D51" s="6" t="s">
        <v>60</v>
      </c>
      <c r="E51" s="25" t="s">
        <v>18</v>
      </c>
      <c r="F51" s="6">
        <v>65486578</v>
      </c>
      <c r="G51" s="6">
        <v>65434508</v>
      </c>
      <c r="H51" s="6">
        <v>99.92</v>
      </c>
      <c r="I51" s="6">
        <v>63818766</v>
      </c>
      <c r="J51" s="7">
        <f t="shared" si="0"/>
        <v>97.530749371570124</v>
      </c>
      <c r="K51" s="6">
        <v>44223056</v>
      </c>
      <c r="L51" s="7">
        <f t="shared" si="1"/>
        <v>69.294752581082491</v>
      </c>
      <c r="M51" s="7">
        <v>1.2322690000000001</v>
      </c>
      <c r="N51" s="7">
        <v>1.203273</v>
      </c>
      <c r="O51" s="24"/>
    </row>
    <row r="52" spans="1:15" x14ac:dyDescent="0.45">
      <c r="A52" s="6" t="s">
        <v>258</v>
      </c>
      <c r="B52" s="6" t="s">
        <v>11</v>
      </c>
      <c r="C52" s="6" t="s">
        <v>17</v>
      </c>
      <c r="D52" s="6" t="s">
        <v>60</v>
      </c>
      <c r="E52" s="25"/>
      <c r="F52" s="6">
        <v>63073257</v>
      </c>
      <c r="G52" s="6">
        <v>63003311</v>
      </c>
      <c r="H52" s="6">
        <v>99.89</v>
      </c>
      <c r="I52" s="6">
        <v>55783648</v>
      </c>
      <c r="J52" s="7">
        <f t="shared" si="0"/>
        <v>88.540819703904134</v>
      </c>
      <c r="K52" s="6">
        <v>39705100</v>
      </c>
      <c r="L52" s="7">
        <f t="shared" si="1"/>
        <v>71.176951353199414</v>
      </c>
      <c r="M52" s="7">
        <v>1.117877</v>
      </c>
      <c r="N52" s="7">
        <v>1.626463</v>
      </c>
      <c r="O52" s="24"/>
    </row>
    <row r="53" spans="1:15" x14ac:dyDescent="0.45">
      <c r="A53" s="6" t="s">
        <v>257</v>
      </c>
      <c r="B53" s="6" t="s">
        <v>11</v>
      </c>
      <c r="C53" s="6" t="s">
        <v>17</v>
      </c>
      <c r="D53" s="6" t="s">
        <v>60</v>
      </c>
      <c r="E53" s="25"/>
      <c r="F53" s="6">
        <v>61215060</v>
      </c>
      <c r="G53" s="6">
        <v>61074502</v>
      </c>
      <c r="H53" s="6">
        <v>99.77</v>
      </c>
      <c r="I53" s="6">
        <v>55865666</v>
      </c>
      <c r="J53" s="7">
        <f t="shared" si="0"/>
        <v>91.471341018875606</v>
      </c>
      <c r="K53" s="6">
        <v>41471430</v>
      </c>
      <c r="L53" s="7">
        <f t="shared" si="1"/>
        <v>74.234199588706247</v>
      </c>
      <c r="M53" s="7" t="s">
        <v>14</v>
      </c>
      <c r="N53" s="7" t="s">
        <v>14</v>
      </c>
      <c r="O53" s="24"/>
    </row>
    <row r="54" spans="1:15" x14ac:dyDescent="0.45">
      <c r="A54" s="6" t="s">
        <v>259</v>
      </c>
      <c r="B54" s="6" t="s">
        <v>11</v>
      </c>
      <c r="C54" s="6" t="s">
        <v>17</v>
      </c>
      <c r="D54" s="6" t="s">
        <v>60</v>
      </c>
      <c r="E54" s="25"/>
      <c r="F54" s="6">
        <v>62354575</v>
      </c>
      <c r="G54" s="6">
        <v>62256575</v>
      </c>
      <c r="H54" s="6">
        <v>99.84</v>
      </c>
      <c r="I54" s="6">
        <v>60893370</v>
      </c>
      <c r="J54" s="7">
        <f t="shared" si="0"/>
        <v>97.810343726746936</v>
      </c>
      <c r="K54" s="6">
        <v>49466788</v>
      </c>
      <c r="L54" s="7">
        <f t="shared" si="1"/>
        <v>81.235096694434887</v>
      </c>
      <c r="M54" s="7">
        <v>1.2794829999999999</v>
      </c>
      <c r="N54" s="7">
        <v>1.201592</v>
      </c>
      <c r="O54" s="24"/>
    </row>
    <row r="55" spans="1:15" x14ac:dyDescent="0.45">
      <c r="A55" s="6" t="s">
        <v>256</v>
      </c>
      <c r="B55" s="6" t="s">
        <v>11</v>
      </c>
      <c r="C55" s="6" t="s">
        <v>17</v>
      </c>
      <c r="D55" s="6" t="s">
        <v>60</v>
      </c>
      <c r="E55" s="25"/>
      <c r="F55" s="6">
        <v>54209649</v>
      </c>
      <c r="G55" s="6">
        <v>54142662</v>
      </c>
      <c r="H55" s="6">
        <v>99.88</v>
      </c>
      <c r="I55" s="6">
        <v>48698183</v>
      </c>
      <c r="J55" s="7">
        <f t="shared" si="0"/>
        <v>89.944197793599429</v>
      </c>
      <c r="K55" s="6">
        <v>39059178</v>
      </c>
      <c r="L55" s="7">
        <f t="shared" si="1"/>
        <v>80.206643438832202</v>
      </c>
      <c r="M55" s="7">
        <v>1.083405</v>
      </c>
      <c r="N55" s="7">
        <v>2.3198110000000001</v>
      </c>
      <c r="O55" s="24"/>
    </row>
    <row r="56" spans="1:15" x14ac:dyDescent="0.45">
      <c r="A56" s="6" t="s">
        <v>260</v>
      </c>
      <c r="B56" s="6" t="s">
        <v>11</v>
      </c>
      <c r="C56" s="6" t="s">
        <v>17</v>
      </c>
      <c r="D56" s="6" t="s">
        <v>60</v>
      </c>
      <c r="E56" s="25"/>
      <c r="F56" s="6">
        <v>60527305</v>
      </c>
      <c r="G56" s="6">
        <v>60431755</v>
      </c>
      <c r="H56" s="6">
        <v>99.84</v>
      </c>
      <c r="I56" s="6">
        <v>55111488</v>
      </c>
      <c r="J56" s="7">
        <f t="shared" si="0"/>
        <v>91.196239460528659</v>
      </c>
      <c r="K56" s="6">
        <v>47866364</v>
      </c>
      <c r="L56" s="7">
        <f t="shared" si="1"/>
        <v>86.853695548920768</v>
      </c>
      <c r="M56" s="7" t="s">
        <v>14</v>
      </c>
      <c r="N56" s="7" t="s">
        <v>14</v>
      </c>
      <c r="O56" s="24"/>
    </row>
    <row r="57" spans="1:15" x14ac:dyDescent="0.45">
      <c r="A57" s="6" t="s">
        <v>261</v>
      </c>
      <c r="B57" s="6" t="s">
        <v>11</v>
      </c>
      <c r="C57" s="6" t="s">
        <v>17</v>
      </c>
      <c r="D57" s="6" t="s">
        <v>60</v>
      </c>
      <c r="E57" s="25"/>
      <c r="F57" s="6">
        <v>61284461</v>
      </c>
      <c r="G57" s="6">
        <v>61188470</v>
      </c>
      <c r="H57" s="6">
        <v>99.84</v>
      </c>
      <c r="I57" s="6">
        <v>59457547</v>
      </c>
      <c r="J57" s="7">
        <f t="shared" si="0"/>
        <v>97.171161494967933</v>
      </c>
      <c r="K57" s="6">
        <v>47580683</v>
      </c>
      <c r="L57" s="7">
        <f t="shared" si="1"/>
        <v>80.024631692255994</v>
      </c>
      <c r="M57" s="7">
        <v>1.189046</v>
      </c>
      <c r="N57" s="7">
        <v>1.2589669999999999</v>
      </c>
      <c r="O57" s="24"/>
    </row>
    <row r="58" spans="1:15" x14ac:dyDescent="0.45">
      <c r="A58" s="6" t="s">
        <v>263</v>
      </c>
      <c r="B58" s="6" t="s">
        <v>11</v>
      </c>
      <c r="C58" s="6" t="s">
        <v>17</v>
      </c>
      <c r="D58" s="6" t="s">
        <v>60</v>
      </c>
      <c r="E58" s="25"/>
      <c r="F58" s="6">
        <v>84181757</v>
      </c>
      <c r="G58" s="6">
        <v>84066224</v>
      </c>
      <c r="H58" s="6">
        <v>99.86</v>
      </c>
      <c r="I58" s="6">
        <v>74479569</v>
      </c>
      <c r="J58" s="7">
        <f t="shared" si="0"/>
        <v>88.596305931380954</v>
      </c>
      <c r="K58" s="6">
        <v>60880933</v>
      </c>
      <c r="L58" s="7">
        <f t="shared" si="1"/>
        <v>81.741790154559041</v>
      </c>
      <c r="M58" s="7">
        <v>1.0810310000000001</v>
      </c>
      <c r="N58" s="7">
        <v>2.0645389999999999</v>
      </c>
      <c r="O58" s="24"/>
    </row>
    <row r="59" spans="1:15" x14ac:dyDescent="0.45">
      <c r="A59" s="6" t="s">
        <v>262</v>
      </c>
      <c r="B59" s="6" t="s">
        <v>11</v>
      </c>
      <c r="C59" s="6" t="s">
        <v>17</v>
      </c>
      <c r="D59" s="6" t="s">
        <v>60</v>
      </c>
      <c r="E59" s="25"/>
      <c r="F59" s="6">
        <v>60319368</v>
      </c>
      <c r="G59" s="6">
        <v>60185144</v>
      </c>
      <c r="H59" s="6">
        <v>99.78</v>
      </c>
      <c r="I59" s="6">
        <v>54841405</v>
      </c>
      <c r="J59" s="7">
        <f t="shared" si="0"/>
        <v>91.121166047222545</v>
      </c>
      <c r="K59" s="6">
        <v>46466748</v>
      </c>
      <c r="L59" s="7">
        <f t="shared" si="1"/>
        <v>84.729317201118391</v>
      </c>
      <c r="M59" s="7" t="s">
        <v>14</v>
      </c>
      <c r="N59" s="7" t="s">
        <v>14</v>
      </c>
      <c r="O59" s="24"/>
    </row>
    <row r="60" spans="1:15" x14ac:dyDescent="0.45">
      <c r="A60" s="6" t="s">
        <v>264</v>
      </c>
      <c r="B60" s="6" t="s">
        <v>11</v>
      </c>
      <c r="C60" s="6" t="s">
        <v>19</v>
      </c>
      <c r="D60" s="6" t="s">
        <v>61</v>
      </c>
      <c r="E60" s="25" t="s">
        <v>20</v>
      </c>
      <c r="F60" s="6">
        <v>51871542</v>
      </c>
      <c r="G60" s="6">
        <v>50884242</v>
      </c>
      <c r="H60" s="6">
        <v>98.1</v>
      </c>
      <c r="I60" s="6">
        <v>48476718</v>
      </c>
      <c r="J60" s="7">
        <f t="shared" si="0"/>
        <v>95.268625599257234</v>
      </c>
      <c r="K60" s="6">
        <v>37938384</v>
      </c>
      <c r="L60" s="7">
        <f t="shared" si="1"/>
        <v>78.261040691739908</v>
      </c>
      <c r="M60" s="7">
        <v>1.256092</v>
      </c>
      <c r="N60" s="7">
        <v>1.2600070000000001</v>
      </c>
      <c r="O60" s="7" t="s">
        <v>77</v>
      </c>
    </row>
    <row r="61" spans="1:15" x14ac:dyDescent="0.45">
      <c r="A61" s="6" t="s">
        <v>267</v>
      </c>
      <c r="B61" s="6" t="s">
        <v>11</v>
      </c>
      <c r="C61" s="6" t="s">
        <v>19</v>
      </c>
      <c r="D61" s="6" t="s">
        <v>61</v>
      </c>
      <c r="E61" s="25"/>
      <c r="F61" s="6">
        <v>56663435</v>
      </c>
      <c r="G61" s="6">
        <v>22712033</v>
      </c>
      <c r="H61" s="6">
        <v>40.08</v>
      </c>
      <c r="I61" s="6">
        <v>19898865</v>
      </c>
      <c r="J61" s="7">
        <f t="shared" si="0"/>
        <v>87.61375522834085</v>
      </c>
      <c r="K61" s="6">
        <v>15248773</v>
      </c>
      <c r="L61" s="7">
        <f t="shared" si="1"/>
        <v>76.63137068370483</v>
      </c>
      <c r="M61" s="7">
        <v>1.227096</v>
      </c>
      <c r="N61" s="7">
        <v>1.637119</v>
      </c>
      <c r="O61" s="7" t="s">
        <v>21</v>
      </c>
    </row>
    <row r="62" spans="1:15" x14ac:dyDescent="0.45">
      <c r="A62" s="6" t="s">
        <v>266</v>
      </c>
      <c r="B62" s="6" t="s">
        <v>11</v>
      </c>
      <c r="C62" s="6" t="s">
        <v>19</v>
      </c>
      <c r="D62" s="6" t="s">
        <v>61</v>
      </c>
      <c r="E62" s="25"/>
      <c r="F62" s="6">
        <v>81117282</v>
      </c>
      <c r="G62" s="6">
        <v>78894813</v>
      </c>
      <c r="H62" s="6">
        <v>97.26</v>
      </c>
      <c r="I62" s="6">
        <v>68619846</v>
      </c>
      <c r="J62" s="7">
        <f t="shared" si="0"/>
        <v>86.976371944756366</v>
      </c>
      <c r="K62" s="6">
        <v>50677817</v>
      </c>
      <c r="L62" s="7">
        <f t="shared" si="1"/>
        <v>73.853003109333699</v>
      </c>
      <c r="M62" s="7" t="s">
        <v>14</v>
      </c>
      <c r="N62" s="7" t="s">
        <v>14</v>
      </c>
      <c r="O62" s="7" t="s">
        <v>22</v>
      </c>
    </row>
    <row r="63" spans="1:15" x14ac:dyDescent="0.45">
      <c r="A63" s="6" t="s">
        <v>268</v>
      </c>
      <c r="B63" s="6" t="s">
        <v>11</v>
      </c>
      <c r="C63" s="6" t="s">
        <v>19</v>
      </c>
      <c r="D63" s="6" t="s">
        <v>61</v>
      </c>
      <c r="E63" s="25"/>
      <c r="F63" s="6">
        <v>99732848</v>
      </c>
      <c r="G63" s="6">
        <v>97662636</v>
      </c>
      <c r="H63" s="6">
        <v>97.92</v>
      </c>
      <c r="I63" s="6">
        <v>92127736</v>
      </c>
      <c r="J63" s="7">
        <f t="shared" si="0"/>
        <v>94.332633004089715</v>
      </c>
      <c r="K63" s="6">
        <v>57807452</v>
      </c>
      <c r="L63" s="7">
        <f t="shared" si="1"/>
        <v>62.747066746544164</v>
      </c>
      <c r="M63" s="7">
        <v>1.2373730000000001</v>
      </c>
      <c r="N63" s="7">
        <v>1.2343</v>
      </c>
      <c r="O63" s="7" t="s">
        <v>23</v>
      </c>
    </row>
    <row r="64" spans="1:15" x14ac:dyDescent="0.45">
      <c r="A64" s="6" t="s">
        <v>265</v>
      </c>
      <c r="B64" s="6" t="s">
        <v>11</v>
      </c>
      <c r="C64" s="6" t="s">
        <v>19</v>
      </c>
      <c r="D64" s="6" t="s">
        <v>61</v>
      </c>
      <c r="E64" s="25"/>
      <c r="F64" s="6">
        <v>180845342</v>
      </c>
      <c r="G64" s="6">
        <v>176462215</v>
      </c>
      <c r="H64" s="6">
        <v>97.58</v>
      </c>
      <c r="I64" s="6">
        <v>158214013</v>
      </c>
      <c r="J64" s="7">
        <f t="shared" si="0"/>
        <v>89.658861530214836</v>
      </c>
      <c r="K64" s="6">
        <v>83314965</v>
      </c>
      <c r="L64" s="7">
        <f t="shared" si="1"/>
        <v>52.659662327129006</v>
      </c>
      <c r="M64" s="7">
        <v>1.1665140000000001</v>
      </c>
      <c r="N64" s="7">
        <v>1.255479</v>
      </c>
      <c r="O64" s="7" t="s">
        <v>24</v>
      </c>
    </row>
    <row r="65" spans="1:15" x14ac:dyDescent="0.45">
      <c r="A65" s="6" t="s">
        <v>269</v>
      </c>
      <c r="B65" s="6" t="s">
        <v>11</v>
      </c>
      <c r="C65" s="6" t="s">
        <v>19</v>
      </c>
      <c r="D65" s="6" t="s">
        <v>61</v>
      </c>
      <c r="E65" s="25"/>
      <c r="F65" s="6">
        <v>75330513</v>
      </c>
      <c r="G65" s="6">
        <v>72941619</v>
      </c>
      <c r="H65" s="6">
        <v>96.83</v>
      </c>
      <c r="I65" s="6">
        <v>63470044</v>
      </c>
      <c r="J65" s="7">
        <f t="shared" si="0"/>
        <v>87.014854989714436</v>
      </c>
      <c r="K65" s="6">
        <v>46607118</v>
      </c>
      <c r="L65" s="7">
        <f t="shared" si="1"/>
        <v>73.431677469768246</v>
      </c>
      <c r="M65" s="7" t="s">
        <v>14</v>
      </c>
      <c r="N65" s="7" t="s">
        <v>14</v>
      </c>
      <c r="O65" s="7" t="s">
        <v>25</v>
      </c>
    </row>
    <row r="66" spans="1:15" x14ac:dyDescent="0.45">
      <c r="A66" s="6" t="s">
        <v>270</v>
      </c>
      <c r="B66" s="6" t="s">
        <v>11</v>
      </c>
      <c r="C66" s="6" t="s">
        <v>19</v>
      </c>
      <c r="D66" s="6" t="s">
        <v>61</v>
      </c>
      <c r="E66" s="25"/>
      <c r="F66" s="6">
        <v>94294599</v>
      </c>
      <c r="G66" s="6">
        <v>49079519</v>
      </c>
      <c r="H66" s="6">
        <v>52.05</v>
      </c>
      <c r="I66" s="6">
        <v>46433280</v>
      </c>
      <c r="J66" s="7">
        <f t="shared" si="0"/>
        <v>94.608262155136444</v>
      </c>
      <c r="K66" s="6">
        <v>31652754</v>
      </c>
      <c r="L66" s="7">
        <f t="shared" si="1"/>
        <v>68.168249152332123</v>
      </c>
      <c r="M66" s="7">
        <v>1.252157</v>
      </c>
      <c r="N66" s="7">
        <v>1.3746160000000001</v>
      </c>
      <c r="O66" s="7" t="s">
        <v>26</v>
      </c>
    </row>
    <row r="67" spans="1:15" x14ac:dyDescent="0.45">
      <c r="A67" s="6" t="s">
        <v>271</v>
      </c>
      <c r="B67" s="6" t="s">
        <v>11</v>
      </c>
      <c r="C67" s="6" t="s">
        <v>19</v>
      </c>
      <c r="D67" s="6" t="s">
        <v>61</v>
      </c>
      <c r="E67" s="25"/>
      <c r="F67" s="6">
        <v>76558273</v>
      </c>
      <c r="G67" s="6">
        <v>73457103</v>
      </c>
      <c r="H67" s="6">
        <v>95.95</v>
      </c>
      <c r="I67" s="6">
        <v>63503668</v>
      </c>
      <c r="J67" s="7">
        <f t="shared" si="0"/>
        <v>86.450003344128618</v>
      </c>
      <c r="K67" s="6">
        <v>35344371</v>
      </c>
      <c r="L67" s="7">
        <f t="shared" si="1"/>
        <v>55.657211800741969</v>
      </c>
      <c r="M67" s="7">
        <v>1.1017140000000001</v>
      </c>
      <c r="N67" s="7">
        <v>1.089318</v>
      </c>
      <c r="O67" s="7" t="s">
        <v>27</v>
      </c>
    </row>
    <row r="68" spans="1:15" x14ac:dyDescent="0.45">
      <c r="A68" s="6" t="s">
        <v>272</v>
      </c>
      <c r="B68" s="6" t="s">
        <v>11</v>
      </c>
      <c r="C68" s="6" t="s">
        <v>19</v>
      </c>
      <c r="D68" s="6" t="s">
        <v>61</v>
      </c>
      <c r="E68" s="25"/>
      <c r="F68" s="6">
        <v>92952094</v>
      </c>
      <c r="G68" s="6">
        <v>90326625</v>
      </c>
      <c r="H68" s="6">
        <v>97.18</v>
      </c>
      <c r="I68" s="6">
        <v>77909910</v>
      </c>
      <c r="J68" s="7">
        <f>I68/G68*100</f>
        <v>86.253538200945741</v>
      </c>
      <c r="K68" s="6">
        <v>56539604</v>
      </c>
      <c r="L68" s="7">
        <f>K68/I68*100</f>
        <v>72.570490711643743</v>
      </c>
      <c r="M68" s="7" t="s">
        <v>14</v>
      </c>
      <c r="N68" s="7" t="s">
        <v>14</v>
      </c>
      <c r="O68" s="7" t="s">
        <v>28</v>
      </c>
    </row>
    <row r="69" spans="1:15" x14ac:dyDescent="0.45">
      <c r="A69" s="6" t="s">
        <v>273</v>
      </c>
      <c r="B69" s="6" t="s">
        <v>11</v>
      </c>
      <c r="C69" s="6" t="s">
        <v>29</v>
      </c>
      <c r="D69" s="6" t="s">
        <v>61</v>
      </c>
      <c r="E69" s="25" t="s">
        <v>44</v>
      </c>
      <c r="F69" s="6">
        <v>87767247</v>
      </c>
      <c r="G69" s="6">
        <v>86433738</v>
      </c>
      <c r="H69" s="6">
        <v>98.48</v>
      </c>
      <c r="I69" s="6">
        <v>80110365</v>
      </c>
      <c r="J69" s="7">
        <f>I69/G69*100</f>
        <v>92.684137992504731</v>
      </c>
      <c r="K69" s="6">
        <v>50091171</v>
      </c>
      <c r="L69" s="7">
        <f t="shared" ref="L69:L80" si="5">K69/I69*100</f>
        <v>62.527702875901269</v>
      </c>
      <c r="M69" s="7">
        <v>1.263941</v>
      </c>
      <c r="N69" s="7">
        <v>1.3308310000000001</v>
      </c>
      <c r="O69" s="7" t="s">
        <v>31</v>
      </c>
    </row>
    <row r="70" spans="1:15" x14ac:dyDescent="0.45">
      <c r="A70" s="6" t="s">
        <v>274</v>
      </c>
      <c r="B70" s="6" t="s">
        <v>11</v>
      </c>
      <c r="C70" s="6" t="s">
        <v>29</v>
      </c>
      <c r="D70" s="6" t="s">
        <v>61</v>
      </c>
      <c r="E70" s="25"/>
      <c r="F70" s="6">
        <v>63741153</v>
      </c>
      <c r="G70" s="6">
        <v>62255821</v>
      </c>
      <c r="H70" s="6">
        <v>97.67</v>
      </c>
      <c r="I70" s="6">
        <v>59324452</v>
      </c>
      <c r="J70" s="7">
        <f t="shared" ref="J70:J80" si="6">I70/G70*100</f>
        <v>95.291413794061114</v>
      </c>
      <c r="K70" s="6">
        <v>21126512</v>
      </c>
      <c r="L70" s="7">
        <f t="shared" si="5"/>
        <v>35.611811466880475</v>
      </c>
      <c r="M70" s="7">
        <v>1.206088</v>
      </c>
      <c r="N70" s="7">
        <v>3.3460830000000001</v>
      </c>
      <c r="O70" s="7" t="s">
        <v>32</v>
      </c>
    </row>
    <row r="71" spans="1:15" x14ac:dyDescent="0.45">
      <c r="A71" s="6" t="s">
        <v>275</v>
      </c>
      <c r="B71" s="6" t="s">
        <v>11</v>
      </c>
      <c r="C71" s="6" t="s">
        <v>29</v>
      </c>
      <c r="D71" s="6" t="s">
        <v>61</v>
      </c>
      <c r="E71" s="25"/>
      <c r="F71" s="6">
        <v>95283354</v>
      </c>
      <c r="G71" s="6">
        <v>93545581</v>
      </c>
      <c r="H71" s="6">
        <v>98.18</v>
      </c>
      <c r="I71" s="6">
        <v>73118688</v>
      </c>
      <c r="J71" s="7">
        <f t="shared" si="6"/>
        <v>78.163700752470618</v>
      </c>
      <c r="K71" s="6">
        <v>52553821</v>
      </c>
      <c r="L71" s="7">
        <f t="shared" si="5"/>
        <v>71.874677237097032</v>
      </c>
      <c r="M71" s="7" t="s">
        <v>14</v>
      </c>
      <c r="N71" s="7" t="s">
        <v>14</v>
      </c>
      <c r="O71" s="7" t="s">
        <v>33</v>
      </c>
    </row>
    <row r="72" spans="1:15" x14ac:dyDescent="0.45">
      <c r="A72" s="6" t="s">
        <v>276</v>
      </c>
      <c r="B72" s="6" t="s">
        <v>11</v>
      </c>
      <c r="C72" s="6" t="s">
        <v>29</v>
      </c>
      <c r="D72" s="6" t="s">
        <v>61</v>
      </c>
      <c r="E72" s="25"/>
      <c r="F72" s="6">
        <v>107526376</v>
      </c>
      <c r="G72" s="6">
        <v>106401281</v>
      </c>
      <c r="H72" s="6">
        <v>98.95</v>
      </c>
      <c r="I72" s="6">
        <v>100156678</v>
      </c>
      <c r="J72" s="7">
        <f t="shared" si="6"/>
        <v>94.131082876718381</v>
      </c>
      <c r="K72" s="6">
        <v>60889021</v>
      </c>
      <c r="L72" s="7">
        <f t="shared" si="5"/>
        <v>60.793770536199297</v>
      </c>
      <c r="M72" s="7">
        <v>1.2515890000000001</v>
      </c>
      <c r="N72" s="7">
        <v>1.278597</v>
      </c>
      <c r="O72" s="7" t="s">
        <v>34</v>
      </c>
    </row>
    <row r="73" spans="1:15" x14ac:dyDescent="0.45">
      <c r="A73" s="6" t="s">
        <v>277</v>
      </c>
      <c r="B73" s="6" t="s">
        <v>11</v>
      </c>
      <c r="C73" s="6" t="s">
        <v>29</v>
      </c>
      <c r="D73" s="6" t="s">
        <v>61</v>
      </c>
      <c r="E73" s="25"/>
      <c r="F73" s="6">
        <v>108394091</v>
      </c>
      <c r="G73" s="6">
        <v>107077183</v>
      </c>
      <c r="H73" s="6">
        <v>98.79</v>
      </c>
      <c r="I73" s="6">
        <v>101501882</v>
      </c>
      <c r="J73" s="7">
        <f t="shared" si="6"/>
        <v>94.793194176578226</v>
      </c>
      <c r="K73" s="6">
        <v>30388264</v>
      </c>
      <c r="L73" s="7">
        <f t="shared" si="5"/>
        <v>29.938621236599339</v>
      </c>
      <c r="M73" s="7">
        <v>1.196623</v>
      </c>
      <c r="N73" s="7">
        <v>2.2919049999999999</v>
      </c>
      <c r="O73" s="7" t="s">
        <v>35</v>
      </c>
    </row>
    <row r="74" spans="1:15" x14ac:dyDescent="0.45">
      <c r="A74" s="6" t="s">
        <v>278</v>
      </c>
      <c r="B74" s="6" t="s">
        <v>11</v>
      </c>
      <c r="C74" s="6" t="s">
        <v>29</v>
      </c>
      <c r="D74" s="6" t="s">
        <v>61</v>
      </c>
      <c r="E74" s="25"/>
      <c r="F74" s="6">
        <v>307615652</v>
      </c>
      <c r="G74" s="6">
        <v>304928819</v>
      </c>
      <c r="H74" s="6">
        <v>99.13</v>
      </c>
      <c r="I74" s="6">
        <v>238781583</v>
      </c>
      <c r="J74" s="7">
        <f t="shared" si="6"/>
        <v>78.3073189943388</v>
      </c>
      <c r="K74" s="6">
        <v>155271839</v>
      </c>
      <c r="L74" s="7">
        <f t="shared" si="5"/>
        <v>65.026723187441135</v>
      </c>
      <c r="M74" s="7" t="s">
        <v>14</v>
      </c>
      <c r="N74" s="7" t="s">
        <v>14</v>
      </c>
      <c r="O74" s="7" t="s">
        <v>36</v>
      </c>
    </row>
    <row r="75" spans="1:15" x14ac:dyDescent="0.45">
      <c r="A75" s="6" t="s">
        <v>279</v>
      </c>
      <c r="B75" s="6" t="s">
        <v>11</v>
      </c>
      <c r="C75" s="6" t="s">
        <v>29</v>
      </c>
      <c r="D75" s="6" t="s">
        <v>61</v>
      </c>
      <c r="E75" s="25"/>
      <c r="F75" s="6">
        <v>60614027</v>
      </c>
      <c r="G75" s="6">
        <v>59688116</v>
      </c>
      <c r="H75" s="6">
        <v>98.46</v>
      </c>
      <c r="I75" s="6">
        <v>56365435</v>
      </c>
      <c r="J75" s="7">
        <f t="shared" si="6"/>
        <v>94.43326205839702</v>
      </c>
      <c r="K75" s="6">
        <v>35254718</v>
      </c>
      <c r="L75" s="7">
        <f t="shared" si="5"/>
        <v>62.546697279990823</v>
      </c>
      <c r="M75" s="7">
        <v>1.341153</v>
      </c>
      <c r="N75" s="7">
        <v>1.402949</v>
      </c>
      <c r="O75" s="7" t="s">
        <v>37</v>
      </c>
    </row>
    <row r="76" spans="1:15" x14ac:dyDescent="0.45">
      <c r="A76" s="6" t="s">
        <v>280</v>
      </c>
      <c r="B76" s="6" t="s">
        <v>11</v>
      </c>
      <c r="C76" s="6" t="s">
        <v>29</v>
      </c>
      <c r="D76" s="6" t="s">
        <v>61</v>
      </c>
      <c r="E76" s="25"/>
      <c r="F76" s="6">
        <v>64225033</v>
      </c>
      <c r="G76" s="6">
        <v>62404038</v>
      </c>
      <c r="H76" s="6">
        <v>97.16</v>
      </c>
      <c r="I76" s="6">
        <v>52895118</v>
      </c>
      <c r="J76" s="7">
        <f t="shared" si="6"/>
        <v>84.762332206771617</v>
      </c>
      <c r="K76" s="6">
        <v>20549995</v>
      </c>
      <c r="L76" s="7">
        <f t="shared" si="5"/>
        <v>38.850456860687977</v>
      </c>
      <c r="M76" s="7">
        <v>1.3170280000000001</v>
      </c>
      <c r="N76" s="7">
        <v>2.216577</v>
      </c>
      <c r="O76" s="7" t="s">
        <v>38</v>
      </c>
    </row>
    <row r="77" spans="1:15" x14ac:dyDescent="0.45">
      <c r="A77" s="6" t="s">
        <v>281</v>
      </c>
      <c r="B77" s="6" t="s">
        <v>11</v>
      </c>
      <c r="C77" s="6" t="s">
        <v>29</v>
      </c>
      <c r="D77" s="6" t="s">
        <v>61</v>
      </c>
      <c r="E77" s="25"/>
      <c r="F77" s="6">
        <v>127544377</v>
      </c>
      <c r="G77" s="6">
        <v>125778201</v>
      </c>
      <c r="H77" s="6">
        <v>98.62</v>
      </c>
      <c r="I77" s="6">
        <v>98707067</v>
      </c>
      <c r="J77" s="7">
        <f t="shared" si="6"/>
        <v>78.477086025423432</v>
      </c>
      <c r="K77" s="6">
        <v>71037969</v>
      </c>
      <c r="L77" s="7">
        <f t="shared" si="5"/>
        <v>71.968473138807781</v>
      </c>
      <c r="M77" s="7" t="s">
        <v>14</v>
      </c>
      <c r="N77" s="7" t="s">
        <v>14</v>
      </c>
      <c r="O77" s="7" t="s">
        <v>39</v>
      </c>
    </row>
    <row r="78" spans="1:15" x14ac:dyDescent="0.45">
      <c r="A78" s="6" t="s">
        <v>282</v>
      </c>
      <c r="B78" s="6" t="s">
        <v>11</v>
      </c>
      <c r="C78" s="6" t="s">
        <v>29</v>
      </c>
      <c r="D78" s="6" t="s">
        <v>61</v>
      </c>
      <c r="E78" s="25"/>
      <c r="F78" s="6">
        <v>89952502</v>
      </c>
      <c r="G78" s="6">
        <v>89013550</v>
      </c>
      <c r="H78" s="6">
        <v>98.96</v>
      </c>
      <c r="I78" s="6">
        <v>83448445</v>
      </c>
      <c r="J78" s="7">
        <f t="shared" si="6"/>
        <v>93.748024879358255</v>
      </c>
      <c r="K78" s="6">
        <v>51177101</v>
      </c>
      <c r="L78" s="7">
        <f t="shared" si="5"/>
        <v>61.327806647565453</v>
      </c>
      <c r="M78" s="7">
        <v>1.304308</v>
      </c>
      <c r="N78" s="7">
        <v>1.334225</v>
      </c>
      <c r="O78" s="7" t="s">
        <v>40</v>
      </c>
    </row>
    <row r="79" spans="1:15" x14ac:dyDescent="0.45">
      <c r="A79" s="6" t="s">
        <v>283</v>
      </c>
      <c r="B79" s="6" t="s">
        <v>11</v>
      </c>
      <c r="C79" s="6" t="s">
        <v>29</v>
      </c>
      <c r="D79" s="6" t="s">
        <v>61</v>
      </c>
      <c r="E79" s="25"/>
      <c r="F79" s="6">
        <v>97050805</v>
      </c>
      <c r="G79" s="6">
        <v>95527425</v>
      </c>
      <c r="H79" s="6">
        <v>98.43</v>
      </c>
      <c r="I79" s="6">
        <v>91427641</v>
      </c>
      <c r="J79" s="7">
        <f t="shared" si="6"/>
        <v>95.708264930201977</v>
      </c>
      <c r="K79" s="6">
        <v>28003797</v>
      </c>
      <c r="L79" s="7">
        <f t="shared" si="5"/>
        <v>30.629464671411572</v>
      </c>
      <c r="M79" s="7">
        <v>1.2028840000000001</v>
      </c>
      <c r="N79" s="7">
        <v>2.6504490000000001</v>
      </c>
      <c r="O79" s="7" t="s">
        <v>41</v>
      </c>
    </row>
    <row r="80" spans="1:15" x14ac:dyDescent="0.45">
      <c r="A80" s="6" t="s">
        <v>284</v>
      </c>
      <c r="B80" s="6" t="s">
        <v>11</v>
      </c>
      <c r="C80" s="6" t="s">
        <v>29</v>
      </c>
      <c r="D80" s="6" t="s">
        <v>61</v>
      </c>
      <c r="E80" s="25"/>
      <c r="F80" s="6">
        <v>77360130</v>
      </c>
      <c r="G80" s="6">
        <v>75977452</v>
      </c>
      <c r="H80" s="6">
        <v>98.21</v>
      </c>
      <c r="I80" s="6">
        <v>59494087</v>
      </c>
      <c r="J80" s="7">
        <f t="shared" si="6"/>
        <v>78.304925255982525</v>
      </c>
      <c r="K80" s="6">
        <v>41706948</v>
      </c>
      <c r="L80" s="7">
        <f t="shared" si="5"/>
        <v>70.102677598867942</v>
      </c>
      <c r="M80" s="7" t="s">
        <v>14</v>
      </c>
      <c r="N80" s="7" t="s">
        <v>14</v>
      </c>
      <c r="O80" s="7" t="s">
        <v>42</v>
      </c>
    </row>
    <row r="81" spans="1:15" x14ac:dyDescent="0.45">
      <c r="A81" s="6" t="s">
        <v>285</v>
      </c>
      <c r="B81" s="6" t="s">
        <v>11</v>
      </c>
      <c r="C81" s="6" t="s">
        <v>43</v>
      </c>
      <c r="D81" s="6" t="s">
        <v>61</v>
      </c>
      <c r="E81" s="25" t="s">
        <v>30</v>
      </c>
      <c r="F81" s="6">
        <v>41628700</v>
      </c>
      <c r="G81" s="6">
        <v>41103998</v>
      </c>
      <c r="H81" s="6">
        <v>98.74</v>
      </c>
      <c r="I81" s="6">
        <v>36488544</v>
      </c>
      <c r="J81" s="7">
        <f t="shared" si="0"/>
        <v>88.771277188170359</v>
      </c>
      <c r="K81" s="6">
        <v>34870462</v>
      </c>
      <c r="L81" s="7">
        <f t="shared" si="1"/>
        <v>95.565506806739123</v>
      </c>
      <c r="M81" s="7">
        <v>1.330184</v>
      </c>
      <c r="N81" s="7">
        <v>1.205708</v>
      </c>
      <c r="O81" s="7" t="s">
        <v>45</v>
      </c>
    </row>
    <row r="82" spans="1:15" x14ac:dyDescent="0.45">
      <c r="A82" s="6" t="s">
        <v>286</v>
      </c>
      <c r="B82" s="6" t="s">
        <v>11</v>
      </c>
      <c r="C82" s="6" t="s">
        <v>43</v>
      </c>
      <c r="D82" s="6" t="s">
        <v>61</v>
      </c>
      <c r="E82" s="25"/>
      <c r="F82" s="6">
        <v>47304866</v>
      </c>
      <c r="G82" s="6">
        <v>46741994</v>
      </c>
      <c r="H82" s="6">
        <v>98.81</v>
      </c>
      <c r="I82" s="6">
        <v>39196326</v>
      </c>
      <c r="J82" s="7">
        <f t="shared" si="0"/>
        <v>83.856769139972926</v>
      </c>
      <c r="K82" s="6">
        <v>37390456</v>
      </c>
      <c r="L82" s="7">
        <f t="shared" si="1"/>
        <v>95.39275696400729</v>
      </c>
      <c r="M82" s="7">
        <v>1.229419</v>
      </c>
      <c r="N82" s="7">
        <v>1.1235839999999999</v>
      </c>
      <c r="O82" s="7" t="s">
        <v>46</v>
      </c>
    </row>
    <row r="83" spans="1:15" x14ac:dyDescent="0.45">
      <c r="A83" s="6" t="s">
        <v>287</v>
      </c>
      <c r="B83" s="6" t="s">
        <v>11</v>
      </c>
      <c r="C83" s="6" t="s">
        <v>43</v>
      </c>
      <c r="D83" s="6" t="s">
        <v>61</v>
      </c>
      <c r="E83" s="25"/>
      <c r="F83" s="6">
        <v>22497394</v>
      </c>
      <c r="G83" s="6">
        <v>22316561</v>
      </c>
      <c r="H83" s="6">
        <v>99.2</v>
      </c>
      <c r="I83" s="6">
        <v>18730186</v>
      </c>
      <c r="J83" s="7">
        <f t="shared" si="0"/>
        <v>83.92953555881661</v>
      </c>
      <c r="K83" s="6">
        <v>18191403</v>
      </c>
      <c r="L83" s="7">
        <f t="shared" si="1"/>
        <v>97.123450882975746</v>
      </c>
      <c r="M83" s="7" t="s">
        <v>14</v>
      </c>
      <c r="N83" s="7" t="s">
        <v>14</v>
      </c>
      <c r="O83" s="7" t="s">
        <v>47</v>
      </c>
    </row>
    <row r="84" spans="1:15" x14ac:dyDescent="0.45">
      <c r="A84" s="6" t="s">
        <v>288</v>
      </c>
      <c r="B84" s="6" t="s">
        <v>11</v>
      </c>
      <c r="C84" s="6" t="s">
        <v>43</v>
      </c>
      <c r="D84" s="6" t="s">
        <v>61</v>
      </c>
      <c r="E84" s="25"/>
      <c r="F84" s="6">
        <v>52395764</v>
      </c>
      <c r="G84" s="6">
        <v>51665678</v>
      </c>
      <c r="H84" s="6">
        <v>98.61</v>
      </c>
      <c r="I84" s="6">
        <v>46234177</v>
      </c>
      <c r="J84" s="7">
        <f t="shared" si="0"/>
        <v>89.487216252150986</v>
      </c>
      <c r="K84" s="6">
        <v>43292473</v>
      </c>
      <c r="L84" s="7">
        <f t="shared" si="1"/>
        <v>93.637382146977544</v>
      </c>
      <c r="M84" s="7">
        <v>1.372182</v>
      </c>
      <c r="N84" s="7">
        <v>1.209293</v>
      </c>
      <c r="O84" s="7" t="s">
        <v>48</v>
      </c>
    </row>
    <row r="85" spans="1:15" x14ac:dyDescent="0.45">
      <c r="A85" s="6" t="s">
        <v>289</v>
      </c>
      <c r="B85" s="6" t="s">
        <v>11</v>
      </c>
      <c r="C85" s="6" t="s">
        <v>43</v>
      </c>
      <c r="D85" s="6" t="s">
        <v>61</v>
      </c>
      <c r="E85" s="25"/>
      <c r="F85" s="6">
        <v>32340149</v>
      </c>
      <c r="G85" s="6">
        <v>31876701</v>
      </c>
      <c r="H85" s="6">
        <v>98.57</v>
      </c>
      <c r="I85" s="6">
        <v>26997151</v>
      </c>
      <c r="J85" s="7">
        <f t="shared" si="0"/>
        <v>84.692424727389451</v>
      </c>
      <c r="K85" s="6">
        <v>26284634</v>
      </c>
      <c r="L85" s="7">
        <f t="shared" si="1"/>
        <v>97.360769660472684</v>
      </c>
      <c r="M85" s="7">
        <v>1.170139</v>
      </c>
      <c r="N85" s="7">
        <v>1.080552</v>
      </c>
      <c r="O85" s="7" t="s">
        <v>49</v>
      </c>
    </row>
    <row r="86" spans="1:15" x14ac:dyDescent="0.45">
      <c r="A86" s="6" t="s">
        <v>290</v>
      </c>
      <c r="B86" s="6" t="s">
        <v>11</v>
      </c>
      <c r="C86" s="6" t="s">
        <v>43</v>
      </c>
      <c r="D86" s="6" t="s">
        <v>61</v>
      </c>
      <c r="E86" s="25"/>
      <c r="F86" s="6">
        <v>30075376</v>
      </c>
      <c r="G86" s="6">
        <v>29830061</v>
      </c>
      <c r="H86" s="6">
        <v>99.18</v>
      </c>
      <c r="I86" s="6">
        <v>25093762</v>
      </c>
      <c r="J86" s="7">
        <f t="shared" si="0"/>
        <v>84.122395861007462</v>
      </c>
      <c r="K86" s="6">
        <v>24399044</v>
      </c>
      <c r="L86" s="7">
        <f t="shared" si="1"/>
        <v>97.231511162017085</v>
      </c>
      <c r="M86" s="7" t="s">
        <v>14</v>
      </c>
      <c r="N86" s="7" t="s">
        <v>14</v>
      </c>
      <c r="O86" s="7" t="s">
        <v>50</v>
      </c>
    </row>
    <row r="87" spans="1:15" x14ac:dyDescent="0.45">
      <c r="A87" s="6" t="s">
        <v>291</v>
      </c>
      <c r="B87" s="6" t="s">
        <v>11</v>
      </c>
      <c r="C87" s="6" t="s">
        <v>43</v>
      </c>
      <c r="D87" s="6" t="s">
        <v>61</v>
      </c>
      <c r="E87" s="25"/>
      <c r="F87" s="6">
        <v>35516393</v>
      </c>
      <c r="G87" s="6">
        <v>34997401</v>
      </c>
      <c r="H87" s="6">
        <v>98.54</v>
      </c>
      <c r="I87" s="6">
        <v>31429638</v>
      </c>
      <c r="J87" s="7">
        <f t="shared" si="0"/>
        <v>89.805634424110522</v>
      </c>
      <c r="K87" s="6">
        <v>30086427</v>
      </c>
      <c r="L87" s="7">
        <f t="shared" si="1"/>
        <v>95.726291852295603</v>
      </c>
      <c r="M87" s="7">
        <v>1.428296</v>
      </c>
      <c r="N87" s="7">
        <v>1.21349</v>
      </c>
      <c r="O87" s="7" t="s">
        <v>51</v>
      </c>
    </row>
    <row r="88" spans="1:15" x14ac:dyDescent="0.45">
      <c r="A88" s="6" t="s">
        <v>292</v>
      </c>
      <c r="B88" s="6" t="s">
        <v>11</v>
      </c>
      <c r="C88" s="6" t="s">
        <v>43</v>
      </c>
      <c r="D88" s="6" t="s">
        <v>61</v>
      </c>
      <c r="E88" s="25"/>
      <c r="F88" s="6">
        <v>32743296</v>
      </c>
      <c r="G88" s="6">
        <v>32221802</v>
      </c>
      <c r="H88" s="6">
        <v>98.41</v>
      </c>
      <c r="I88" s="6">
        <v>27371338</v>
      </c>
      <c r="J88" s="7">
        <f t="shared" si="0"/>
        <v>84.946639545485382</v>
      </c>
      <c r="K88" s="6">
        <v>26704359</v>
      </c>
      <c r="L88" s="7">
        <f t="shared" si="1"/>
        <v>97.563221059927727</v>
      </c>
      <c r="M88" s="7">
        <v>1.2014450000000001</v>
      </c>
      <c r="N88" s="7">
        <v>1.079167</v>
      </c>
      <c r="O88" s="7" t="s">
        <v>52</v>
      </c>
    </row>
    <row r="89" spans="1:15" x14ac:dyDescent="0.45">
      <c r="A89" s="6" t="s">
        <v>293</v>
      </c>
      <c r="B89" s="6" t="s">
        <v>11</v>
      </c>
      <c r="C89" s="6" t="s">
        <v>43</v>
      </c>
      <c r="D89" s="6" t="s">
        <v>61</v>
      </c>
      <c r="E89" s="25"/>
      <c r="F89" s="6">
        <v>28442774</v>
      </c>
      <c r="G89" s="6">
        <v>28244650</v>
      </c>
      <c r="H89" s="6">
        <v>99.3</v>
      </c>
      <c r="I89" s="6">
        <v>23837577</v>
      </c>
      <c r="J89" s="7">
        <f t="shared" si="0"/>
        <v>84.396786648090881</v>
      </c>
      <c r="K89" s="6">
        <v>23283522</v>
      </c>
      <c r="L89" s="7">
        <f t="shared" si="1"/>
        <v>97.675707560378299</v>
      </c>
      <c r="M89" s="7" t="s">
        <v>14</v>
      </c>
      <c r="N89" s="7" t="s">
        <v>14</v>
      </c>
      <c r="O89" s="7" t="s">
        <v>53</v>
      </c>
    </row>
    <row r="90" spans="1:15" x14ac:dyDescent="0.45">
      <c r="A90" s="6" t="s">
        <v>294</v>
      </c>
      <c r="B90" s="6" t="s">
        <v>11</v>
      </c>
      <c r="C90" s="6" t="s">
        <v>43</v>
      </c>
      <c r="D90" s="6" t="s">
        <v>61</v>
      </c>
      <c r="E90" s="25"/>
      <c r="F90" s="6">
        <v>35005618</v>
      </c>
      <c r="G90" s="6">
        <v>34436320</v>
      </c>
      <c r="H90" s="6">
        <v>98.37</v>
      </c>
      <c r="I90" s="6">
        <v>31005883</v>
      </c>
      <c r="J90" s="7">
        <f t="shared" si="0"/>
        <v>90.038317102408143</v>
      </c>
      <c r="K90" s="6">
        <v>29381170</v>
      </c>
      <c r="L90" s="7">
        <f t="shared" si="1"/>
        <v>94.759984742250367</v>
      </c>
      <c r="M90" s="7">
        <v>1.4122920000000001</v>
      </c>
      <c r="N90" s="7">
        <v>1.2315480000000001</v>
      </c>
      <c r="O90" s="7" t="s">
        <v>54</v>
      </c>
    </row>
    <row r="91" spans="1:15" x14ac:dyDescent="0.45">
      <c r="A91" s="6" t="s">
        <v>295</v>
      </c>
      <c r="B91" s="6" t="s">
        <v>11</v>
      </c>
      <c r="C91" s="6" t="s">
        <v>43</v>
      </c>
      <c r="D91" s="6" t="s">
        <v>61</v>
      </c>
      <c r="E91" s="25"/>
      <c r="F91" s="6">
        <v>53250328</v>
      </c>
      <c r="G91" s="6">
        <v>52446541</v>
      </c>
      <c r="H91" s="6">
        <v>98.49</v>
      </c>
      <c r="I91" s="6">
        <v>44629889</v>
      </c>
      <c r="J91" s="7">
        <f t="shared" si="0"/>
        <v>85.095962763302154</v>
      </c>
      <c r="K91" s="6">
        <v>43004018</v>
      </c>
      <c r="L91" s="7">
        <f t="shared" si="1"/>
        <v>96.356990715347735</v>
      </c>
      <c r="M91" s="7">
        <v>1.130946</v>
      </c>
      <c r="N91" s="7">
        <v>1.0304420000000001</v>
      </c>
      <c r="O91" s="7" t="s">
        <v>55</v>
      </c>
    </row>
    <row r="92" spans="1:15" ht="14.35" thickBot="1" x14ac:dyDescent="0.5">
      <c r="A92" s="8" t="s">
        <v>296</v>
      </c>
      <c r="B92" s="8" t="s">
        <v>11</v>
      </c>
      <c r="C92" s="8" t="s">
        <v>43</v>
      </c>
      <c r="D92" s="8" t="s">
        <v>61</v>
      </c>
      <c r="E92" s="26"/>
      <c r="F92" s="8">
        <v>29293192</v>
      </c>
      <c r="G92" s="8">
        <v>29098071</v>
      </c>
      <c r="H92" s="8">
        <v>99.33</v>
      </c>
      <c r="I92" s="8">
        <v>24683453</v>
      </c>
      <c r="J92" s="9">
        <f t="shared" si="0"/>
        <v>84.828485709585351</v>
      </c>
      <c r="K92" s="8">
        <v>23627131</v>
      </c>
      <c r="L92" s="9">
        <f t="shared" si="1"/>
        <v>95.720525811360346</v>
      </c>
      <c r="M92" s="9" t="s">
        <v>14</v>
      </c>
      <c r="N92" s="9" t="s">
        <v>14</v>
      </c>
      <c r="O92" s="9" t="s">
        <v>56</v>
      </c>
    </row>
  </sheetData>
  <mergeCells count="11">
    <mergeCell ref="O4:O11"/>
    <mergeCell ref="O42:O59"/>
    <mergeCell ref="E81:E92"/>
    <mergeCell ref="A1:E1"/>
    <mergeCell ref="E42:E50"/>
    <mergeCell ref="E51:E59"/>
    <mergeCell ref="E60:E68"/>
    <mergeCell ref="E69:E80"/>
    <mergeCell ref="E4:E41"/>
    <mergeCell ref="O14:O27"/>
    <mergeCell ref="O28:O4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A4" sqref="A4:A23"/>
    </sheetView>
  </sheetViews>
  <sheetFormatPr defaultRowHeight="14" x14ac:dyDescent="0.45"/>
  <cols>
    <col min="1" max="1" width="13.234375" bestFit="1" customWidth="1"/>
    <col min="3" max="3" width="19.46875" bestFit="1" customWidth="1"/>
    <col min="4" max="4" width="12.46875" customWidth="1"/>
    <col min="5" max="5" width="12" customWidth="1"/>
    <col min="6" max="6" width="20.1171875" customWidth="1"/>
    <col min="7" max="7" width="16.87890625" customWidth="1"/>
    <col min="8" max="8" width="13.76171875" customWidth="1"/>
    <col min="9" max="9" width="9.46875" bestFit="1" customWidth="1"/>
  </cols>
  <sheetData>
    <row r="1" spans="1:9" x14ac:dyDescent="0.45">
      <c r="A1" s="30" t="s">
        <v>64</v>
      </c>
      <c r="B1" s="30"/>
      <c r="C1" s="30"/>
      <c r="D1" s="30"/>
      <c r="E1" s="30"/>
      <c r="F1" s="30"/>
      <c r="G1" s="6"/>
      <c r="H1" s="7"/>
      <c r="I1" s="6"/>
    </row>
    <row r="2" spans="1:9" ht="14.35" thickBot="1" x14ac:dyDescent="0.5">
      <c r="A2" s="8"/>
      <c r="B2" s="8"/>
      <c r="C2" s="8"/>
      <c r="D2" s="8"/>
      <c r="E2" s="8"/>
      <c r="F2" s="8"/>
      <c r="G2" s="8"/>
      <c r="H2" s="9"/>
      <c r="I2" s="6"/>
    </row>
    <row r="3" spans="1:9" ht="31" thickBot="1" x14ac:dyDescent="0.5">
      <c r="A3" s="11" t="s">
        <v>0</v>
      </c>
      <c r="B3" s="11" t="s">
        <v>65</v>
      </c>
      <c r="C3" s="11" t="s">
        <v>3</v>
      </c>
      <c r="D3" s="13" t="s">
        <v>66</v>
      </c>
      <c r="E3" s="13" t="s">
        <v>67</v>
      </c>
      <c r="F3" s="13" t="s">
        <v>68</v>
      </c>
      <c r="G3" s="13" t="s">
        <v>76</v>
      </c>
      <c r="H3" s="12" t="s">
        <v>10</v>
      </c>
    </row>
    <row r="4" spans="1:9" x14ac:dyDescent="0.45">
      <c r="A4" s="6" t="s">
        <v>96</v>
      </c>
      <c r="B4" s="6" t="s">
        <v>69</v>
      </c>
      <c r="C4" s="29" t="s">
        <v>13</v>
      </c>
      <c r="D4" s="6">
        <v>118276228</v>
      </c>
      <c r="E4" s="6">
        <f>57835457*2</f>
        <v>115670914</v>
      </c>
      <c r="F4" s="6">
        <f>56181734*2</f>
        <v>112363468</v>
      </c>
      <c r="G4" s="6">
        <v>97.14</v>
      </c>
      <c r="H4" s="29" t="s">
        <v>62</v>
      </c>
    </row>
    <row r="5" spans="1:9" x14ac:dyDescent="0.45">
      <c r="A5" s="6" t="s">
        <v>97</v>
      </c>
      <c r="B5" s="6" t="s">
        <v>69</v>
      </c>
      <c r="C5" s="25"/>
      <c r="D5" s="6">
        <v>140367380</v>
      </c>
      <c r="E5" s="6">
        <f>68748938*2</f>
        <v>137497876</v>
      </c>
      <c r="F5" s="6">
        <f>66945410*2</f>
        <v>133890820</v>
      </c>
      <c r="G5" s="6">
        <v>97.38</v>
      </c>
      <c r="H5" s="25"/>
    </row>
    <row r="6" spans="1:9" x14ac:dyDescent="0.45">
      <c r="A6" s="6" t="s">
        <v>98</v>
      </c>
      <c r="B6" s="6" t="s">
        <v>69</v>
      </c>
      <c r="C6" s="25"/>
      <c r="D6" s="6">
        <v>151836280</v>
      </c>
      <c r="E6" s="6">
        <f>74429562*2</f>
        <v>148859124</v>
      </c>
      <c r="F6" s="6">
        <f>72302762*2</f>
        <v>144605524</v>
      </c>
      <c r="G6" s="6">
        <v>97.14</v>
      </c>
      <c r="H6" s="25"/>
    </row>
    <row r="7" spans="1:9" x14ac:dyDescent="0.45">
      <c r="A7" s="6" t="s">
        <v>99</v>
      </c>
      <c r="B7" s="6" t="s">
        <v>70</v>
      </c>
      <c r="C7" s="25" t="s">
        <v>16</v>
      </c>
      <c r="D7" s="6">
        <v>129901822</v>
      </c>
      <c r="E7" s="6">
        <f>63776235*2</f>
        <v>127552470</v>
      </c>
      <c r="F7" s="6">
        <f>55025069*2</f>
        <v>110050138</v>
      </c>
      <c r="G7" s="6">
        <v>86.28</v>
      </c>
      <c r="H7" s="25"/>
    </row>
    <row r="8" spans="1:9" x14ac:dyDescent="0.45">
      <c r="A8" s="6" t="s">
        <v>100</v>
      </c>
      <c r="B8" s="6" t="s">
        <v>70</v>
      </c>
      <c r="C8" s="25"/>
      <c r="D8" s="6">
        <v>130811866</v>
      </c>
      <c r="E8" s="6">
        <f>64223350*2</f>
        <v>128446700</v>
      </c>
      <c r="F8" s="6">
        <f>54086931*2</f>
        <v>108173862</v>
      </c>
      <c r="G8" s="6">
        <v>84.22</v>
      </c>
      <c r="H8" s="25"/>
    </row>
    <row r="9" spans="1:9" x14ac:dyDescent="0.45">
      <c r="A9" s="6" t="s">
        <v>101</v>
      </c>
      <c r="B9" s="6" t="s">
        <v>70</v>
      </c>
      <c r="C9" s="25"/>
      <c r="D9" s="6">
        <v>92836432</v>
      </c>
      <c r="E9" s="6">
        <f>45596738*2</f>
        <v>91193476</v>
      </c>
      <c r="F9" s="6">
        <f>40195480*2</f>
        <v>80390960</v>
      </c>
      <c r="G9" s="6">
        <v>88.15</v>
      </c>
      <c r="H9" s="25"/>
    </row>
    <row r="10" spans="1:9" x14ac:dyDescent="0.45">
      <c r="A10" s="6" t="s">
        <v>102</v>
      </c>
      <c r="B10" s="6" t="s">
        <v>71</v>
      </c>
      <c r="C10" s="25" t="s">
        <v>18</v>
      </c>
      <c r="D10" s="6">
        <v>106923362</v>
      </c>
      <c r="E10" s="6">
        <f>52637372*2</f>
        <v>105274744</v>
      </c>
      <c r="F10" s="6">
        <f>46713163*2</f>
        <v>93426326</v>
      </c>
      <c r="G10" s="6">
        <v>88.75</v>
      </c>
      <c r="H10" s="25"/>
    </row>
    <row r="11" spans="1:9" x14ac:dyDescent="0.45">
      <c r="A11" s="6" t="s">
        <v>103</v>
      </c>
      <c r="B11" s="6" t="s">
        <v>71</v>
      </c>
      <c r="C11" s="25"/>
      <c r="D11" s="6">
        <v>77936164</v>
      </c>
      <c r="E11" s="6">
        <f>38035460*2</f>
        <v>76070920</v>
      </c>
      <c r="F11" s="6">
        <f>33538586*2</f>
        <v>67077172</v>
      </c>
      <c r="G11" s="6">
        <v>88.18</v>
      </c>
      <c r="H11" s="25"/>
    </row>
    <row r="12" spans="1:9" x14ac:dyDescent="0.45">
      <c r="A12" s="6" t="s">
        <v>104</v>
      </c>
      <c r="B12" s="6" t="s">
        <v>71</v>
      </c>
      <c r="C12" s="25"/>
      <c r="D12" s="6">
        <v>70752728</v>
      </c>
      <c r="E12" s="6">
        <f>34616870*2</f>
        <v>69233740</v>
      </c>
      <c r="F12" s="6">
        <f>28302641*2</f>
        <v>56605282</v>
      </c>
      <c r="G12" s="6">
        <v>81.760000000000005</v>
      </c>
      <c r="H12" s="25"/>
    </row>
    <row r="13" spans="1:9" x14ac:dyDescent="0.45">
      <c r="A13" s="6" t="s">
        <v>105</v>
      </c>
      <c r="B13" s="6" t="s">
        <v>72</v>
      </c>
      <c r="C13" s="25" t="s">
        <v>20</v>
      </c>
      <c r="D13" s="6">
        <f>71498474*2</f>
        <v>142996948</v>
      </c>
      <c r="E13" s="6">
        <f>56129943*2</f>
        <v>112259886</v>
      </c>
      <c r="F13" s="6">
        <f>45965223*2</f>
        <v>91930446</v>
      </c>
      <c r="G13" s="6">
        <v>81.89</v>
      </c>
      <c r="H13" s="6" t="s">
        <v>82</v>
      </c>
    </row>
    <row r="14" spans="1:9" x14ac:dyDescent="0.45">
      <c r="A14" s="6" t="s">
        <v>106</v>
      </c>
      <c r="B14" s="6" t="s">
        <v>72</v>
      </c>
      <c r="C14" s="25"/>
      <c r="D14" s="6">
        <f>81118942 *2</f>
        <v>162237884</v>
      </c>
      <c r="E14" s="6">
        <f>453020628*2</f>
        <v>906041256</v>
      </c>
      <c r="F14" s="6">
        <f>36546738*2</f>
        <v>73093476</v>
      </c>
      <c r="G14" s="6">
        <v>80.67</v>
      </c>
      <c r="H14" s="6" t="s">
        <v>83</v>
      </c>
    </row>
    <row r="15" spans="1:9" x14ac:dyDescent="0.45">
      <c r="A15" s="6" t="s">
        <v>107</v>
      </c>
      <c r="B15" s="6" t="s">
        <v>72</v>
      </c>
      <c r="C15" s="25"/>
      <c r="D15" s="6">
        <f>81614331*2</f>
        <v>163228662</v>
      </c>
      <c r="E15" s="6">
        <f>5355855782</f>
        <v>5355855782</v>
      </c>
      <c r="F15" s="6">
        <f>40193132*2</f>
        <v>80386264</v>
      </c>
      <c r="G15" s="6">
        <v>75.05</v>
      </c>
      <c r="H15" s="6" t="s">
        <v>84</v>
      </c>
    </row>
    <row r="16" spans="1:9" x14ac:dyDescent="0.45">
      <c r="A16" s="6" t="s">
        <v>108</v>
      </c>
      <c r="B16" s="6" t="s">
        <v>73</v>
      </c>
      <c r="C16" s="25" t="s">
        <v>30</v>
      </c>
      <c r="D16" s="6">
        <f xml:space="preserve"> 47675260*2</f>
        <v>95350520</v>
      </c>
      <c r="E16" s="6">
        <f>37377359*2</f>
        <v>74754718</v>
      </c>
      <c r="F16" s="6">
        <f>32992535*2</f>
        <v>65985070</v>
      </c>
      <c r="G16" s="6">
        <v>88.27</v>
      </c>
      <c r="H16" s="6" t="s">
        <v>78</v>
      </c>
    </row>
    <row r="17" spans="1:8" x14ac:dyDescent="0.45">
      <c r="A17" s="6" t="s">
        <v>109</v>
      </c>
      <c r="B17" s="6" t="s">
        <v>73</v>
      </c>
      <c r="C17" s="25"/>
      <c r="D17" s="6">
        <f xml:space="preserve"> 80663554*2</f>
        <v>161327108</v>
      </c>
      <c r="E17" s="6">
        <f>64976617*2</f>
        <v>129953234</v>
      </c>
      <c r="F17" s="6">
        <f>57575521*2</f>
        <v>115151042</v>
      </c>
      <c r="G17" s="6">
        <v>88.61</v>
      </c>
      <c r="H17" s="6" t="s">
        <v>79</v>
      </c>
    </row>
    <row r="18" spans="1:8" x14ac:dyDescent="0.45">
      <c r="A18" s="6" t="s">
        <v>110</v>
      </c>
      <c r="B18" s="6" t="s">
        <v>73</v>
      </c>
      <c r="C18" s="25"/>
      <c r="D18" s="6">
        <f xml:space="preserve"> 93743908*2</f>
        <v>187487816</v>
      </c>
      <c r="E18" s="6">
        <f>77708710*2</f>
        <v>155417420</v>
      </c>
      <c r="F18" s="6">
        <f>68468010*2</f>
        <v>136936020</v>
      </c>
      <c r="G18" s="6">
        <v>88.11</v>
      </c>
      <c r="H18" s="6" t="s">
        <v>80</v>
      </c>
    </row>
    <row r="19" spans="1:8" x14ac:dyDescent="0.45">
      <c r="A19" s="6" t="s">
        <v>111</v>
      </c>
      <c r="B19" s="6" t="s">
        <v>73</v>
      </c>
      <c r="C19" s="25"/>
      <c r="D19" s="6">
        <f>104506560*2</f>
        <v>209013120</v>
      </c>
      <c r="E19" s="6">
        <f>95764160*2</f>
        <v>191528320</v>
      </c>
      <c r="F19" s="6">
        <f>82372184*2</f>
        <v>164744368</v>
      </c>
      <c r="G19" s="6">
        <v>86.02</v>
      </c>
      <c r="H19" s="6" t="s">
        <v>81</v>
      </c>
    </row>
    <row r="20" spans="1:8" x14ac:dyDescent="0.45">
      <c r="A20" s="6" t="s">
        <v>112</v>
      </c>
      <c r="B20" s="6" t="s">
        <v>74</v>
      </c>
      <c r="C20" s="25" t="s">
        <v>44</v>
      </c>
      <c r="D20" s="6">
        <f>110493733*2</f>
        <v>220987466</v>
      </c>
      <c r="E20" s="6">
        <f>69035130*2</f>
        <v>138070260</v>
      </c>
      <c r="F20" s="6">
        <f>53154455*2</f>
        <v>106308910</v>
      </c>
      <c r="G20" s="7">
        <v>77</v>
      </c>
      <c r="H20" s="6" t="s">
        <v>85</v>
      </c>
    </row>
    <row r="21" spans="1:8" x14ac:dyDescent="0.45">
      <c r="A21" s="6" t="s">
        <v>113</v>
      </c>
      <c r="B21" s="6" t="s">
        <v>74</v>
      </c>
      <c r="C21" s="25"/>
      <c r="D21" s="6">
        <f xml:space="preserve"> 64832719*2</f>
        <v>129665438</v>
      </c>
      <c r="E21" s="6">
        <f>42169178*2</f>
        <v>84338356</v>
      </c>
      <c r="F21" s="6">
        <f>31630711*2</f>
        <v>63261422</v>
      </c>
      <c r="G21" s="7">
        <v>75.010000000000005</v>
      </c>
      <c r="H21" s="6" t="s">
        <v>88</v>
      </c>
    </row>
    <row r="22" spans="1:8" x14ac:dyDescent="0.45">
      <c r="A22" s="6" t="s">
        <v>114</v>
      </c>
      <c r="B22" s="6" t="s">
        <v>74</v>
      </c>
      <c r="C22" s="25"/>
      <c r="D22" s="6">
        <f>126675696*2</f>
        <v>253351392</v>
      </c>
      <c r="E22" s="6">
        <f>64618300*2</f>
        <v>129236600</v>
      </c>
      <c r="F22" s="6">
        <f>38479888*2</f>
        <v>76959776</v>
      </c>
      <c r="G22" s="7">
        <v>59.55</v>
      </c>
      <c r="H22" s="6" t="s">
        <v>87</v>
      </c>
    </row>
    <row r="23" spans="1:8" ht="14.35" thickBot="1" x14ac:dyDescent="0.5">
      <c r="A23" s="8" t="s">
        <v>115</v>
      </c>
      <c r="B23" s="8" t="s">
        <v>74</v>
      </c>
      <c r="C23" s="26"/>
      <c r="D23" s="8">
        <f>127213482 *2</f>
        <v>254426964</v>
      </c>
      <c r="E23" s="8">
        <f>76973394*2</f>
        <v>153946788</v>
      </c>
      <c r="F23" s="8">
        <f>51705806*2</f>
        <v>103411612</v>
      </c>
      <c r="G23" s="9">
        <v>67.17</v>
      </c>
      <c r="H23" s="8" t="s">
        <v>86</v>
      </c>
    </row>
  </sheetData>
  <mergeCells count="8">
    <mergeCell ref="H4:H12"/>
    <mergeCell ref="A1:F1"/>
    <mergeCell ref="C16:C19"/>
    <mergeCell ref="C20:C23"/>
    <mergeCell ref="C13:C15"/>
    <mergeCell ref="C10:C12"/>
    <mergeCell ref="C7:C9"/>
    <mergeCell ref="C4:C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workbookViewId="0">
      <selection activeCell="A22" sqref="A22:D23"/>
    </sheetView>
  </sheetViews>
  <sheetFormatPr defaultColWidth="9" defaultRowHeight="13.7" x14ac:dyDescent="0.4"/>
  <cols>
    <col min="1" max="1" width="11" style="17" customWidth="1"/>
    <col min="2" max="3" width="9" style="17"/>
    <col min="4" max="4" width="19.46875" style="17" bestFit="1" customWidth="1"/>
    <col min="5" max="5" width="16.3515625" style="17" customWidth="1"/>
    <col min="6" max="6" width="15.64453125" style="17" customWidth="1"/>
    <col min="7" max="7" width="20.1171875" style="17" bestFit="1" customWidth="1"/>
    <col min="8" max="8" width="20.1171875" style="17" customWidth="1"/>
    <col min="9" max="9" width="15.3515625" style="17" bestFit="1" customWidth="1"/>
    <col min="10" max="10" width="21" style="17" bestFit="1" customWidth="1"/>
    <col min="11" max="11" width="17" style="17" bestFit="1" customWidth="1"/>
    <col min="12" max="12" width="19.1171875" style="17" bestFit="1" customWidth="1"/>
    <col min="13" max="16384" width="9" style="17"/>
  </cols>
  <sheetData>
    <row r="1" spans="1:12" x14ac:dyDescent="0.4">
      <c r="A1" s="30" t="s">
        <v>116</v>
      </c>
      <c r="B1" s="33"/>
      <c r="C1" s="33"/>
      <c r="D1" s="33"/>
      <c r="E1" s="33"/>
      <c r="F1" s="33"/>
    </row>
    <row r="2" spans="1:12" ht="14" thickBot="1" x14ac:dyDescent="0.4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6" customFormat="1" ht="27.7" thickBot="1" x14ac:dyDescent="0.5">
      <c r="A3" s="18" t="s">
        <v>95</v>
      </c>
      <c r="B3" s="18" t="s">
        <v>2</v>
      </c>
      <c r="C3" s="18" t="s">
        <v>144</v>
      </c>
      <c r="D3" s="18" t="s">
        <v>3</v>
      </c>
      <c r="E3" s="18" t="s">
        <v>89</v>
      </c>
      <c r="F3" s="18" t="s">
        <v>90</v>
      </c>
      <c r="G3" s="18" t="s">
        <v>91</v>
      </c>
      <c r="H3" s="18" t="s">
        <v>154</v>
      </c>
      <c r="I3" s="18" t="s">
        <v>92</v>
      </c>
      <c r="J3" s="18" t="s">
        <v>93</v>
      </c>
      <c r="K3" s="18" t="s">
        <v>94</v>
      </c>
      <c r="L3" s="18" t="s">
        <v>10</v>
      </c>
    </row>
    <row r="4" spans="1:12" s="16" customFormat="1" x14ac:dyDescent="0.45">
      <c r="A4" s="6" t="s">
        <v>128</v>
      </c>
      <c r="B4" s="6" t="s">
        <v>69</v>
      </c>
      <c r="C4" s="6" t="s">
        <v>11</v>
      </c>
      <c r="D4" s="29" t="s">
        <v>13</v>
      </c>
      <c r="E4" s="21">
        <v>690245608</v>
      </c>
      <c r="F4" s="21">
        <v>690238138</v>
      </c>
      <c r="G4" s="21">
        <f>279199009*2</f>
        <v>558398018</v>
      </c>
      <c r="H4" s="21">
        <v>430845668</v>
      </c>
      <c r="I4" s="6">
        <v>80.900000000000006</v>
      </c>
      <c r="J4" s="7">
        <v>99.524100000000004</v>
      </c>
      <c r="K4" s="7">
        <v>23.796144840480427</v>
      </c>
      <c r="L4" s="32" t="s">
        <v>62</v>
      </c>
    </row>
    <row r="5" spans="1:12" s="16" customFormat="1" x14ac:dyDescent="0.45">
      <c r="A5" s="6" t="s">
        <v>129</v>
      </c>
      <c r="B5" s="6" t="s">
        <v>69</v>
      </c>
      <c r="C5" s="6" t="s">
        <v>11</v>
      </c>
      <c r="D5" s="25"/>
      <c r="E5" s="21">
        <v>708707518</v>
      </c>
      <c r="F5" s="21">
        <v>708701146</v>
      </c>
      <c r="G5" s="21">
        <f>264257465*2</f>
        <v>528514930</v>
      </c>
      <c r="H5" s="21">
        <v>395668634</v>
      </c>
      <c r="I5" s="6">
        <v>74.599999999999994</v>
      </c>
      <c r="J5" s="7">
        <v>99.541899999999998</v>
      </c>
      <c r="K5" s="7">
        <v>21.853273278122035</v>
      </c>
      <c r="L5" s="31"/>
    </row>
    <row r="6" spans="1:12" s="16" customFormat="1" x14ac:dyDescent="0.45">
      <c r="A6" s="6" t="s">
        <v>297</v>
      </c>
      <c r="B6" s="6" t="s">
        <v>69</v>
      </c>
      <c r="C6" s="6" t="s">
        <v>11</v>
      </c>
      <c r="D6" s="25"/>
      <c r="E6" s="21">
        <v>570730018</v>
      </c>
      <c r="F6" s="21">
        <v>570720160</v>
      </c>
      <c r="G6" s="21">
        <f>228654975*2</f>
        <v>457309950</v>
      </c>
      <c r="H6" s="21">
        <v>374682256</v>
      </c>
      <c r="I6" s="6">
        <v>80.099999999999994</v>
      </c>
      <c r="J6" s="7">
        <v>99.441699999999997</v>
      </c>
      <c r="K6" s="7">
        <v>20.69416938627306</v>
      </c>
      <c r="L6" s="31"/>
    </row>
    <row r="7" spans="1:12" s="16" customFormat="1" x14ac:dyDescent="0.45">
      <c r="A7" s="6" t="s">
        <v>155</v>
      </c>
      <c r="B7" s="6" t="s">
        <v>69</v>
      </c>
      <c r="C7" s="6" t="s">
        <v>145</v>
      </c>
      <c r="D7" s="25"/>
      <c r="E7" s="21">
        <f>174603699*2</f>
        <v>349207398</v>
      </c>
      <c r="F7" s="21">
        <f>174586603*2</f>
        <v>349173206</v>
      </c>
      <c r="G7" s="21">
        <f>137106331*2</f>
        <v>274212662</v>
      </c>
      <c r="H7" s="21">
        <f>125795026*2</f>
        <v>251590052</v>
      </c>
      <c r="I7" s="21">
        <v>78.5</v>
      </c>
      <c r="J7" s="22">
        <f>0.997408*100</f>
        <v>99.740799999999993</v>
      </c>
      <c r="K7" s="22">
        <f t="shared" ref="K7:K15" si="0">H7*150/2715853792</f>
        <v>13.895633082739971</v>
      </c>
      <c r="L7" s="31" t="s">
        <v>167</v>
      </c>
    </row>
    <row r="8" spans="1:12" s="16" customFormat="1" x14ac:dyDescent="0.45">
      <c r="A8" s="6" t="s">
        <v>156</v>
      </c>
      <c r="B8" s="6" t="s">
        <v>69</v>
      </c>
      <c r="C8" s="6" t="s">
        <v>145</v>
      </c>
      <c r="D8" s="25"/>
      <c r="E8" s="21">
        <f>169258220*2</f>
        <v>338516440</v>
      </c>
      <c r="F8" s="21">
        <f>169254139*2</f>
        <v>338508278</v>
      </c>
      <c r="G8" s="21">
        <f>130482929*2</f>
        <v>260965858</v>
      </c>
      <c r="H8" s="21">
        <f>122102576*2</f>
        <v>244205152</v>
      </c>
      <c r="I8" s="21">
        <v>77.099999999999994</v>
      </c>
      <c r="J8" s="22">
        <f>0.996491*100</f>
        <v>99.649100000000004</v>
      </c>
      <c r="K8" s="22">
        <f t="shared" si="0"/>
        <v>13.487755823933544</v>
      </c>
      <c r="L8" s="31"/>
    </row>
    <row r="9" spans="1:12" s="16" customFormat="1" x14ac:dyDescent="0.45">
      <c r="A9" s="6" t="s">
        <v>157</v>
      </c>
      <c r="B9" s="6" t="s">
        <v>69</v>
      </c>
      <c r="C9" s="6" t="s">
        <v>147</v>
      </c>
      <c r="D9" s="25"/>
      <c r="E9" s="21">
        <f>270049758*2</f>
        <v>540099516</v>
      </c>
      <c r="F9" s="21">
        <f>269833904*2</f>
        <v>539667808</v>
      </c>
      <c r="G9" s="21">
        <f>204643006*2</f>
        <v>409286012</v>
      </c>
      <c r="H9" s="21">
        <f>174833700*2</f>
        <v>349667400</v>
      </c>
      <c r="I9" s="21">
        <v>75.8</v>
      </c>
      <c r="J9" s="22">
        <f>0.986645*100</f>
        <v>98.664500000000004</v>
      </c>
      <c r="K9" s="22">
        <f t="shared" si="0"/>
        <v>19.312567618514862</v>
      </c>
      <c r="L9" s="31" t="s">
        <v>166</v>
      </c>
    </row>
    <row r="10" spans="1:12" s="16" customFormat="1" x14ac:dyDescent="0.45">
      <c r="A10" s="6" t="s">
        <v>158</v>
      </c>
      <c r="B10" s="6" t="s">
        <v>69</v>
      </c>
      <c r="C10" s="6" t="s">
        <v>147</v>
      </c>
      <c r="D10" s="25"/>
      <c r="E10" s="21">
        <f>277801842*2</f>
        <v>555603684</v>
      </c>
      <c r="F10" s="21">
        <f>277571663*2</f>
        <v>555143326</v>
      </c>
      <c r="G10" s="21">
        <f>220572147*2</f>
        <v>441144294</v>
      </c>
      <c r="H10" s="21">
        <f>189268468*2</f>
        <v>378536936</v>
      </c>
      <c r="I10" s="21">
        <v>79.5</v>
      </c>
      <c r="J10" s="22">
        <f>0.986906*100</f>
        <v>98.690599999999989</v>
      </c>
      <c r="K10" s="22">
        <f t="shared" si="0"/>
        <v>20.90706818137874</v>
      </c>
      <c r="L10" s="31"/>
    </row>
    <row r="11" spans="1:12" s="16" customFormat="1" x14ac:dyDescent="0.45">
      <c r="A11" s="6" t="s">
        <v>159</v>
      </c>
      <c r="B11" s="6" t="s">
        <v>69</v>
      </c>
      <c r="C11" s="6" t="s">
        <v>149</v>
      </c>
      <c r="D11" s="25"/>
      <c r="E11" s="21">
        <f>207189345*2</f>
        <v>414378690</v>
      </c>
      <c r="F11" s="21">
        <f>207172313*2</f>
        <v>414344626</v>
      </c>
      <c r="G11" s="21">
        <f>160333592*2</f>
        <v>320667184</v>
      </c>
      <c r="H11" s="21">
        <f>140912058*2</f>
        <v>281824116</v>
      </c>
      <c r="I11" s="21">
        <v>77.400000000000006</v>
      </c>
      <c r="J11" s="22">
        <f>0.996584*100</f>
        <v>99.6584</v>
      </c>
      <c r="K11" s="22">
        <f t="shared" si="0"/>
        <v>15.565498232829759</v>
      </c>
      <c r="L11" s="31" t="s">
        <v>167</v>
      </c>
    </row>
    <row r="12" spans="1:12" s="16" customFormat="1" x14ac:dyDescent="0.45">
      <c r="A12" s="6" t="s">
        <v>160</v>
      </c>
      <c r="B12" s="6" t="s">
        <v>69</v>
      </c>
      <c r="C12" s="6" t="s">
        <v>149</v>
      </c>
      <c r="D12" s="25"/>
      <c r="E12" s="21">
        <f>158105283*2</f>
        <v>316210566</v>
      </c>
      <c r="F12" s="21">
        <f>158100370*2</f>
        <v>316200740</v>
      </c>
      <c r="G12" s="21">
        <f>117966403*2</f>
        <v>235932806</v>
      </c>
      <c r="H12" s="21">
        <f>109341455*2</f>
        <v>218682910</v>
      </c>
      <c r="I12" s="21">
        <v>74.599999999999994</v>
      </c>
      <c r="J12" s="22">
        <f>0.997473*100</f>
        <v>99.74730000000001</v>
      </c>
      <c r="K12" s="22">
        <f t="shared" si="0"/>
        <v>12.07813049311603</v>
      </c>
      <c r="L12" s="31"/>
    </row>
    <row r="13" spans="1:12" s="16" customFormat="1" x14ac:dyDescent="0.45">
      <c r="A13" s="6" t="s">
        <v>161</v>
      </c>
      <c r="B13" s="6" t="s">
        <v>69</v>
      </c>
      <c r="C13" s="6" t="s">
        <v>151</v>
      </c>
      <c r="D13" s="25"/>
      <c r="E13" s="21">
        <f>161149989*2</f>
        <v>322299978</v>
      </c>
      <c r="F13" s="21">
        <f>161109439*2</f>
        <v>322218878</v>
      </c>
      <c r="G13" s="21">
        <f>128521698*2</f>
        <v>257043396</v>
      </c>
      <c r="H13" s="21">
        <f>118884561*2</f>
        <v>237769122</v>
      </c>
      <c r="I13" s="21">
        <v>79.8</v>
      </c>
      <c r="J13" s="22">
        <f xml:space="preserve"> 0.996337*100</f>
        <v>99.633700000000005</v>
      </c>
      <c r="K13" s="22">
        <f t="shared" si="0"/>
        <v>13.132285841402172</v>
      </c>
      <c r="L13" s="31"/>
    </row>
    <row r="14" spans="1:12" s="16" customFormat="1" x14ac:dyDescent="0.45">
      <c r="A14" s="6" t="s">
        <v>162</v>
      </c>
      <c r="B14" s="6" t="s">
        <v>69</v>
      </c>
      <c r="C14" s="6" t="s">
        <v>151</v>
      </c>
      <c r="D14" s="25"/>
      <c r="E14" s="21">
        <f>209547764*2</f>
        <v>419095528</v>
      </c>
      <c r="F14" s="21">
        <f>209507559*2</f>
        <v>419015118</v>
      </c>
      <c r="G14" s="21">
        <f>162679001*2</f>
        <v>325358002</v>
      </c>
      <c r="H14" s="21">
        <f>144094137*2</f>
        <v>288188274</v>
      </c>
      <c r="I14" s="21">
        <v>77.599999999999994</v>
      </c>
      <c r="J14" s="22">
        <f>0.995715*100</f>
        <v>99.5715</v>
      </c>
      <c r="K14" s="22">
        <f t="shared" si="0"/>
        <v>15.916998634954499</v>
      </c>
      <c r="L14" s="31"/>
    </row>
    <row r="15" spans="1:12" x14ac:dyDescent="0.4">
      <c r="A15" s="6" t="s">
        <v>163</v>
      </c>
      <c r="B15" s="6" t="s">
        <v>69</v>
      </c>
      <c r="C15" s="17" t="s">
        <v>153</v>
      </c>
      <c r="D15" s="25"/>
      <c r="E15" s="6">
        <f>381124724*2</f>
        <v>762249448</v>
      </c>
      <c r="F15" s="6">
        <f>381057178*2</f>
        <v>762114356</v>
      </c>
      <c r="G15" s="6">
        <f>151967619*2</f>
        <v>303935238</v>
      </c>
      <c r="H15" s="6">
        <f>117859899*2</f>
        <v>235719798</v>
      </c>
      <c r="I15" s="6">
        <v>39.9</v>
      </c>
      <c r="J15" s="7">
        <f>0.979872*100</f>
        <v>97.987200000000001</v>
      </c>
      <c r="K15" s="22">
        <f t="shared" si="0"/>
        <v>13.019099115038076</v>
      </c>
      <c r="L15" s="31"/>
    </row>
    <row r="16" spans="1:12" x14ac:dyDescent="0.4">
      <c r="A16" s="6" t="s">
        <v>130</v>
      </c>
      <c r="B16" s="6" t="s">
        <v>70</v>
      </c>
      <c r="C16" s="6" t="s">
        <v>11</v>
      </c>
      <c r="D16" s="25" t="s">
        <v>16</v>
      </c>
      <c r="E16" s="6">
        <f>301071115*2</f>
        <v>602142230</v>
      </c>
      <c r="F16" s="6">
        <f>301066063*2</f>
        <v>602132126</v>
      </c>
      <c r="G16" s="6">
        <f>239233687*2</f>
        <v>478467374</v>
      </c>
      <c r="H16" s="6">
        <f>190722457*2</f>
        <v>381444914</v>
      </c>
      <c r="I16" s="6">
        <v>79.5</v>
      </c>
      <c r="J16" s="7">
        <f>0.995216*100</f>
        <v>99.521599999999992</v>
      </c>
      <c r="K16" s="7">
        <f>H16*150/2869914396</f>
        <v>19.936739987696832</v>
      </c>
      <c r="L16" s="25" t="s">
        <v>62</v>
      </c>
    </row>
    <row r="17" spans="1:12" x14ac:dyDescent="0.4">
      <c r="A17" s="6" t="s">
        <v>131</v>
      </c>
      <c r="B17" s="6" t="s">
        <v>70</v>
      </c>
      <c r="C17" s="6" t="s">
        <v>11</v>
      </c>
      <c r="D17" s="25"/>
      <c r="E17" s="6">
        <f>325172038*2</f>
        <v>650344076</v>
      </c>
      <c r="F17" s="6">
        <f>325166312*2</f>
        <v>650332624</v>
      </c>
      <c r="G17" s="6">
        <f>254056798*2</f>
        <v>508113596</v>
      </c>
      <c r="H17" s="6">
        <f>202938066*2</f>
        <v>405876132</v>
      </c>
      <c r="I17" s="6">
        <v>78.099999999999994</v>
      </c>
      <c r="J17" s="7">
        <f>0.995572*100</f>
        <v>99.557199999999995</v>
      </c>
      <c r="K17" s="7">
        <f t="shared" ref="K17:K18" si="1">H17*150/2869914396</f>
        <v>21.213671001774369</v>
      </c>
      <c r="L17" s="25"/>
    </row>
    <row r="18" spans="1:12" x14ac:dyDescent="0.4">
      <c r="A18" s="6" t="s">
        <v>132</v>
      </c>
      <c r="B18" s="6" t="s">
        <v>70</v>
      </c>
      <c r="C18" s="6" t="s">
        <v>11</v>
      </c>
      <c r="D18" s="25"/>
      <c r="E18" s="6">
        <f>287157391*2</f>
        <v>574314782</v>
      </c>
      <c r="F18" s="6">
        <f>287155949*2</f>
        <v>574311898</v>
      </c>
      <c r="G18" s="6">
        <f>240101746*2</f>
        <v>480203492</v>
      </c>
      <c r="H18" s="6">
        <f>192932715*2</f>
        <v>385865430</v>
      </c>
      <c r="I18" s="6">
        <v>83.6</v>
      </c>
      <c r="J18" s="7">
        <f xml:space="preserve"> 0.994774*100</f>
        <v>99.477400000000003</v>
      </c>
      <c r="K18" s="7">
        <f t="shared" si="1"/>
        <v>20.167784300699399</v>
      </c>
      <c r="L18" s="25"/>
    </row>
    <row r="19" spans="1:12" x14ac:dyDescent="0.4">
      <c r="A19" s="6" t="s">
        <v>133</v>
      </c>
      <c r="B19" s="6" t="s">
        <v>71</v>
      </c>
      <c r="C19" s="6" t="s">
        <v>11</v>
      </c>
      <c r="D19" s="25" t="s">
        <v>18</v>
      </c>
      <c r="E19" s="6">
        <f>365243792*2</f>
        <v>730487584</v>
      </c>
      <c r="F19" s="6">
        <f>365233733*2</f>
        <v>730467466</v>
      </c>
      <c r="G19" s="6">
        <f>287667117*2</f>
        <v>575334234</v>
      </c>
      <c r="H19" s="6">
        <f>241882515*2</f>
        <v>483765030</v>
      </c>
      <c r="I19" s="6">
        <v>78.8</v>
      </c>
      <c r="J19" s="7">
        <f>0.994715*100</f>
        <v>99.471500000000006</v>
      </c>
      <c r="K19" s="7">
        <f>H19*150/2922813246</f>
        <v>24.82702396374729</v>
      </c>
      <c r="L19" s="25"/>
    </row>
    <row r="20" spans="1:12" x14ac:dyDescent="0.4">
      <c r="A20" s="6" t="s">
        <v>134</v>
      </c>
      <c r="B20" s="6" t="s">
        <v>71</v>
      </c>
      <c r="C20" s="6" t="s">
        <v>11</v>
      </c>
      <c r="D20" s="25"/>
      <c r="E20" s="6">
        <f>316686825*2</f>
        <v>633373650</v>
      </c>
      <c r="F20" s="6">
        <f>316681517*2</f>
        <v>633363034</v>
      </c>
      <c r="G20" s="6">
        <f>266956513*2</f>
        <v>533913026</v>
      </c>
      <c r="H20" s="6">
        <f>221080580*2</f>
        <v>442161160</v>
      </c>
      <c r="I20" s="6">
        <v>84.3</v>
      </c>
      <c r="J20" s="7">
        <f>0.99535*100</f>
        <v>99.534999999999997</v>
      </c>
      <c r="K20" s="7">
        <f t="shared" ref="K20:K21" si="2">H20*150/2922813246</f>
        <v>22.691895929638196</v>
      </c>
      <c r="L20" s="25"/>
    </row>
    <row r="21" spans="1:12" x14ac:dyDescent="0.4">
      <c r="A21" s="6" t="s">
        <v>135</v>
      </c>
      <c r="B21" s="6" t="s">
        <v>71</v>
      </c>
      <c r="C21" s="6" t="s">
        <v>11</v>
      </c>
      <c r="D21" s="25"/>
      <c r="E21" s="6">
        <f>388163720*2</f>
        <v>776327440</v>
      </c>
      <c r="F21" s="6">
        <f>388155527*2</f>
        <v>776311054</v>
      </c>
      <c r="G21" s="6">
        <f>316051312*2</f>
        <v>632102624</v>
      </c>
      <c r="H21" s="6">
        <f>235566185*2</f>
        <v>471132370</v>
      </c>
      <c r="I21" s="6">
        <v>81.400000000000006</v>
      </c>
      <c r="J21" s="7">
        <f xml:space="preserve"> 0.995709*100</f>
        <v>99.570899999999995</v>
      </c>
      <c r="K21" s="7">
        <f t="shared" si="2"/>
        <v>24.178710561379468</v>
      </c>
      <c r="L21" s="25"/>
    </row>
    <row r="22" spans="1:12" x14ac:dyDescent="0.4">
      <c r="A22" s="6" t="s">
        <v>136</v>
      </c>
      <c r="B22" s="6" t="s">
        <v>72</v>
      </c>
      <c r="C22" s="6" t="s">
        <v>11</v>
      </c>
      <c r="D22" s="25" t="s">
        <v>20</v>
      </c>
      <c r="E22" s="6">
        <f>505275342*2</f>
        <v>1010550684</v>
      </c>
      <c r="F22" s="6">
        <f>497174614*2</f>
        <v>994349228</v>
      </c>
      <c r="G22" s="6">
        <f>345930601*2</f>
        <v>691861202</v>
      </c>
      <c r="H22" s="6">
        <f xml:space="preserve"> 275669696*2</f>
        <v>551339392</v>
      </c>
      <c r="I22" s="6">
        <v>69.599999999999994</v>
      </c>
      <c r="J22" s="7">
        <f>0.991697*100</f>
        <v>99.169700000000006</v>
      </c>
      <c r="K22" s="7">
        <f>H22*100/2501912388</f>
        <v>22.036718577533179</v>
      </c>
      <c r="L22" s="25" t="s">
        <v>165</v>
      </c>
    </row>
    <row r="23" spans="1:12" x14ac:dyDescent="0.4">
      <c r="A23" s="6" t="s">
        <v>137</v>
      </c>
      <c r="B23" s="6" t="s">
        <v>72</v>
      </c>
      <c r="C23" s="6" t="s">
        <v>11</v>
      </c>
      <c r="D23" s="25"/>
      <c r="E23" s="6">
        <f>457917241*2</f>
        <v>915834482</v>
      </c>
      <c r="F23" s="6">
        <f>451406243*2</f>
        <v>902812486</v>
      </c>
      <c r="G23" s="6">
        <f>332201752*2</f>
        <v>664403504</v>
      </c>
      <c r="H23" s="6">
        <f>256771586*2</f>
        <v>513543172</v>
      </c>
      <c r="I23" s="6">
        <v>73.599999999999994</v>
      </c>
      <c r="J23" s="7">
        <f>0.994604*100</f>
        <v>99.460400000000007</v>
      </c>
      <c r="K23" s="7">
        <f>H23*100/2501912388</f>
        <v>20.526025390142479</v>
      </c>
      <c r="L23" s="25"/>
    </row>
    <row r="24" spans="1:12" x14ac:dyDescent="0.4">
      <c r="A24" s="6" t="s">
        <v>138</v>
      </c>
      <c r="B24" s="6" t="s">
        <v>73</v>
      </c>
      <c r="C24" s="6" t="s">
        <v>11</v>
      </c>
      <c r="D24" s="25" t="s">
        <v>30</v>
      </c>
      <c r="E24" s="6">
        <f>432995687*2</f>
        <v>865991374</v>
      </c>
      <c r="F24" s="6">
        <f>426863613*2</f>
        <v>853727226</v>
      </c>
      <c r="G24" s="6">
        <f>306087843*2</f>
        <v>612175686</v>
      </c>
      <c r="H24" s="6">
        <f>254135717*2</f>
        <v>508271434</v>
      </c>
      <c r="I24" s="6">
        <v>71.7</v>
      </c>
      <c r="J24" s="7">
        <f>0.99056*100</f>
        <v>99.055999999999997</v>
      </c>
      <c r="K24" s="7">
        <f>H24*100/3099750718</f>
        <v>16.397171264402299</v>
      </c>
      <c r="L24" s="25" t="s">
        <v>164</v>
      </c>
    </row>
    <row r="25" spans="1:12" x14ac:dyDescent="0.4">
      <c r="A25" s="6" t="s">
        <v>139</v>
      </c>
      <c r="B25" s="6" t="s">
        <v>73</v>
      </c>
      <c r="C25" s="6" t="s">
        <v>11</v>
      </c>
      <c r="D25" s="25"/>
      <c r="E25" s="6">
        <f>407628498*2</f>
        <v>815256996</v>
      </c>
      <c r="F25" s="6">
        <f>398875171*2</f>
        <v>797750342</v>
      </c>
      <c r="G25" s="6">
        <f>283628891*2</f>
        <v>567257782</v>
      </c>
      <c r="H25" s="6">
        <f>239666300*2</f>
        <v>479332600</v>
      </c>
      <c r="I25" s="6">
        <v>71.099999999999994</v>
      </c>
      <c r="J25" s="7">
        <f>0.991036*100</f>
        <v>99.1036</v>
      </c>
      <c r="K25" s="7">
        <f t="shared" ref="K25:K26" si="3">H25*100/3099750718</f>
        <v>15.463585417258059</v>
      </c>
      <c r="L25" s="25"/>
    </row>
    <row r="26" spans="1:12" x14ac:dyDescent="0.4">
      <c r="A26" s="6" t="s">
        <v>140</v>
      </c>
      <c r="B26" s="6" t="s">
        <v>73</v>
      </c>
      <c r="C26" s="6" t="s">
        <v>11</v>
      </c>
      <c r="D26" s="25"/>
      <c r="E26" s="6">
        <f>456454563*2</f>
        <v>912909126</v>
      </c>
      <c r="F26" s="6">
        <f>449923923*2</f>
        <v>899847846</v>
      </c>
      <c r="G26" s="6">
        <f>324076021*2</f>
        <v>648152042</v>
      </c>
      <c r="H26" s="6">
        <f>272236511*2</f>
        <v>544473022</v>
      </c>
      <c r="I26" s="6">
        <v>72</v>
      </c>
      <c r="J26" s="7">
        <f>0.991413*100</f>
        <v>99.141300000000001</v>
      </c>
      <c r="K26" s="7">
        <f t="shared" si="3"/>
        <v>17.565058339636458</v>
      </c>
      <c r="L26" s="25"/>
    </row>
    <row r="27" spans="1:12" x14ac:dyDescent="0.4">
      <c r="A27" s="6" t="s">
        <v>141</v>
      </c>
      <c r="B27" s="6" t="s">
        <v>74</v>
      </c>
      <c r="C27" s="6" t="s">
        <v>11</v>
      </c>
      <c r="D27" s="25" t="s">
        <v>44</v>
      </c>
      <c r="E27" s="6">
        <f>912754271*2</f>
        <v>1825508542</v>
      </c>
      <c r="F27" s="6">
        <f>861629363*2</f>
        <v>1723258726</v>
      </c>
      <c r="G27" s="6">
        <f>628896171*2</f>
        <v>1257792342</v>
      </c>
      <c r="H27" s="6">
        <f>457850637*2</f>
        <v>915701274</v>
      </c>
      <c r="I27" s="6">
        <v>73</v>
      </c>
      <c r="J27" s="7">
        <f>0.997209*100</f>
        <v>99.7209</v>
      </c>
      <c r="K27" s="7">
        <f>H27*101/2728222451</f>
        <v>33.899665564331215</v>
      </c>
      <c r="L27" s="25" t="s">
        <v>298</v>
      </c>
    </row>
    <row r="28" spans="1:12" ht="14.1" customHeight="1" x14ac:dyDescent="0.4">
      <c r="A28" s="6" t="s">
        <v>142</v>
      </c>
      <c r="B28" s="6" t="s">
        <v>74</v>
      </c>
      <c r="C28" s="6" t="s">
        <v>11</v>
      </c>
      <c r="D28" s="25"/>
      <c r="E28" s="6">
        <f>678485844*2</f>
        <v>1356971688</v>
      </c>
      <c r="F28" s="6">
        <f>657591930*2</f>
        <v>1315183860</v>
      </c>
      <c r="G28" s="6">
        <f>490218837*2</f>
        <v>980437674</v>
      </c>
      <c r="H28" s="6">
        <f>401450699*2</f>
        <v>802901398</v>
      </c>
      <c r="I28" s="6">
        <v>74.5</v>
      </c>
      <c r="J28" s="7">
        <f>0.995896*100</f>
        <v>99.589600000000004</v>
      </c>
      <c r="K28" s="7">
        <f>H28*101/2728222451</f>
        <v>29.723764339039228</v>
      </c>
      <c r="L28" s="25"/>
    </row>
    <row r="29" spans="1:12" ht="14.45" customHeight="1" thickBot="1" x14ac:dyDescent="0.45">
      <c r="A29" s="8" t="s">
        <v>143</v>
      </c>
      <c r="B29" s="8" t="s">
        <v>74</v>
      </c>
      <c r="C29" s="8" t="s">
        <v>11</v>
      </c>
      <c r="D29" s="26"/>
      <c r="E29" s="8">
        <f>532509704*2</f>
        <v>1065019408</v>
      </c>
      <c r="F29" s="8">
        <f>515872456*2</f>
        <v>1031744912</v>
      </c>
      <c r="G29" s="8">
        <f>388662837*2</f>
        <v>777325674</v>
      </c>
      <c r="H29" s="8">
        <f>296007384*2</f>
        <v>592014768</v>
      </c>
      <c r="I29" s="8">
        <v>75.3</v>
      </c>
      <c r="J29" s="9">
        <f xml:space="preserve"> 0.997442*100</f>
        <v>99.744200000000006</v>
      </c>
      <c r="K29" s="9">
        <f>H29*101/2728222451</f>
        <v>21.916648162646471</v>
      </c>
      <c r="L29" s="26"/>
    </row>
  </sheetData>
  <mergeCells count="15">
    <mergeCell ref="A1:F1"/>
    <mergeCell ref="D16:D18"/>
    <mergeCell ref="D19:D21"/>
    <mergeCell ref="D22:D23"/>
    <mergeCell ref="D24:D26"/>
    <mergeCell ref="D27:D29"/>
    <mergeCell ref="D4:D15"/>
    <mergeCell ref="L16:L21"/>
    <mergeCell ref="L27:L29"/>
    <mergeCell ref="L24:L26"/>
    <mergeCell ref="L22:L23"/>
    <mergeCell ref="L9:L10"/>
    <mergeCell ref="L11:L15"/>
    <mergeCell ref="L7:L8"/>
    <mergeCell ref="L4:L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tabSelected="1" zoomScale="98" zoomScaleNormal="98" workbookViewId="0">
      <selection activeCell="B16" sqref="B16"/>
    </sheetView>
  </sheetViews>
  <sheetFormatPr defaultColWidth="9" defaultRowHeight="13.7" x14ac:dyDescent="0.4"/>
  <cols>
    <col min="1" max="1" width="15.76171875" style="14" customWidth="1"/>
    <col min="2" max="2" width="9" style="14"/>
    <col min="3" max="3" width="15.64453125" style="14" customWidth="1"/>
    <col min="4" max="4" width="17.3515625" style="14" customWidth="1"/>
    <col min="5" max="5" width="15.234375" style="14" customWidth="1"/>
    <col min="6" max="6" width="21" style="14" customWidth="1"/>
    <col min="7" max="7" width="15.76171875" style="14" customWidth="1"/>
    <col min="8" max="8" width="16.64453125" style="14" customWidth="1"/>
    <col min="9" max="9" width="24.87890625" style="14" customWidth="1"/>
    <col min="10" max="10" width="25" style="14" customWidth="1"/>
    <col min="11" max="11" width="25.1171875" style="14" customWidth="1"/>
    <col min="12" max="12" width="23" style="14" customWidth="1"/>
    <col min="13" max="13" width="23.46875" style="14" customWidth="1"/>
    <col min="14" max="16384" width="9" style="14"/>
  </cols>
  <sheetData>
    <row r="1" spans="1:12" x14ac:dyDescent="0.4">
      <c r="A1" s="30" t="s">
        <v>117</v>
      </c>
      <c r="B1" s="30"/>
      <c r="C1" s="30"/>
      <c r="D1" s="30"/>
      <c r="E1" s="30"/>
    </row>
    <row r="2" spans="1:12" ht="14" thickBot="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1" thickBot="1" x14ac:dyDescent="0.45">
      <c r="A3" s="11" t="s">
        <v>0</v>
      </c>
      <c r="B3" s="11" t="s">
        <v>2</v>
      </c>
      <c r="C3" s="11" t="s">
        <v>144</v>
      </c>
      <c r="D3" s="11" t="s">
        <v>3</v>
      </c>
      <c r="E3" s="11" t="s">
        <v>4</v>
      </c>
      <c r="F3" s="11" t="s">
        <v>5</v>
      </c>
      <c r="G3" s="11" t="s">
        <v>75</v>
      </c>
      <c r="H3" s="11" t="s">
        <v>6</v>
      </c>
      <c r="I3" s="12" t="s">
        <v>7</v>
      </c>
      <c r="J3" s="11" t="s">
        <v>8</v>
      </c>
      <c r="K3" s="12" t="s">
        <v>203</v>
      </c>
      <c r="L3" s="20" t="s">
        <v>10</v>
      </c>
    </row>
    <row r="4" spans="1:12" x14ac:dyDescent="0.4">
      <c r="A4" s="6" t="s">
        <v>118</v>
      </c>
      <c r="B4" s="6" t="s">
        <v>12</v>
      </c>
      <c r="C4" s="6" t="s">
        <v>11</v>
      </c>
      <c r="D4" s="29" t="s">
        <v>13</v>
      </c>
      <c r="E4" s="6">
        <f>87562036*2</f>
        <v>175124072</v>
      </c>
      <c r="F4" s="6">
        <v>170916250</v>
      </c>
      <c r="G4" s="6">
        <v>98.44</v>
      </c>
      <c r="H4" s="6">
        <v>169716496</v>
      </c>
      <c r="I4" s="7">
        <f>H4/F4*100</f>
        <v>99.298045680267379</v>
      </c>
      <c r="J4" s="6">
        <v>68066799</v>
      </c>
      <c r="K4" s="7">
        <f>J4/H4*100</f>
        <v>40.106177421904817</v>
      </c>
      <c r="L4" s="6" t="s">
        <v>188</v>
      </c>
    </row>
    <row r="5" spans="1:12" x14ac:dyDescent="0.4">
      <c r="A5" s="6" t="s">
        <v>119</v>
      </c>
      <c r="B5" s="6" t="s">
        <v>12</v>
      </c>
      <c r="C5" s="6" t="s">
        <v>11</v>
      </c>
      <c r="D5" s="25"/>
      <c r="E5" s="6">
        <f>97183996*2</f>
        <v>194367992</v>
      </c>
      <c r="F5" s="6">
        <v>189040987</v>
      </c>
      <c r="G5" s="6">
        <v>97.86</v>
      </c>
      <c r="H5" s="6">
        <v>187290470</v>
      </c>
      <c r="I5" s="7">
        <f t="shared" ref="I5:I18" si="0">H5/F5*100</f>
        <v>99.07400134342295</v>
      </c>
      <c r="J5" s="6">
        <v>76663688</v>
      </c>
      <c r="K5" s="7">
        <f t="shared" ref="K5:K20" si="1">J5/H5*100</f>
        <v>40.93304266896228</v>
      </c>
      <c r="L5" s="6" t="s">
        <v>189</v>
      </c>
    </row>
    <row r="6" spans="1:12" x14ac:dyDescent="0.4">
      <c r="A6" s="6" t="s">
        <v>168</v>
      </c>
      <c r="B6" s="6" t="s">
        <v>12</v>
      </c>
      <c r="C6" s="6" t="s">
        <v>145</v>
      </c>
      <c r="D6" s="25"/>
      <c r="E6" s="6">
        <f>76092035*2</f>
        <v>152184070</v>
      </c>
      <c r="F6" s="6">
        <v>146420734</v>
      </c>
      <c r="G6" s="6">
        <v>96.97</v>
      </c>
      <c r="H6" s="6">
        <v>145563964</v>
      </c>
      <c r="I6" s="7">
        <f t="shared" si="0"/>
        <v>99.414857461375647</v>
      </c>
      <c r="J6" s="6">
        <v>61656879</v>
      </c>
      <c r="K6" s="7">
        <f t="shared" si="1"/>
        <v>42.357240972085648</v>
      </c>
      <c r="L6" s="6" t="s">
        <v>183</v>
      </c>
    </row>
    <row r="7" spans="1:12" x14ac:dyDescent="0.4">
      <c r="A7" s="6" t="s">
        <v>169</v>
      </c>
      <c r="B7" s="6" t="s">
        <v>12</v>
      </c>
      <c r="C7" s="6" t="s">
        <v>145</v>
      </c>
      <c r="D7" s="25"/>
      <c r="E7" s="6">
        <f>63460388*2</f>
        <v>126920776</v>
      </c>
      <c r="F7" s="6">
        <v>123508967</v>
      </c>
      <c r="G7" s="6">
        <v>97.94</v>
      </c>
      <c r="H7" s="6">
        <v>122771924</v>
      </c>
      <c r="I7" s="7">
        <f t="shared" si="0"/>
        <v>99.403247377172221</v>
      </c>
      <c r="J7" s="6">
        <v>97169913</v>
      </c>
      <c r="K7" s="7">
        <f t="shared" si="1"/>
        <v>79.146689107845219</v>
      </c>
      <c r="L7" s="6" t="s">
        <v>184</v>
      </c>
    </row>
    <row r="8" spans="1:12" x14ac:dyDescent="0.4">
      <c r="A8" s="6" t="s">
        <v>170</v>
      </c>
      <c r="B8" s="6" t="s">
        <v>12</v>
      </c>
      <c r="C8" s="6" t="s">
        <v>147</v>
      </c>
      <c r="D8" s="25"/>
      <c r="E8" s="6">
        <f>85713454*2</f>
        <v>171426908</v>
      </c>
      <c r="F8" s="6">
        <v>163532511</v>
      </c>
      <c r="G8" s="6">
        <v>96.21</v>
      </c>
      <c r="H8" s="6">
        <v>162175985</v>
      </c>
      <c r="I8" s="7">
        <f t="shared" si="0"/>
        <v>99.170485433321574</v>
      </c>
      <c r="J8" s="6">
        <v>47353275</v>
      </c>
      <c r="K8" s="7">
        <f t="shared" si="1"/>
        <v>29.19869732870745</v>
      </c>
      <c r="L8" s="6" t="s">
        <v>185</v>
      </c>
    </row>
    <row r="9" spans="1:12" x14ac:dyDescent="0.4">
      <c r="A9" s="6" t="s">
        <v>171</v>
      </c>
      <c r="B9" s="6" t="s">
        <v>12</v>
      </c>
      <c r="C9" s="6" t="s">
        <v>146</v>
      </c>
      <c r="D9" s="25"/>
      <c r="E9" s="6">
        <f>102681880*2</f>
        <v>205363760</v>
      </c>
      <c r="F9" s="6">
        <v>199298259</v>
      </c>
      <c r="G9" s="6">
        <v>97.76</v>
      </c>
      <c r="H9" s="6">
        <v>197935815</v>
      </c>
      <c r="I9" s="7">
        <f t="shared" si="0"/>
        <v>99.316379376901637</v>
      </c>
      <c r="J9" s="6">
        <v>78357633</v>
      </c>
      <c r="K9" s="7">
        <f t="shared" si="1"/>
        <v>39.587395035102666</v>
      </c>
      <c r="L9" s="6" t="s">
        <v>186</v>
      </c>
    </row>
    <row r="10" spans="1:12" x14ac:dyDescent="0.4">
      <c r="A10" s="6" t="s">
        <v>174</v>
      </c>
      <c r="B10" s="6" t="s">
        <v>12</v>
      </c>
      <c r="C10" s="6" t="s">
        <v>205</v>
      </c>
      <c r="D10" s="25"/>
      <c r="E10" s="6">
        <f>79482277*2</f>
        <v>158964554</v>
      </c>
      <c r="F10" s="6">
        <v>155093904</v>
      </c>
      <c r="G10" s="6">
        <v>98.2</v>
      </c>
      <c r="H10" s="6">
        <v>154011833</v>
      </c>
      <c r="I10" s="7">
        <f t="shared" si="0"/>
        <v>99.302312359098266</v>
      </c>
      <c r="J10" s="6">
        <v>80780855</v>
      </c>
      <c r="K10" s="7">
        <f t="shared" si="1"/>
        <v>52.451070431711564</v>
      </c>
      <c r="L10" s="6" t="s">
        <v>187</v>
      </c>
    </row>
    <row r="11" spans="1:12" x14ac:dyDescent="0.4">
      <c r="A11" s="6" t="s">
        <v>175</v>
      </c>
      <c r="B11" s="6" t="s">
        <v>12</v>
      </c>
      <c r="C11" s="6" t="s">
        <v>204</v>
      </c>
      <c r="D11" s="25"/>
      <c r="E11" s="6">
        <f>73219524*2</f>
        <v>146439048</v>
      </c>
      <c r="F11" s="6">
        <v>143093308</v>
      </c>
      <c r="G11" s="6">
        <v>98.43</v>
      </c>
      <c r="H11" s="6">
        <v>142561400</v>
      </c>
      <c r="I11" s="7">
        <f t="shared" si="0"/>
        <v>99.62827891294539</v>
      </c>
      <c r="J11" s="6">
        <v>52085284</v>
      </c>
      <c r="K11" s="7">
        <f t="shared" si="1"/>
        <v>36.535334248962201</v>
      </c>
      <c r="L11" s="6" t="s">
        <v>190</v>
      </c>
    </row>
    <row r="12" spans="1:12" x14ac:dyDescent="0.4">
      <c r="A12" s="6" t="s">
        <v>172</v>
      </c>
      <c r="B12" s="6" t="s">
        <v>12</v>
      </c>
      <c r="C12" s="6" t="s">
        <v>182</v>
      </c>
      <c r="D12" s="25"/>
      <c r="E12" s="6">
        <f>34076678*2</f>
        <v>68153356</v>
      </c>
      <c r="F12" s="6">
        <v>65430724</v>
      </c>
      <c r="G12" s="6">
        <v>96.61</v>
      </c>
      <c r="H12" s="6">
        <v>64872091</v>
      </c>
      <c r="I12" s="7">
        <f t="shared" si="0"/>
        <v>99.14622219372049</v>
      </c>
      <c r="J12" s="6">
        <v>31066341</v>
      </c>
      <c r="K12" s="7">
        <f t="shared" si="1"/>
        <v>47.88860744445558</v>
      </c>
      <c r="L12" s="6" t="s">
        <v>191</v>
      </c>
    </row>
    <row r="13" spans="1:12" x14ac:dyDescent="0.4">
      <c r="A13" s="6" t="s">
        <v>176</v>
      </c>
      <c r="B13" s="6" t="s">
        <v>12</v>
      </c>
      <c r="C13" s="6" t="s">
        <v>149</v>
      </c>
      <c r="D13" s="25"/>
      <c r="E13" s="6">
        <f>81734551*2</f>
        <v>163469102</v>
      </c>
      <c r="F13" s="6">
        <v>160051417</v>
      </c>
      <c r="G13" s="6">
        <v>98.49</v>
      </c>
      <c r="H13" s="6">
        <v>159191361</v>
      </c>
      <c r="I13" s="7">
        <f t="shared" si="0"/>
        <v>99.462637684738525</v>
      </c>
      <c r="J13" s="6">
        <v>131421574</v>
      </c>
      <c r="K13" s="7">
        <f t="shared" si="1"/>
        <v>82.555719842108772</v>
      </c>
      <c r="L13" s="6" t="s">
        <v>192</v>
      </c>
    </row>
    <row r="14" spans="1:12" x14ac:dyDescent="0.4">
      <c r="A14" s="6" t="s">
        <v>173</v>
      </c>
      <c r="B14" s="6" t="s">
        <v>12</v>
      </c>
      <c r="C14" s="6" t="s">
        <v>148</v>
      </c>
      <c r="D14" s="25"/>
      <c r="E14" s="6">
        <f>95015085*2</f>
        <v>190030170</v>
      </c>
      <c r="F14" s="6">
        <v>186095141</v>
      </c>
      <c r="G14" s="6">
        <v>98.5</v>
      </c>
      <c r="H14" s="6">
        <v>185044227</v>
      </c>
      <c r="I14" s="7">
        <f t="shared" si="0"/>
        <v>99.435281332788804</v>
      </c>
      <c r="J14" s="6">
        <v>147142416</v>
      </c>
      <c r="K14" s="7">
        <f t="shared" si="1"/>
        <v>79.517431257123192</v>
      </c>
      <c r="L14" s="6" t="s">
        <v>193</v>
      </c>
    </row>
    <row r="15" spans="1:12" x14ac:dyDescent="0.4">
      <c r="A15" s="6" t="s">
        <v>177</v>
      </c>
      <c r="B15" s="6" t="s">
        <v>12</v>
      </c>
      <c r="C15" s="6" t="s">
        <v>151</v>
      </c>
      <c r="D15" s="25"/>
      <c r="E15" s="6">
        <f>44587309*2</f>
        <v>89174618</v>
      </c>
      <c r="F15" s="6">
        <v>87084986</v>
      </c>
      <c r="G15" s="6">
        <v>98.58</v>
      </c>
      <c r="H15" s="6">
        <v>86697995</v>
      </c>
      <c r="I15" s="7">
        <f t="shared" si="0"/>
        <v>99.555616854551715</v>
      </c>
      <c r="J15" s="6">
        <v>69440005</v>
      </c>
      <c r="K15" s="7">
        <f t="shared" si="1"/>
        <v>80.094130204510492</v>
      </c>
      <c r="L15" s="6" t="s">
        <v>194</v>
      </c>
    </row>
    <row r="16" spans="1:12" x14ac:dyDescent="0.4">
      <c r="A16" s="6" t="s">
        <v>178</v>
      </c>
      <c r="B16" s="6" t="s">
        <v>12</v>
      </c>
      <c r="C16" s="6" t="s">
        <v>150</v>
      </c>
      <c r="D16" s="25"/>
      <c r="E16" s="6">
        <f>48623640*2</f>
        <v>97247280</v>
      </c>
      <c r="F16" s="6">
        <v>95157250</v>
      </c>
      <c r="G16" s="6">
        <v>98.61</v>
      </c>
      <c r="H16" s="6">
        <v>94772034</v>
      </c>
      <c r="I16" s="7">
        <f t="shared" si="0"/>
        <v>99.595179558047349</v>
      </c>
      <c r="J16" s="6">
        <v>74810014</v>
      </c>
      <c r="K16" s="7">
        <f t="shared" si="1"/>
        <v>78.936803234591338</v>
      </c>
      <c r="L16" s="6" t="s">
        <v>195</v>
      </c>
    </row>
    <row r="17" spans="1:12" x14ac:dyDescent="0.4">
      <c r="A17" s="6" t="s">
        <v>179</v>
      </c>
      <c r="B17" s="6" t="s">
        <v>12</v>
      </c>
      <c r="C17" s="6" t="s">
        <v>152</v>
      </c>
      <c r="D17" s="25"/>
      <c r="E17" s="6">
        <f>130892658*2</f>
        <v>261785316</v>
      </c>
      <c r="F17" s="6">
        <v>252538086</v>
      </c>
      <c r="G17" s="6">
        <v>97.26</v>
      </c>
      <c r="H17" s="6">
        <v>250038855</v>
      </c>
      <c r="I17" s="7">
        <f t="shared" si="0"/>
        <v>99.010354818322327</v>
      </c>
      <c r="J17" s="6">
        <v>87283634</v>
      </c>
      <c r="K17" s="7">
        <f t="shared" si="1"/>
        <v>34.908028194258051</v>
      </c>
      <c r="L17" s="6" t="s">
        <v>196</v>
      </c>
    </row>
    <row r="18" spans="1:12" x14ac:dyDescent="0.4">
      <c r="A18" s="6" t="s">
        <v>180</v>
      </c>
      <c r="B18" s="6" t="s">
        <v>12</v>
      </c>
      <c r="C18" s="6" t="s">
        <v>152</v>
      </c>
      <c r="D18" s="25"/>
      <c r="E18" s="6">
        <f>89927142*2</f>
        <v>179854284</v>
      </c>
      <c r="F18" s="6">
        <v>175169976</v>
      </c>
      <c r="G18" s="6">
        <v>97.99</v>
      </c>
      <c r="H18" s="6">
        <v>173754103</v>
      </c>
      <c r="I18" s="7">
        <f t="shared" si="0"/>
        <v>99.191714794777383</v>
      </c>
      <c r="J18" s="6">
        <v>111376690</v>
      </c>
      <c r="K18" s="7">
        <f t="shared" si="1"/>
        <v>64.100178399815974</v>
      </c>
      <c r="L18" s="6" t="s">
        <v>197</v>
      </c>
    </row>
    <row r="19" spans="1:12" x14ac:dyDescent="0.4">
      <c r="A19" s="6" t="s">
        <v>120</v>
      </c>
      <c r="B19" s="6" t="s">
        <v>17</v>
      </c>
      <c r="C19" s="6" t="s">
        <v>11</v>
      </c>
      <c r="D19" s="25" t="s">
        <v>18</v>
      </c>
      <c r="E19" s="6">
        <f>51622984*2</f>
        <v>103245968</v>
      </c>
      <c r="F19" s="6">
        <v>99617889</v>
      </c>
      <c r="G19" s="6">
        <v>98.14</v>
      </c>
      <c r="H19" s="6">
        <v>99040846</v>
      </c>
      <c r="I19" s="7">
        <f>H19/F19*100</f>
        <v>99.420743597568105</v>
      </c>
      <c r="J19" s="6">
        <v>28102619</v>
      </c>
      <c r="K19" s="7">
        <f>J19/H19*100</f>
        <v>28.37477680673285</v>
      </c>
      <c r="L19" s="25" t="s">
        <v>200</v>
      </c>
    </row>
    <row r="20" spans="1:12" x14ac:dyDescent="0.4">
      <c r="A20" s="6" t="s">
        <v>121</v>
      </c>
      <c r="B20" s="6" t="s">
        <v>17</v>
      </c>
      <c r="C20" s="6" t="s">
        <v>11</v>
      </c>
      <c r="D20" s="25"/>
      <c r="E20" s="6">
        <f>52240010*2</f>
        <v>104480020</v>
      </c>
      <c r="F20" s="6">
        <v>97984325</v>
      </c>
      <c r="G20" s="6">
        <v>95.74</v>
      </c>
      <c r="H20" s="6">
        <v>97246220</v>
      </c>
      <c r="I20" s="7">
        <f>H20/F20*100</f>
        <v>99.246711144869352</v>
      </c>
      <c r="J20" s="6">
        <v>41179113</v>
      </c>
      <c r="K20" s="7">
        <f t="shared" si="1"/>
        <v>42.345206836831295</v>
      </c>
      <c r="L20" s="25"/>
    </row>
    <row r="21" spans="1:12" x14ac:dyDescent="0.4">
      <c r="A21" s="6" t="s">
        <v>122</v>
      </c>
      <c r="B21" s="6" t="s">
        <v>19</v>
      </c>
      <c r="C21" s="6" t="s">
        <v>11</v>
      </c>
      <c r="D21" s="25" t="s">
        <v>20</v>
      </c>
      <c r="E21" s="6">
        <f>85932193*2</f>
        <v>171864386</v>
      </c>
      <c r="F21" s="6">
        <v>163273483</v>
      </c>
      <c r="G21" s="6">
        <v>95.61</v>
      </c>
      <c r="H21" s="6">
        <v>161253863</v>
      </c>
      <c r="I21" s="7">
        <f>H21/F21*100</f>
        <v>98.763044700896103</v>
      </c>
      <c r="J21" s="6">
        <v>51792596</v>
      </c>
      <c r="K21" s="7">
        <f>J21/H21*100</f>
        <v>32.118669926065586</v>
      </c>
      <c r="L21" s="6" t="s">
        <v>201</v>
      </c>
    </row>
    <row r="22" spans="1:12" x14ac:dyDescent="0.4">
      <c r="A22" s="6" t="s">
        <v>123</v>
      </c>
      <c r="B22" s="6" t="s">
        <v>19</v>
      </c>
      <c r="C22" s="6" t="s">
        <v>11</v>
      </c>
      <c r="D22" s="25"/>
      <c r="E22" s="6">
        <f>84976031*2</f>
        <v>169952062</v>
      </c>
      <c r="F22" s="6">
        <v>159739246</v>
      </c>
      <c r="G22" s="6">
        <v>94.59</v>
      </c>
      <c r="H22" s="6">
        <v>157405230</v>
      </c>
      <c r="I22" s="7">
        <f t="shared" ref="I22:I24" si="2">H22/F22*100</f>
        <v>98.53885875985668</v>
      </c>
      <c r="J22" s="6">
        <v>76301963</v>
      </c>
      <c r="K22" s="7">
        <f t="shared" ref="K22:K26" si="3">J22/H22*100</f>
        <v>48.474858808693966</v>
      </c>
      <c r="L22" s="6" t="s">
        <v>202</v>
      </c>
    </row>
    <row r="23" spans="1:12" x14ac:dyDescent="0.4">
      <c r="A23" s="6" t="s">
        <v>124</v>
      </c>
      <c r="B23" s="6" t="s">
        <v>43</v>
      </c>
      <c r="C23" s="6" t="s">
        <v>11</v>
      </c>
      <c r="D23" s="25" t="s">
        <v>30</v>
      </c>
      <c r="E23" s="6">
        <v>250566392</v>
      </c>
      <c r="F23" s="6">
        <v>243493324</v>
      </c>
      <c r="G23" s="6">
        <v>98.02</v>
      </c>
      <c r="H23" s="6">
        <v>242797012</v>
      </c>
      <c r="I23" s="7">
        <f t="shared" si="2"/>
        <v>99.71403240607944</v>
      </c>
      <c r="J23" s="6">
        <v>172284990</v>
      </c>
      <c r="K23" s="7">
        <f t="shared" si="3"/>
        <v>70.958447379904328</v>
      </c>
      <c r="L23" s="25" t="s">
        <v>198</v>
      </c>
    </row>
    <row r="24" spans="1:12" x14ac:dyDescent="0.4">
      <c r="A24" s="6" t="s">
        <v>125</v>
      </c>
      <c r="B24" s="6" t="s">
        <v>43</v>
      </c>
      <c r="C24" s="6" t="s">
        <v>11</v>
      </c>
      <c r="D24" s="25"/>
      <c r="E24" s="6">
        <v>349306570</v>
      </c>
      <c r="F24" s="6">
        <v>338114420</v>
      </c>
      <c r="G24" s="6">
        <v>97.88</v>
      </c>
      <c r="H24" s="6">
        <v>335892637</v>
      </c>
      <c r="I24" s="7">
        <f t="shared" si="2"/>
        <v>99.342890196756471</v>
      </c>
      <c r="J24" s="6">
        <v>299750582</v>
      </c>
      <c r="K24" s="7">
        <f t="shared" si="3"/>
        <v>89.239997838952334</v>
      </c>
      <c r="L24" s="25"/>
    </row>
    <row r="25" spans="1:12" x14ac:dyDescent="0.4">
      <c r="A25" s="6" t="s">
        <v>126</v>
      </c>
      <c r="B25" s="6" t="s">
        <v>29</v>
      </c>
      <c r="C25" s="6" t="s">
        <v>11</v>
      </c>
      <c r="D25" s="25" t="s">
        <v>44</v>
      </c>
      <c r="E25" s="6">
        <f>40483510*2</f>
        <v>80967020</v>
      </c>
      <c r="F25" s="6">
        <v>77020523</v>
      </c>
      <c r="G25" s="6">
        <v>95.49</v>
      </c>
      <c r="H25" s="6">
        <v>76183443</v>
      </c>
      <c r="I25" s="7">
        <f>H25/F25*100</f>
        <v>98.913172791620752</v>
      </c>
      <c r="J25" s="6">
        <v>36732300</v>
      </c>
      <c r="K25" s="7">
        <f t="shared" si="3"/>
        <v>48.215594561668738</v>
      </c>
      <c r="L25" s="25" t="s">
        <v>199</v>
      </c>
    </row>
    <row r="26" spans="1:12" ht="14.45" customHeight="1" thickBot="1" x14ac:dyDescent="0.45">
      <c r="A26" s="8" t="s">
        <v>127</v>
      </c>
      <c r="B26" s="8" t="s">
        <v>29</v>
      </c>
      <c r="C26" s="8" t="s">
        <v>11</v>
      </c>
      <c r="D26" s="26"/>
      <c r="E26" s="8">
        <f>40299806*2</f>
        <v>80599612</v>
      </c>
      <c r="F26" s="8">
        <v>77103001</v>
      </c>
      <c r="G26" s="8">
        <v>96.07</v>
      </c>
      <c r="H26" s="8">
        <v>76545049</v>
      </c>
      <c r="I26" s="9">
        <f>H26/F26*100</f>
        <v>99.276355015027235</v>
      </c>
      <c r="J26" s="8">
        <v>28483942</v>
      </c>
      <c r="K26" s="9">
        <f t="shared" si="3"/>
        <v>37.211997865466124</v>
      </c>
      <c r="L26" s="26"/>
    </row>
  </sheetData>
  <mergeCells count="9">
    <mergeCell ref="L23:L24"/>
    <mergeCell ref="L25:L26"/>
    <mergeCell ref="L19:L20"/>
    <mergeCell ref="D25:D26"/>
    <mergeCell ref="A1:E1"/>
    <mergeCell ref="D19:D20"/>
    <mergeCell ref="D21:D22"/>
    <mergeCell ref="D23:D24"/>
    <mergeCell ref="D4:D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S1A</vt:lpstr>
      <vt:lpstr>Table S1B</vt:lpstr>
      <vt:lpstr>Table S1C</vt:lpstr>
      <vt:lpstr>Table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2022-11-04T03:32:11Z</dcterms:modified>
</cp:coreProperties>
</file>