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josep\Dropbox\In Progress - Landless Agriculture\"/>
    </mc:Choice>
  </mc:AlternateContent>
  <xr:revisionPtr revIDLastSave="0" documentId="13_ncr:1_{9FD00D5A-0BE0-4BF5-AF07-9E0CC2129988}" xr6:coauthVersionLast="47" xr6:coauthVersionMax="47" xr10:uidLastSave="{00000000-0000-0000-0000-000000000000}"/>
  <bookViews>
    <workbookView xWindow="-93" yWindow="-93" windowWidth="21131" windowHeight="11248" xr2:uid="{686D32FE-D380-4BA6-870D-A56626ED7256}"/>
  </bookViews>
  <sheets>
    <sheet name="Fig. 1a - Textiles" sheetId="5" r:id="rId1"/>
    <sheet name="Fig. 1b - Caffeine" sheetId="9" r:id="rId2"/>
    <sheet name="Fig. 1c - Vanillin" sheetId="10" r:id="rId3"/>
    <sheet name="Fig. 2 - Cult. Meat Cost Curve" sheetId="3" r:id="rId4"/>
    <sheet name="Fig. 2 - Meat Cost Curve" sheetId="4" r:id="rId5"/>
    <sheet name="Fig. 3 - Summary" sheetId="1" r:id="rId6"/>
    <sheet name="Fig. 3 - Underlying Studies" sheetId="2" r:id="rId7"/>
  </sheets>
  <definedNames>
    <definedName name="_xlnm._FilterDatabase" localSheetId="3" hidden="1">'Fig. 2 - Cult. Meat Cost Curve'!$B$5:$G$5</definedName>
    <definedName name="_xlnm._FilterDatabase" localSheetId="4" hidden="1">'Fig. 2 - Meat Cost Curve'!$B$6:$Q$6</definedName>
    <definedName name="_xlnm._FilterDatabase" localSheetId="5" hidden="1">'Fig. 3 - Summary'!$B$6:$AF$28</definedName>
    <definedName name="_xlnm._FilterDatabase" localSheetId="6" hidden="1">'Fig. 3 - Underlying Studies'!$B$6:$L$6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0" l="1"/>
  <c r="C21" i="10" s="1"/>
  <c r="C29" i="10" s="1"/>
  <c r="C7" i="10"/>
  <c r="C30" i="9"/>
  <c r="C20" i="9"/>
  <c r="C19" i="9"/>
  <c r="C12" i="9"/>
  <c r="C35" i="9" s="1"/>
  <c r="C13" i="5"/>
  <c r="C17" i="5" s="1"/>
  <c r="C9" i="10" l="1"/>
  <c r="C31" i="9"/>
  <c r="C21" i="9"/>
  <c r="C10" i="10" l="1"/>
  <c r="C25" i="10"/>
  <c r="C37" i="3"/>
  <c r="C36" i="3"/>
  <c r="C35" i="3"/>
  <c r="C34" i="3"/>
  <c r="C33" i="3"/>
  <c r="C32" i="3"/>
  <c r="C31" i="3"/>
  <c r="C30" i="3"/>
  <c r="C29" i="3"/>
  <c r="C28" i="3"/>
  <c r="C27" i="3"/>
  <c r="C26" i="3"/>
  <c r="C25" i="3"/>
  <c r="C24" i="3"/>
  <c r="D23" i="3"/>
  <c r="C23" i="3"/>
  <c r="C22" i="3"/>
  <c r="C21" i="3"/>
  <c r="C20" i="3"/>
  <c r="C19" i="3"/>
  <c r="D18" i="3"/>
  <c r="C18" i="3"/>
  <c r="D17" i="3"/>
  <c r="C17" i="3"/>
  <c r="C16" i="3"/>
  <c r="D7" i="3"/>
  <c r="C7" i="3"/>
  <c r="D6" i="3"/>
  <c r="C6" i="3"/>
  <c r="E15" i="1" l="1"/>
  <c r="D15" i="1"/>
  <c r="C15" i="1"/>
  <c r="E31" i="2" l="1"/>
  <c r="C31" i="2" l="1"/>
  <c r="C47" i="2"/>
  <c r="C46" i="2"/>
  <c r="E46" i="2"/>
  <c r="G46" i="2"/>
  <c r="C45" i="2"/>
  <c r="C44" i="2"/>
  <c r="C43" i="2"/>
  <c r="C42" i="2"/>
  <c r="E43" i="2"/>
  <c r="E38" i="2"/>
  <c r="C38" i="2"/>
  <c r="C90" i="2"/>
  <c r="G19" i="1"/>
  <c r="G18" i="1"/>
  <c r="G17" i="1"/>
  <c r="G15" i="1"/>
  <c r="G16" i="1"/>
  <c r="G28" i="1"/>
  <c r="G27" i="1"/>
  <c r="G26" i="1"/>
  <c r="G25" i="1"/>
  <c r="G24" i="1"/>
  <c r="G23" i="1"/>
  <c r="G22" i="1"/>
  <c r="G21" i="1"/>
  <c r="G20" i="1"/>
  <c r="F28" i="1"/>
  <c r="F27" i="1"/>
  <c r="F26" i="1"/>
  <c r="F25" i="1"/>
  <c r="F24" i="1"/>
  <c r="F23" i="1"/>
  <c r="F22" i="1"/>
  <c r="F21" i="1"/>
  <c r="F20" i="1"/>
  <c r="F19" i="1"/>
  <c r="F18" i="1"/>
  <c r="F17" i="1"/>
  <c r="F15" i="1"/>
  <c r="F16" i="1"/>
  <c r="G87" i="2" l="1"/>
  <c r="C87" i="2"/>
  <c r="G86" i="2"/>
  <c r="C86" i="2"/>
  <c r="C89" i="2"/>
  <c r="C85" i="2"/>
  <c r="C84" i="2"/>
  <c r="C83" i="2"/>
  <c r="C82" i="2"/>
  <c r="C81" i="2"/>
  <c r="C80" i="2"/>
  <c r="C79" i="2"/>
  <c r="G90" i="2"/>
  <c r="E90" i="2"/>
  <c r="G29" i="2" l="1"/>
  <c r="G28" i="2"/>
  <c r="C29" i="2"/>
  <c r="C28" i="2"/>
  <c r="C27" i="2"/>
  <c r="E88" i="2"/>
  <c r="C88" i="2"/>
  <c r="G47" i="2"/>
  <c r="E47" i="2"/>
  <c r="C30" i="2"/>
  <c r="E30" i="2"/>
  <c r="E75" i="2"/>
  <c r="E74" i="2"/>
  <c r="E76" i="2"/>
  <c r="C76" i="2"/>
  <c r="C75" i="2"/>
  <c r="C74" i="2"/>
  <c r="C73" i="2"/>
  <c r="C26" i="2"/>
  <c r="E78" i="2"/>
  <c r="E77" i="2"/>
  <c r="C78" i="2"/>
  <c r="C77" i="2"/>
  <c r="E72" i="2" l="1"/>
  <c r="C72" i="2"/>
  <c r="E71" i="2"/>
  <c r="C71" i="2"/>
  <c r="C70" i="2"/>
  <c r="C69" i="2"/>
  <c r="C68" i="2"/>
  <c r="C67" i="2"/>
  <c r="C66" i="2"/>
  <c r="C65" i="2"/>
  <c r="C64" i="2"/>
  <c r="C63" i="2"/>
  <c r="C62" i="2"/>
  <c r="C61" i="2"/>
  <c r="C60" i="2"/>
  <c r="C59" i="2"/>
  <c r="E69" i="2"/>
  <c r="E68" i="2"/>
  <c r="E67" i="2"/>
  <c r="E66" i="2"/>
  <c r="E65" i="2"/>
  <c r="E64" i="2"/>
  <c r="E63" i="2"/>
  <c r="E62" i="2"/>
  <c r="E61" i="2"/>
  <c r="E60" i="2"/>
  <c r="E59" i="2"/>
  <c r="E70" i="2"/>
  <c r="E58" i="2"/>
  <c r="C58" i="2"/>
  <c r="E57" i="2"/>
  <c r="E56" i="2"/>
  <c r="E55" i="2"/>
  <c r="E54" i="2"/>
  <c r="E53" i="2"/>
  <c r="G57" i="2"/>
  <c r="G56" i="2"/>
  <c r="G55" i="2"/>
  <c r="G54" i="2"/>
  <c r="G53" i="2"/>
  <c r="C57" i="2"/>
  <c r="C56" i="2"/>
  <c r="C55" i="2"/>
  <c r="C54" i="2"/>
  <c r="C53" i="2"/>
  <c r="E52" i="2"/>
  <c r="E51" i="2"/>
  <c r="E50" i="2"/>
  <c r="E49" i="2"/>
  <c r="C52" i="2"/>
  <c r="C51" i="2"/>
  <c r="C50" i="2"/>
  <c r="C49" i="2"/>
  <c r="E48" i="2"/>
  <c r="C48" i="2"/>
  <c r="C41" i="2"/>
  <c r="C40" i="2"/>
  <c r="E40" i="2"/>
  <c r="C39" i="2"/>
  <c r="E37" i="2"/>
  <c r="C37" i="2"/>
  <c r="G37" i="2"/>
  <c r="C36" i="2"/>
  <c r="E35" i="2"/>
  <c r="E34" i="2"/>
  <c r="E33" i="2"/>
  <c r="E32" i="2"/>
  <c r="C35" i="2"/>
  <c r="C34" i="2"/>
  <c r="C33" i="2"/>
  <c r="C32" i="2"/>
  <c r="C25" i="2"/>
  <c r="C24" i="2"/>
  <c r="C23" i="2"/>
  <c r="C22" i="2"/>
  <c r="C21" i="2"/>
  <c r="C20" i="2"/>
  <c r="C19" i="2"/>
  <c r="C18" i="2"/>
  <c r="C17" i="2"/>
  <c r="C16" i="2"/>
  <c r="C15" i="2"/>
  <c r="C14" i="2"/>
  <c r="C13" i="2"/>
  <c r="C12" i="2"/>
  <c r="C11" i="2"/>
  <c r="C10" i="2"/>
  <c r="C9" i="2"/>
  <c r="C8" i="2"/>
  <c r="C7" i="2"/>
  <c r="E25" i="2"/>
  <c r="E24" i="2"/>
  <c r="E23" i="2"/>
  <c r="E22" i="2"/>
  <c r="Q14" i="1" l="1" a="1"/>
  <c r="Q14" i="1" s="1"/>
  <c r="X14" i="1" a="1"/>
  <c r="X14" i="1" s="1"/>
  <c r="Y14" i="1" a="1"/>
  <c r="Y14" i="1" s="1"/>
  <c r="N14" i="1" a="1"/>
  <c r="N14" i="1" s="1"/>
  <c r="Z14" i="1" a="1"/>
  <c r="Z14" i="1" s="1"/>
  <c r="H14" i="1" a="1"/>
  <c r="H14" i="1" s="1"/>
  <c r="K14" i="1" a="1"/>
  <c r="K14" i="1" s="1"/>
  <c r="AA14" i="1" a="1"/>
  <c r="AA14" i="1" s="1"/>
  <c r="L14" i="1" a="1"/>
  <c r="L14" i="1" s="1"/>
  <c r="P14" i="1" a="1"/>
  <c r="P14" i="1" s="1"/>
  <c r="AB14" i="1" a="1"/>
  <c r="AB14" i="1" s="1"/>
  <c r="S14" i="1" a="1"/>
  <c r="S14" i="1" s="1"/>
  <c r="M14" i="1" a="1"/>
  <c r="M14" i="1" s="1"/>
  <c r="O14" i="1" a="1"/>
  <c r="O14" i="1" s="1"/>
  <c r="AC14" i="1" a="1"/>
  <c r="AC14" i="1" s="1"/>
  <c r="T14" i="1" a="1"/>
  <c r="T14" i="1" s="1"/>
  <c r="I14" i="1" a="1"/>
  <c r="I14" i="1" s="1"/>
  <c r="U14" i="1" a="1"/>
  <c r="U14" i="1" s="1"/>
  <c r="AD14" i="1" a="1"/>
  <c r="AD14" i="1" s="1"/>
  <c r="R14" i="1" a="1"/>
  <c r="R14" i="1" s="1"/>
  <c r="AE14" i="1" a="1"/>
  <c r="AE14" i="1" s="1"/>
  <c r="V14" i="1" a="1"/>
  <c r="V14" i="1" s="1"/>
  <c r="AF14" i="1" a="1"/>
  <c r="AF14" i="1" s="1"/>
  <c r="J14" i="1" a="1"/>
  <c r="J14" i="1" s="1"/>
  <c r="W14" i="1" a="1"/>
  <c r="W14" i="1" s="1"/>
  <c r="AF7" i="1" a="1"/>
  <c r="AF7" i="1" s="1"/>
  <c r="P7" i="1" a="1"/>
  <c r="P7" i="1" s="1"/>
  <c r="AE7" i="1" a="1"/>
  <c r="AE7" i="1" s="1"/>
  <c r="O7" i="1" a="1"/>
  <c r="O7" i="1" s="1"/>
  <c r="AD7" i="1" a="1"/>
  <c r="AD7" i="1" s="1"/>
  <c r="AC7" i="1" a="1"/>
  <c r="AC7" i="1" s="1"/>
  <c r="M7" i="1" a="1"/>
  <c r="M7" i="1" s="1"/>
  <c r="AB7" i="1" a="1"/>
  <c r="AB7" i="1" s="1"/>
  <c r="L7" i="1" a="1"/>
  <c r="L7" i="1" s="1"/>
  <c r="AA7" i="1" a="1"/>
  <c r="AA7" i="1" s="1"/>
  <c r="K7" i="1" a="1"/>
  <c r="K7" i="1" s="1"/>
  <c r="Z7" i="1" a="1"/>
  <c r="Z7" i="1" s="1"/>
  <c r="J7" i="1" a="1"/>
  <c r="J7" i="1" s="1"/>
  <c r="Y7" i="1" a="1"/>
  <c r="Y7" i="1" s="1"/>
  <c r="X7" i="1" a="1"/>
  <c r="X7" i="1" s="1"/>
  <c r="H7" i="1" a="1"/>
  <c r="H7" i="1" s="1"/>
  <c r="W7" i="1" a="1"/>
  <c r="W7" i="1" s="1"/>
  <c r="V7" i="1" a="1"/>
  <c r="V7" i="1" s="1"/>
  <c r="I7" i="1" a="1"/>
  <c r="I7" i="1" s="1"/>
  <c r="U7" i="1" a="1"/>
  <c r="U7" i="1" s="1"/>
  <c r="T7" i="1" a="1"/>
  <c r="T7" i="1" s="1"/>
  <c r="S7" i="1" a="1"/>
  <c r="S7" i="1" s="1"/>
  <c r="R7" i="1" a="1"/>
  <c r="R7" i="1" s="1"/>
  <c r="Q7" i="1" a="1"/>
  <c r="Q7" i="1" s="1"/>
  <c r="N7" i="1" a="1"/>
  <c r="N7" i="1" s="1"/>
  <c r="AC12" i="1" a="1"/>
  <c r="AC12" i="1" s="1"/>
  <c r="AD11" i="1" a="1"/>
  <c r="AD11" i="1" s="1"/>
  <c r="AC13" i="1" a="1"/>
  <c r="AC13" i="1" s="1"/>
  <c r="AE8" i="1" a="1"/>
  <c r="AE8" i="1" s="1"/>
  <c r="AE10" i="1" a="1"/>
  <c r="AE10" i="1" s="1"/>
  <c r="AE9" i="1" a="1"/>
  <c r="AE9" i="1" s="1"/>
  <c r="AB13" i="1" a="1"/>
  <c r="AB13" i="1" s="1"/>
  <c r="AD8" i="1" a="1"/>
  <c r="AD8" i="1" s="1"/>
  <c r="AF13" i="1" a="1"/>
  <c r="AF13" i="1" s="1"/>
  <c r="AB12" i="1" a="1"/>
  <c r="AB12" i="1" s="1"/>
  <c r="AC11" i="1" a="1"/>
  <c r="AC11" i="1" s="1"/>
  <c r="AD10" i="1" a="1"/>
  <c r="AD10" i="1" s="1"/>
  <c r="AF12" i="1" a="1"/>
  <c r="AF12" i="1" s="1"/>
  <c r="AD9" i="1" a="1"/>
  <c r="AD9" i="1" s="1"/>
  <c r="AC8" i="1" a="1"/>
  <c r="AC8" i="1" s="1"/>
  <c r="AE13" i="1" a="1"/>
  <c r="AE13" i="1" s="1"/>
  <c r="AB11" i="1" a="1"/>
  <c r="AB11" i="1" s="1"/>
  <c r="AC10" i="1" a="1"/>
  <c r="AC10" i="1" s="1"/>
  <c r="AE12" i="1" a="1"/>
  <c r="AE12" i="1" s="1"/>
  <c r="AF11" i="1" a="1"/>
  <c r="AF11" i="1" s="1"/>
  <c r="AC9" i="1" a="1"/>
  <c r="AC9" i="1" s="1"/>
  <c r="AB8" i="1" a="1"/>
  <c r="AB8" i="1" s="1"/>
  <c r="AD13" i="1" a="1"/>
  <c r="AD13" i="1" s="1"/>
  <c r="AF8" i="1" a="1"/>
  <c r="AF8" i="1" s="1"/>
  <c r="AB10" i="1" a="1"/>
  <c r="AB10" i="1" s="1"/>
  <c r="AD12" i="1" a="1"/>
  <c r="AD12" i="1" s="1"/>
  <c r="AE11" i="1" a="1"/>
  <c r="AE11" i="1" s="1"/>
  <c r="AF10" i="1" a="1"/>
  <c r="AF10" i="1" s="1"/>
  <c r="AB9" i="1" a="1"/>
  <c r="AB9" i="1" s="1"/>
  <c r="AF9" i="1" a="1"/>
  <c r="AF9" i="1" s="1"/>
  <c r="W9" i="1" a="1"/>
  <c r="W9" i="1" s="1"/>
  <c r="Y11" i="1" a="1"/>
  <c r="Y11" i="1" s="1"/>
  <c r="AA11" i="1" a="1"/>
  <c r="AA11" i="1" s="1"/>
  <c r="Z11" i="1" a="1"/>
  <c r="Z11" i="1" s="1"/>
  <c r="K12" i="1" a="1"/>
  <c r="K12" i="1" s="1"/>
  <c r="K11" i="1" a="1"/>
  <c r="K11" i="1" s="1"/>
  <c r="X9" i="1" a="1"/>
  <c r="X9" i="1" s="1"/>
  <c r="M11" i="1" a="1"/>
  <c r="M11" i="1" s="1"/>
  <c r="M12" i="1" a="1"/>
  <c r="M12" i="1" s="1"/>
  <c r="Q8" i="1" a="1"/>
  <c r="Q8" i="1" s="1"/>
  <c r="M10" i="1" a="1"/>
  <c r="M10" i="1" s="1"/>
  <c r="I9" i="1" a="1"/>
  <c r="I9" i="1" s="1"/>
  <c r="Y9" i="1" a="1"/>
  <c r="Y9" i="1" s="1"/>
  <c r="N11" i="1" a="1"/>
  <c r="N11" i="1" s="1"/>
  <c r="N12" i="1" a="1"/>
  <c r="N12" i="1" s="1"/>
  <c r="R8" i="1" a="1"/>
  <c r="R8" i="1" s="1"/>
  <c r="N10" i="1" a="1"/>
  <c r="N10" i="1" s="1"/>
  <c r="J9" i="1" a="1"/>
  <c r="J9" i="1" s="1"/>
  <c r="Z9" i="1" a="1"/>
  <c r="Z9" i="1" s="1"/>
  <c r="O8" i="1" a="1"/>
  <c r="O8" i="1" s="1"/>
  <c r="L10" i="1" a="1"/>
  <c r="L10" i="1" s="1"/>
  <c r="O11" i="1" a="1"/>
  <c r="O11" i="1" s="1"/>
  <c r="O12" i="1" a="1"/>
  <c r="O12" i="1" s="1"/>
  <c r="S8" i="1" a="1"/>
  <c r="S8" i="1" s="1"/>
  <c r="O10" i="1" a="1"/>
  <c r="O10" i="1" s="1"/>
  <c r="K9" i="1" a="1"/>
  <c r="K9" i="1" s="1"/>
  <c r="AA9" i="1" a="1"/>
  <c r="AA9" i="1" s="1"/>
  <c r="AA10" i="1" a="1"/>
  <c r="AA10" i="1" s="1"/>
  <c r="L12" i="1" a="1"/>
  <c r="L12" i="1" s="1"/>
  <c r="P12" i="1" a="1"/>
  <c r="P12" i="1" s="1"/>
  <c r="T8" i="1" a="1"/>
  <c r="T8" i="1" s="1"/>
  <c r="P10" i="1" a="1"/>
  <c r="P10" i="1" s="1"/>
  <c r="L9" i="1" a="1"/>
  <c r="L9" i="1" s="1"/>
  <c r="P8" i="1" a="1"/>
  <c r="P8" i="1" s="1"/>
  <c r="Q11" i="1" a="1"/>
  <c r="Q11" i="1" s="1"/>
  <c r="Q12" i="1" a="1"/>
  <c r="Q12" i="1" s="1"/>
  <c r="U8" i="1" a="1"/>
  <c r="U8" i="1" s="1"/>
  <c r="Q10" i="1" a="1"/>
  <c r="Q10" i="1" s="1"/>
  <c r="M9" i="1" a="1"/>
  <c r="M9" i="1" s="1"/>
  <c r="K10" i="1" a="1"/>
  <c r="K10" i="1" s="1"/>
  <c r="H9" i="1" a="1"/>
  <c r="H9" i="1" s="1"/>
  <c r="P11" i="1" a="1"/>
  <c r="P11" i="1" s="1"/>
  <c r="R11" i="1" a="1"/>
  <c r="R11" i="1" s="1"/>
  <c r="R12" i="1" a="1"/>
  <c r="R12" i="1" s="1"/>
  <c r="V8" i="1" a="1"/>
  <c r="V8" i="1" s="1"/>
  <c r="R10" i="1" a="1"/>
  <c r="R10" i="1" s="1"/>
  <c r="N9" i="1" a="1"/>
  <c r="N9" i="1" s="1"/>
  <c r="AA12" i="1" a="1"/>
  <c r="AA12" i="1" s="1"/>
  <c r="L11" i="1" a="1"/>
  <c r="L11" i="1" s="1"/>
  <c r="W13" i="1" a="1"/>
  <c r="W13" i="1" s="1"/>
  <c r="S11" i="1" a="1"/>
  <c r="S11" i="1" s="1"/>
  <c r="S12" i="1" a="1"/>
  <c r="S12" i="1" s="1"/>
  <c r="W8" i="1" a="1"/>
  <c r="W8" i="1" s="1"/>
  <c r="S10" i="1" a="1"/>
  <c r="S10" i="1" s="1"/>
  <c r="O9" i="1" a="1"/>
  <c r="O9" i="1" s="1"/>
  <c r="T11" i="1" a="1"/>
  <c r="T11" i="1" s="1"/>
  <c r="T12" i="1" a="1"/>
  <c r="T12" i="1" s="1"/>
  <c r="H8" i="1" a="1"/>
  <c r="H8" i="1" s="1"/>
  <c r="X8" i="1" a="1"/>
  <c r="X8" i="1" s="1"/>
  <c r="T10" i="1" a="1"/>
  <c r="T10" i="1" s="1"/>
  <c r="P9" i="1" a="1"/>
  <c r="P9" i="1" s="1"/>
  <c r="U11" i="1" a="1"/>
  <c r="U11" i="1" s="1"/>
  <c r="U12" i="1" a="1"/>
  <c r="U12" i="1" s="1"/>
  <c r="I8" i="1" a="1"/>
  <c r="I8" i="1" s="1"/>
  <c r="Y8" i="1" a="1"/>
  <c r="Y8" i="1" s="1"/>
  <c r="U10" i="1" a="1"/>
  <c r="U10" i="1" s="1"/>
  <c r="Q9" i="1" a="1"/>
  <c r="Q9" i="1" s="1"/>
  <c r="X13" i="1" a="1"/>
  <c r="X13" i="1" s="1"/>
  <c r="Z13" i="1" a="1"/>
  <c r="Z13" i="1" s="1"/>
  <c r="V11" i="1" a="1"/>
  <c r="V11" i="1" s="1"/>
  <c r="V12" i="1" a="1"/>
  <c r="V12" i="1" s="1"/>
  <c r="J8" i="1" a="1"/>
  <c r="J8" i="1" s="1"/>
  <c r="Z8" i="1" a="1"/>
  <c r="Z8" i="1" s="1"/>
  <c r="V10" i="1" a="1"/>
  <c r="V10" i="1" s="1"/>
  <c r="R9" i="1" a="1"/>
  <c r="R9" i="1" s="1"/>
  <c r="W11" i="1" a="1"/>
  <c r="W11" i="1" s="1"/>
  <c r="W12" i="1" a="1"/>
  <c r="W12" i="1" s="1"/>
  <c r="K8" i="1" a="1"/>
  <c r="K8" i="1" s="1"/>
  <c r="AA8" i="1" a="1"/>
  <c r="AA8" i="1" s="1"/>
  <c r="W10" i="1" a="1"/>
  <c r="W10" i="1" s="1"/>
  <c r="S9" i="1" a="1"/>
  <c r="S9" i="1" s="1"/>
  <c r="Y13" i="1" a="1"/>
  <c r="Y13" i="1" s="1"/>
  <c r="AA13" i="1" a="1"/>
  <c r="AA13" i="1" s="1"/>
  <c r="H11" i="1" a="1"/>
  <c r="H11" i="1" s="1"/>
  <c r="X11" i="1" a="1"/>
  <c r="X11" i="1" s="1"/>
  <c r="H12" i="1" a="1"/>
  <c r="H12" i="1" s="1"/>
  <c r="X12" i="1" a="1"/>
  <c r="X12" i="1" s="1"/>
  <c r="L8" i="1" a="1"/>
  <c r="L8" i="1" s="1"/>
  <c r="H10" i="1" a="1"/>
  <c r="H10" i="1" s="1"/>
  <c r="X10" i="1" a="1"/>
  <c r="X10" i="1" s="1"/>
  <c r="T9" i="1" a="1"/>
  <c r="T9" i="1" s="1"/>
  <c r="I11" i="1" a="1"/>
  <c r="I11" i="1" s="1"/>
  <c r="I12" i="1" a="1"/>
  <c r="I12" i="1" s="1"/>
  <c r="Y12" i="1" a="1"/>
  <c r="Y12" i="1" s="1"/>
  <c r="M8" i="1" a="1"/>
  <c r="M8" i="1" s="1"/>
  <c r="I10" i="1" a="1"/>
  <c r="I10" i="1" s="1"/>
  <c r="Y10" i="1" a="1"/>
  <c r="Y10" i="1" s="1"/>
  <c r="U9" i="1" a="1"/>
  <c r="U9" i="1" s="1"/>
  <c r="J11" i="1" a="1"/>
  <c r="J11" i="1" s="1"/>
  <c r="J12" i="1" a="1"/>
  <c r="J12" i="1" s="1"/>
  <c r="Z12" i="1" a="1"/>
  <c r="Z12" i="1" s="1"/>
  <c r="N8" i="1" a="1"/>
  <c r="N8" i="1" s="1"/>
  <c r="J10" i="1" a="1"/>
  <c r="J10" i="1" s="1"/>
  <c r="Z10" i="1" a="1"/>
  <c r="Z10" i="1" s="1"/>
  <c r="V9" i="1" a="1"/>
  <c r="V9" i="1" s="1"/>
  <c r="E14" i="1" l="1"/>
  <c r="D14" i="1"/>
  <c r="F14" i="1" s="1"/>
  <c r="C14" i="1"/>
  <c r="G14" i="1" s="1"/>
  <c r="C7" i="1"/>
  <c r="G7" i="1" s="1"/>
  <c r="E7" i="1"/>
  <c r="C10" i="1"/>
  <c r="G10" i="1" s="1"/>
  <c r="E10" i="1"/>
  <c r="C12" i="1"/>
  <c r="G12" i="1" s="1"/>
  <c r="E12" i="1"/>
  <c r="C11" i="1"/>
  <c r="G11" i="1" s="1"/>
  <c r="E11" i="1"/>
  <c r="C9" i="1"/>
  <c r="G9" i="1" s="1"/>
  <c r="E9" i="1"/>
  <c r="C8" i="1"/>
  <c r="G8" i="1" s="1"/>
  <c r="E8" i="1"/>
  <c r="D12" i="1"/>
  <c r="F12" i="1" s="1"/>
  <c r="D7" i="1"/>
  <c r="F7" i="1" s="1"/>
  <c r="D8" i="1"/>
  <c r="F8" i="1" s="1"/>
  <c r="D11" i="1"/>
  <c r="F11" i="1" s="1"/>
  <c r="D10" i="1"/>
  <c r="F10" i="1" s="1"/>
  <c r="D9" i="1"/>
  <c r="F9" i="1" s="1"/>
  <c r="E21" i="2"/>
  <c r="V13" i="1" s="1" a="1"/>
  <c r="V13" i="1" s="1"/>
  <c r="E20" i="2"/>
  <c r="U13" i="1" s="1" a="1"/>
  <c r="U13" i="1" s="1"/>
  <c r="E19" i="2"/>
  <c r="T13" i="1" s="1" a="1"/>
  <c r="T13" i="1" s="1"/>
  <c r="E18" i="2"/>
  <c r="S13" i="1" s="1" a="1"/>
  <c r="S13" i="1" s="1"/>
  <c r="E17" i="2"/>
  <c r="R13" i="1" s="1" a="1"/>
  <c r="R13" i="1" s="1"/>
  <c r="E16" i="2"/>
  <c r="Q13" i="1" s="1" a="1"/>
  <c r="Q13" i="1" s="1"/>
  <c r="E15" i="2"/>
  <c r="P13" i="1" s="1" a="1"/>
  <c r="P13" i="1" s="1"/>
  <c r="E14" i="2"/>
  <c r="O13" i="1" s="1" a="1"/>
  <c r="O13" i="1" s="1"/>
  <c r="E13" i="2"/>
  <c r="N13" i="1" s="1" a="1"/>
  <c r="N13" i="1" s="1"/>
  <c r="E12" i="2" l="1"/>
  <c r="M13" i="1" s="1" a="1"/>
  <c r="M13" i="1" s="1"/>
  <c r="E11" i="2"/>
  <c r="L13" i="1" s="1" a="1"/>
  <c r="L13" i="1" s="1"/>
  <c r="E10" i="2"/>
  <c r="K13" i="1" s="1" a="1"/>
  <c r="K13" i="1" s="1"/>
  <c r="E9" i="2"/>
  <c r="J13" i="1" s="1" a="1"/>
  <c r="J13" i="1" s="1"/>
  <c r="E8" i="2"/>
  <c r="I13" i="1" s="1" a="1"/>
  <c r="I13" i="1" s="1"/>
  <c r="E7" i="2"/>
  <c r="H13" i="1" s="1" a="1"/>
  <c r="H13" i="1" s="1"/>
  <c r="C13" i="1" l="1"/>
  <c r="G13" i="1" s="1"/>
  <c r="E13" i="1"/>
  <c r="D13" i="1"/>
  <c r="F13"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<sst xmlns="http://schemas.openxmlformats.org/spreadsheetml/2006/main" count="1713" uniqueCount="385">
  <si>
    <t>Product</t>
  </si>
  <si>
    <t>Other Pulses</t>
  </si>
  <si>
    <t>Peas</t>
  </si>
  <si>
    <t>Nuts</t>
  </si>
  <si>
    <t>Groundnuts</t>
  </si>
  <si>
    <t>Lamb &amp; Mutton</t>
  </si>
  <si>
    <t>Pig Meat</t>
  </si>
  <si>
    <t>Poultry Meat</t>
  </si>
  <si>
    <t>Cheese</t>
  </si>
  <si>
    <t>Eggs</t>
  </si>
  <si>
    <t>Fish (farmed)</t>
  </si>
  <si>
    <t>Crustaceans (farmed)</t>
  </si>
  <si>
    <t>Mean</t>
  </si>
  <si>
    <t>Protein Rich (per 100g protein)</t>
  </si>
  <si>
    <t>Lab grown meat</t>
  </si>
  <si>
    <t>-</t>
  </si>
  <si>
    <t>Algae</t>
  </si>
  <si>
    <t>Protein (g / kg)</t>
  </si>
  <si>
    <t>Calories (1000 kcal / kg)</t>
  </si>
  <si>
    <t>Land Use (m2*year / kg product)</t>
  </si>
  <si>
    <t>Functional Unit</t>
  </si>
  <si>
    <t>Source</t>
  </si>
  <si>
    <t>Notes</t>
  </si>
  <si>
    <t>2030 "Ambitious Benchmark" scenario, based on data from A*star, Aleph Farms, Avant Meats, Mosa Meat, Shiok Meats, Wild Type, Akron Bioproducts, Black &amp; Veatch Consulting, Buhler Extrusion, Cell-trainer Biotech, CE Delft Sustainability, Evides Water, The Good Food Institute, Mercka Cell, OSPIN Bioreactors, Laurus Bio, Warner Advisors</t>
  </si>
  <si>
    <t>2030 "Renewable Scope 1&amp;2" scenario, based on data from A*star, Aleph Farms, Avant Meats, Mosa Meat, Shiok Meats, Wild Type, Akron Bioproducts, Black &amp; Veatch Consulting, Buhler Extrusion, Cell-trainer Biotech, CE Delft Sustainability, Evides Water, The Good Food Institute, Mercka Cell, OSPIN Bioreactors, Laurus Bio, Warner Advisors</t>
  </si>
  <si>
    <t>2030 "Global average energy" scenario, based on data from A*star, Aleph Farms, Avant Meats, Mosa Meat, Shiok Meats, Wild Type, Akron Bioproducts, Black &amp; Veatch Consulting, Buhler Extrusion, Cell-trainer Biotech, CE Delft Sustainability, Evides Water, The Good Food Institute, Mercka Cell, OSPIN Bioreactors, Laurus Bio, Warner Advisors</t>
  </si>
  <si>
    <t>Sinke, P., Swartz, E., Sanctorum, H., van der Giesen, C., &amp; Odegard, I. (2023). Ex-ante life cycle assessment of commercial-scale cultivated meat production in 2030. The International Journal of Life Cycle Assessment, 28(3), 234-254.</t>
  </si>
  <si>
    <t>1 kg meat</t>
  </si>
  <si>
    <t>Production Weighted Global Impacts</t>
  </si>
  <si>
    <t>Feedstock</t>
  </si>
  <si>
    <t>Thailand</t>
  </si>
  <si>
    <t>California</t>
  </si>
  <si>
    <t>Spain</t>
  </si>
  <si>
    <t>System</t>
  </si>
  <si>
    <t>Tuomisto, H. L., &amp; Teixeira de Mattos, M. J. (2011). Environmental impacts of cultured meat production. Environmental science &amp; technology, 45(14), 6117-6123.</t>
  </si>
  <si>
    <t>Cyanobacteria-best case</t>
  </si>
  <si>
    <t xml:space="preserve">Wheat-best case </t>
  </si>
  <si>
    <t>Corn-best case</t>
  </si>
  <si>
    <t>Cyanobacteria-worst case</t>
  </si>
  <si>
    <t>Wheat-worst case</t>
  </si>
  <si>
    <t>Corn-worst case</t>
  </si>
  <si>
    <t>Tuomisto, H.L., Ellis, M.J., &amp; Haastrup, P. (2014) Environmental impacts of cultured meat: alternative production scenarios. In: Schenck R, Huizenga D (eds) Proceedings of the 9th International Conference on Life Cycle Assessment in the Agri-food Sector. ACLCA.</t>
  </si>
  <si>
    <t>CMB</t>
  </si>
  <si>
    <t>CMB 128</t>
  </si>
  <si>
    <t>CMC</t>
  </si>
  <si>
    <t>Bench-scale production process for CM in hollow fiber bioreactors using experimental data from mouse myoblast C2C12 cells.</t>
  </si>
  <si>
    <t>Tuomisto, H. L., Allan, S. J., &amp; Ellis, M. J. (2022). Prospective life cycle assessment of a bioprocess design for cultured meat production in hollow fiber bioreactors. Science of the Total Environment, 851, 158051.</t>
  </si>
  <si>
    <t>Land Use Characterisation</t>
  </si>
  <si>
    <t>ReCiPe 2016 Midpoint v1.1 (Hierarchist perspective)</t>
  </si>
  <si>
    <t>None</t>
  </si>
  <si>
    <t>Järviö, N., Parviainen, T., Maljanen, N. L., Kobayashi, Y., Kujanpää, L., Ercili-Cura, D., ... &amp; Tuomisto, H. L. (2021). Ovalbumin production using Trichoderma reesei culture and low-carbon energy could mitigate the environmental impacts of chicken-egg-derived ovalbumin. Nature food, 2(12), 1005-1013.</t>
  </si>
  <si>
    <t>Finland</t>
  </si>
  <si>
    <t>Finland - low carbon electricity mix</t>
  </si>
  <si>
    <t>Germany</t>
  </si>
  <si>
    <t>Poland</t>
  </si>
  <si>
    <t>1 kg egg albumen</t>
  </si>
  <si>
    <t>Feedstock, Energy, Other inputs, Processing facility</t>
  </si>
  <si>
    <t>Land Uses Included (System Boundary)</t>
  </si>
  <si>
    <t>Product Count</t>
  </si>
  <si>
    <t>HP – H. illucens puree (fresh insect production)</t>
  </si>
  <si>
    <t>HP_ST – HP scenario involving 25% feed transfer and energy use improvements</t>
  </si>
  <si>
    <t>HP_MT – HP scenario involving 25% feed transfer and energy use improvements, with complete reliance on non-utilized side-streams</t>
  </si>
  <si>
    <t>HP_LT – HP scenario involving 25% feed transfer and energy use improvements, with complete reliance on non-utilized side-streams and alternative energy sources</t>
  </si>
  <si>
    <t>IMPACT World + Midpoint V0.04</t>
  </si>
  <si>
    <t>Hypothetical industrial-scale production system that uses cyanobacteria hydrolysate as main input for culture media.</t>
  </si>
  <si>
    <t>Hypothetical industrial-scale production systems with cyanobacteria, wheat and corn hydrolysate as main input for culture media.</t>
  </si>
  <si>
    <t>Hypothetical industrial-scale production, estimated from upscaled data from lab and commercial facilities.</t>
  </si>
  <si>
    <t>Hypothetical industrial-scale ovalbumin production using Trichoderma reesei culture</t>
  </si>
  <si>
    <t>Smetana, S., Schmitt, E., &amp; Mathys, A. (2019). Sustainable use of Hermetia illucens insect biomass for feed and food: Attributional and consequential life cycle assessment. Resources, Conservation and Recycling, 144, 285-296.</t>
  </si>
  <si>
    <t>Feedstock, Energy, Other inputs</t>
  </si>
  <si>
    <t>van Zanten, H. H., Mollenhorst, H., Oonincx, D. G., Bikker, P., Meerburg, B. G., &amp; De Boer, I. J. (2015). From environmental nuisance to environmental opportunity: housefly larvae convert waste to livestock feed. Journal of Cleaner Production, 102, 362-369.</t>
  </si>
  <si>
    <t>Oonincx, D. G., &amp; De Boer, I. J. (2012). Environmental impact of the production of mealworms as a protein source for humans–a life cycle assessment. PloS one, 7(12), e51145.</t>
  </si>
  <si>
    <t>Salomone, R., Saija, G., Mondello, G., Giannetto, A., Fasulo, S., &amp; Savastano, D. (2017). Environmental impact of food waste bioconversion by insects: Application of Life Cycle Assessment to process using Hermetia illucens. Journal of Cleaner Production, 140, 890-905.</t>
  </si>
  <si>
    <t>Industrial-scale transformation of food industry side streams via Black soldier fly (Hermetia illucens)</t>
  </si>
  <si>
    <t>Pilot-scale facility grown housefly (Musca domestica) on poultry manure and food waste</t>
  </si>
  <si>
    <t>Industrial-scale mealworm (Tenebrio molitor) and the super worm (Zophobas morio) production using carrots and mixed grain as feedstocks</t>
  </si>
  <si>
    <t>1 kg fresh insect biomass as a puree</t>
  </si>
  <si>
    <t>1 kg of protein</t>
  </si>
  <si>
    <t>1 kg of larvae meal</t>
  </si>
  <si>
    <t>1 kg fresh mealworms</t>
  </si>
  <si>
    <t>1 kg of mealworm meal</t>
  </si>
  <si>
    <t>Pilot-scale mealworm (Tenebrio molitor) larvae meal production fed on cereal flours, meals, wheat bran, and beet pulp</t>
  </si>
  <si>
    <t>CML 2001 Baseline</t>
  </si>
  <si>
    <t>Thévenot, A., Rivera, J. L., Wilfart, A., Maillard, F., Hassouna, M., Senga-Kiesse, T., ... &amp; Aubin, J. (2018). Mealworm meal for animal feed: Environmental assessment and sensitivity analysis to guide future prospects. Journal of Cleaner Production, 170, 1260-1267.</t>
  </si>
  <si>
    <t>Small-scale yellow mealworm (Tenebrio molitor) production, with carrots and grains as feed</t>
  </si>
  <si>
    <t>Dreyer, M., Hörtenhuber, S., Zollitsch, W., Jäger, H., Schaden, L. M., Gronauer, A., &amp; Kral, I. (2021). Environmental life cycle assessment of yellow mealworm (Tenebrio molitor) production for human consumption in Austria–a comparison of mealworm and broiler as protein source. The International Journal of Life Cycle Assessment, 26, 2232-2247.</t>
  </si>
  <si>
    <t>1 kg of protein meal or powder</t>
  </si>
  <si>
    <t>None (?)</t>
  </si>
  <si>
    <t>Pilot-scale Chlorella vulgaris cultivation in a heterotrophic fermenter</t>
  </si>
  <si>
    <t>Pilot-scale Chlorella vulgaris cultivation in an open raceway pond</t>
  </si>
  <si>
    <t>Pilot-scale Chlorella vulgaris cultivation in a tubular bioreactor</t>
  </si>
  <si>
    <t>Pilot-scale spirulina (Arthrospira platensis) cultivation in an open raceway pond</t>
  </si>
  <si>
    <t>Pilot-scale spirulina (Arthrospira platensis) cultivation in a tubular bioreactor</t>
  </si>
  <si>
    <t>Smetana, S., Sandmann, M., Rohn, S., Pleissner, D., &amp; Heinz, V. (2017). Autotrophic and heterotrophic microalgae and cyanobacteria cultivation for food and feed: life cycle assessment. Bioresource Technology, 245, 162-170.</t>
  </si>
  <si>
    <t>1 kg of dry weight</t>
  </si>
  <si>
    <t>Scenario 1: autotrophy</t>
  </si>
  <si>
    <t>Scenario 2: mixotrophic cultivation on cheese whey</t>
  </si>
  <si>
    <t>Scenario 3: mixotrophic cultivation using dairy wastewater</t>
  </si>
  <si>
    <t>Scenario 4: autotrophy on recovered nitrogen from digestate</t>
  </si>
  <si>
    <t>Scenario 5: mixotrophic culture on recovered nitrogen and carbon</t>
  </si>
  <si>
    <t>Pilot scale Chlorella vulgaris cultivation</t>
  </si>
  <si>
    <t>D'Imporzano, G., Veronesi, D., Salati, S., &amp; Adani, F. (2018). Carbon and nutrient recovery in the cultivation of Chlorella vulgaris: A life cycle assessment approach to comparing environmental performance. Journal of Cleaner Production, 194, 685-694.; Salati, S., D'Imporzano, G., Menin, B., Veronesi, D., Scaglia, B., Abbruscato, P., ... &amp; Adani, F. (2017). Mixotrophic cultivation of Chlorella for local protein production using agro-food by-products. Bioresource technology, 230, 82-89.</t>
  </si>
  <si>
    <t>Hypothetical cultivation of Nannochloropsis ssp. in a tubular photobioreactor</t>
  </si>
  <si>
    <t>1 kg of dry matter</t>
  </si>
  <si>
    <t>Na.sp. Glass 40 mm pes.</t>
  </si>
  <si>
    <t>Na.sp. Glass 40 mm int</t>
  </si>
  <si>
    <t>Na.sp. Glass 40 mm opt.</t>
  </si>
  <si>
    <t>Na.sp. Glass 36 mm pes.</t>
  </si>
  <si>
    <t>Na.sp. Glass 36 mm int.</t>
  </si>
  <si>
    <t>Na.sp. Glass 36 mm opt.</t>
  </si>
  <si>
    <t>Na.sp. PMMA 3 years pes.</t>
  </si>
  <si>
    <t>Na.sp. PMMA 3 years int.</t>
  </si>
  <si>
    <t>Na.sp. PMMA 3 years opt.</t>
  </si>
  <si>
    <t>Na.sp. PMMA 7 years pes.</t>
  </si>
  <si>
    <t>Na.sp. PMMA 7 years int.</t>
  </si>
  <si>
    <t>Na.sp. PMMA 7 years opt.</t>
  </si>
  <si>
    <t>Ph.tr. Glass 40 mm pes.</t>
  </si>
  <si>
    <t>Ph.tr. Glass 40 mm int.</t>
  </si>
  <si>
    <t>Ph.tr. Glass 40 mm opt.</t>
  </si>
  <si>
    <t>Hypothetical cultivation of Phaeodactylum tricornutum in a tubular photobioreactor</t>
  </si>
  <si>
    <t>Schade, S., &amp; Meier, T. (2020). Distinct microalgae species for food—part 1: a methodological (top-down) approach for the life cycle assessment of microalgae cultivation in tubular photobioreactors. Journal of Applied Phycology, 32, 2977-2995.</t>
  </si>
  <si>
    <t>Observation</t>
  </si>
  <si>
    <t>Beef (dairy herd)</t>
  </si>
  <si>
    <t>Beef (beef herd)</t>
  </si>
  <si>
    <t xml:space="preserve">Pilot-scale microbial protein production by autotrophic hydrogen-oxidizing bacteria </t>
  </si>
  <si>
    <t>MP FHE</t>
  </si>
  <si>
    <t>MP FAEM</t>
  </si>
  <si>
    <t>1kg of product</t>
  </si>
  <si>
    <t>Järviö, N., Maljanen, N. L., Kobayashi, Y., Ryynänen, T., &amp; Tuomisto, H. L. (2021). An attributional life cycle assessment of microbial protein production: a case study on using hydrogen-oxidizing bacteria. Science of the Total Environment, 776, 145764.</t>
  </si>
  <si>
    <t>Hypothetical industrial-scale production of yeast-based single-cell proteins from an oat side stream</t>
  </si>
  <si>
    <t>1 kg</t>
  </si>
  <si>
    <t>Industrial-scale Black soldier fly (Hermetia illucens) production, fed with rye middlings and wheat bran</t>
  </si>
  <si>
    <t>Maiolo, S., Parisi, G., Biondi, N., Lunelli, F., Tibaldi, E., &amp; Pastres, R. (2020). Fishmeal partial substitution within aquafeed formulations: life cycle assessment of four alternative protein sources. The International Journal of Life Cycle Assessment, 25, 1455-1471.; Kobayashi, Y., Mohammad, E. W., Guðmundsson, H., Guðmundsdóttir, E. E., Friðjónsson, Ó. H., Karlsson, E. N., ... &amp; Tuomisto, H. L. (2023). Life-cycle assessment of yeast-based single-cell protein production with oat processing side-stream. Science of the Total Environment, 873, 162318.</t>
  </si>
  <si>
    <t>Tallentire, C. W., Mackenzie, S. G., &amp; Kyriazakis, I. (2018). Can novel ingredients replace soybeans and reduce the environmental burdens of European livestock systems in the future?. Journal of Cleaner Production, 187, 338-347.</t>
  </si>
  <si>
    <t>Modelled Chlorella vulgaris cultivation in raceway ponds</t>
  </si>
  <si>
    <t>Modelled Ulva ssp. cultivation in a bio-refinery setting</t>
  </si>
  <si>
    <t>Modelled duckweed (Lemma ssp.) cultivation in animal slurry systems</t>
  </si>
  <si>
    <t>Hypothetical cultivation of Methylococcus capsulatus and Alcaligenes acidovorans using natural gas as a carbon source, pure oxygen for oxygenation fermentation, ammonia as the nitrogen source, and also water, phosphate and other minerals</t>
  </si>
  <si>
    <t>Hypothetical industrial-scale derivation of yeast protein concentrate from distillers grains stillage, which are a co-product from bioethanol production</t>
  </si>
  <si>
    <t>Hypothetical mealworm (Tenebrio molitor) larvae meal production, from vegetable waste streams, with some usage of wheat, rice, and fava beans</t>
  </si>
  <si>
    <t>1 kg protein</t>
  </si>
  <si>
    <t>Oat side stream (dry)</t>
  </si>
  <si>
    <t>Oat side stream (wet)</t>
  </si>
  <si>
    <t>Wheat flour</t>
  </si>
  <si>
    <t>Corn flour</t>
  </si>
  <si>
    <t>Hypothetical industrial-scale production of yeast-based single-cell proteins from corn flour</t>
  </si>
  <si>
    <t>Hypothetical industrial-scale production of yeast-based single-cell proteins from what flour</t>
  </si>
  <si>
    <t>Kobayashi, Y., Mohammad, E. W., Guðmundsson, H., Guðmundsdóttir, E. E., Friðjónsson, Ó. H., Karlsson, E. N., ... &amp; Tuomisto, H. L. (2023). Life-cycle assessment of yeast-based single-cell protein production with oat processing side-stream. Science of the Total Environment, 873, 162318.</t>
  </si>
  <si>
    <t>Linder, T. (2019). Edible microorganisms—an overlooked technology option to counteract agricultural expansion. Frontiers in Sustainable Food Systems, 3, 32.</t>
  </si>
  <si>
    <t>1kg of protein</t>
  </si>
  <si>
    <t>Base setup</t>
  </si>
  <si>
    <t>Mod1: The electricity-to-biomass efficiency of the bioreactor is changed from 9.86 to 25 kWh.</t>
  </si>
  <si>
    <t>Mod2: External electrolysis is used instead of in situ electrolysis.</t>
  </si>
  <si>
    <t>Mod3: The thermal energy for DAC and the post-processes is produced using natural gas.</t>
  </si>
  <si>
    <t>Mod4: The thermal energy is taken from waste heat sources, which are considered emission free.</t>
  </si>
  <si>
    <t>Mod5: S and P are taken from wastewater flows, which are counted as emission-free sources.</t>
  </si>
  <si>
    <t>Mod6: CO2 is taken from waste flows of organic sources (e.g., fermentation). The CO2 is counted as a neutral emission source resulting in zero GHG emissions.</t>
  </si>
  <si>
    <t>Hypothetical industrial-scale production of protein through Cupriavidus necator with electrolysis</t>
  </si>
  <si>
    <t>Decomissioned industrial-scale facility producing Methylococcus capsulatus, using some vegetable oil as an input</t>
  </si>
  <si>
    <t>Feedstock, Other inputs (partial)</t>
  </si>
  <si>
    <t>Cumberlege, T., Blenkinsopp, T., &amp; Clark, J. (2016). Assessment of environmental impact of FeedKind protein. Carbon Trust.</t>
  </si>
  <si>
    <t>Sillman, J., Uusitalo, V., Ruuskanen, V., Ojala, L., Kahiluoto, H., Soukka, R., &amp; Ahola, J. (2020). A life cycle environmental sustainability analysis of microbial protein production via power-to-food approaches. The International Journal of Life Cycle Assessment, 25, 2190-2203.</t>
  </si>
  <si>
    <t>Hypothetical industrial-scale production of protein through Cupriavidus necator with direct electrolysis in the bioreactor</t>
  </si>
  <si>
    <t>Wind</t>
  </si>
  <si>
    <t>Solar</t>
  </si>
  <si>
    <t>Sillman, J., Nygren, L., Kahiluoto, H., Ruuskanen, V., Tamminen, A., Bajamundi, C., ... &amp; Ahola, J. (2019). Bacterial protein for food and feed generated via renewable energy and direct air capture of CO2: Can it reduce land and water use?. Global Food Security, 22, 25-32.</t>
  </si>
  <si>
    <t>Methanol-assimilating bacteria</t>
  </si>
  <si>
    <t>Hypothetical culture of Methylophilus methylotrophus based on industry data, methanol from concentrated geological CO2 emissions derived from a nearby geothermal power plant</t>
  </si>
  <si>
    <t>Feedstock, Energy, Other inputs (partial), Processing facility</t>
  </si>
  <si>
    <t>Soy</t>
  </si>
  <si>
    <t>Avg. vs beef</t>
  </si>
  <si>
    <t>Prec. ferment. proteins</t>
  </si>
  <si>
    <t>Bulk ferment. proteins</t>
  </si>
  <si>
    <t>Avg. vs category avg.</t>
  </si>
  <si>
    <t>10th pctl / Min</t>
  </si>
  <si>
    <t>90th pctl / Max</t>
  </si>
  <si>
    <t>Pilot-scale insect flour production from black soldier fly (Hermetia illucens) larvae fed on waste streams</t>
  </si>
  <si>
    <t>Pilot-scale insect flour production from black soldier fly (Hermetia illucens) larvae fed on crops</t>
  </si>
  <si>
    <t>Insects (fed on waste)</t>
  </si>
  <si>
    <t>Insects (fed on crops)</t>
  </si>
  <si>
    <t>Insects (fed on crops/waste)</t>
  </si>
  <si>
    <t>Bench-scale honey bee drone brood production using sugar syrup from sugar beet</t>
  </si>
  <si>
    <t>IMPACT 2002+ (V 2.11)</t>
  </si>
  <si>
    <t>Best case non-extracted drone brood; high value of pollination, origin beekeeper B</t>
  </si>
  <si>
    <t>Worst case non-extracted drone brood; as by-product just of honey; origin beekeeper A</t>
  </si>
  <si>
    <t>Ulmer, M., Smetana, S., &amp; Heinz, V. (2020). Utilizing honeybee drone brood as a protein source for food products: Life cycle assessment of apiculture in Germany. Resources, Conservation and Recycling, 154, 104576.</t>
  </si>
  <si>
    <t>Modelled 1 ha plant using "Green Wall Technology" producing Tetraselmis suecica and Tisochrysis lutea</t>
  </si>
  <si>
    <t>IMPACT 2002+</t>
  </si>
  <si>
    <t>1 kg of insect meal</t>
  </si>
  <si>
    <t>Industrial-scale black soldier fly (Hermetia illucens) production using wheat bran and waste-streams, situated near the waste stream of a renewable energy plant</t>
  </si>
  <si>
    <t>Van PhI, C. P., Walraven, M., Bézagu, M., Lefranc, M., &amp; Ray, C. (2020). Industrial Symbiosis in Insect Production—A Sustainable Eco-Efficient and Circular Business Model. Sustainability, 12(24), 1-14.</t>
  </si>
  <si>
    <t>1 kg of dried single cell protein</t>
  </si>
  <si>
    <t>Hypothetical industrial-scale derivation of yeast (Saccharomyces cerevisiae) protein from crude pea starch</t>
  </si>
  <si>
    <t>Aidoo, R., Kwofie, E. M., Adewale, P., Lam, E., &amp; Ngadi, M. (2024). Designing sustainable circular bioeconomy solutions for the pulse industry: The case of crude pea starch as a substrate for single cell protein production. Science of The Total Environment, 912, 169029.</t>
  </si>
  <si>
    <r>
      <t>CH</t>
    </r>
    <r>
      <rPr>
        <vertAlign val="subscript"/>
        <sz val="11"/>
        <color theme="1"/>
        <rFont val="Calibri"/>
        <family val="2"/>
        <scheme val="minor"/>
      </rPr>
      <t>4</t>
    </r>
    <r>
      <rPr>
        <sz val="11"/>
        <color theme="1"/>
        <rFont val="Calibri"/>
        <family val="2"/>
        <scheme val="minor"/>
      </rPr>
      <t xml:space="preserve"> Oxidising Bacteria</t>
    </r>
  </si>
  <si>
    <r>
      <t>H</t>
    </r>
    <r>
      <rPr>
        <vertAlign val="subscript"/>
        <sz val="11"/>
        <color theme="1"/>
        <rFont val="Calibri"/>
        <family val="2"/>
        <scheme val="minor"/>
      </rPr>
      <t>2</t>
    </r>
    <r>
      <rPr>
        <sz val="11"/>
        <color theme="1"/>
        <rFont val="Calibri"/>
        <family val="2"/>
        <scheme val="minor"/>
      </rPr>
      <t xml:space="preserve"> Oxidising Bacteria</t>
    </r>
  </si>
  <si>
    <t>Prec. Ferment. Proteins</t>
  </si>
  <si>
    <t>Bulk Ferment. Proteins</t>
  </si>
  <si>
    <t>Lab Grown Meat</t>
  </si>
  <si>
    <t>Differences</t>
  </si>
  <si>
    <t>SUPPORTING DATA: Fig. 3 - Underlying Studies</t>
  </si>
  <si>
    <t>SUPPORTING DATA: Fig. 3 - Summary</t>
  </si>
  <si>
    <t>SUPPORTING DATA: Fig. 2 - Cultivated Meat Cost Curve</t>
  </si>
  <si>
    <t>SUPPORTING DATA: Fig. 2 - Meat Cost Curve</t>
  </si>
  <si>
    <t>Domain Code</t>
  </si>
  <si>
    <t>Domain</t>
  </si>
  <si>
    <t>Area Code (M49)</t>
  </si>
  <si>
    <t>Area</t>
  </si>
  <si>
    <t>Element Code</t>
  </si>
  <si>
    <t>Element</t>
  </si>
  <si>
    <t>Item Code (CPC)</t>
  </si>
  <si>
    <t>Item</t>
  </si>
  <si>
    <t>Year Code</t>
  </si>
  <si>
    <t>Year</t>
  </si>
  <si>
    <t>Months Code</t>
  </si>
  <si>
    <t>Months</t>
  </si>
  <si>
    <t>Unit</t>
  </si>
  <si>
    <t>Value</t>
  </si>
  <si>
    <t>Flag</t>
  </si>
  <si>
    <t>Flag Description</t>
  </si>
  <si>
    <t>PP</t>
  </si>
  <si>
    <t>Producer Prices</t>
  </si>
  <si>
    <t>012</t>
  </si>
  <si>
    <t>Algeria</t>
  </si>
  <si>
    <t>Producer Price (USD/tonne)</t>
  </si>
  <si>
    <t>Meat of cattle with the bone, fresh or chilled</t>
  </si>
  <si>
    <t>Annual value</t>
  </si>
  <si>
    <t>USD</t>
  </si>
  <si>
    <t>A</t>
  </si>
  <si>
    <t>Official figure</t>
  </si>
  <si>
    <t>051</t>
  </si>
  <si>
    <t>Armenia</t>
  </si>
  <si>
    <t>036</t>
  </si>
  <si>
    <t>Australia</t>
  </si>
  <si>
    <t>040</t>
  </si>
  <si>
    <t>Austria</t>
  </si>
  <si>
    <t>031</t>
  </si>
  <si>
    <t>Azerbaijan</t>
  </si>
  <si>
    <t>070</t>
  </si>
  <si>
    <t>Bosnia and Herzegovina</t>
  </si>
  <si>
    <t>096</t>
  </si>
  <si>
    <t>Brunei Darussalam</t>
  </si>
  <si>
    <t>Cabo Verde</t>
  </si>
  <si>
    <t>Chile</t>
  </si>
  <si>
    <t>Colombia</t>
  </si>
  <si>
    <t>Cyprus</t>
  </si>
  <si>
    <t>Denmark</t>
  </si>
  <si>
    <t>Estonia</t>
  </si>
  <si>
    <t>Fiji</t>
  </si>
  <si>
    <t>France</t>
  </si>
  <si>
    <t>Georgia</t>
  </si>
  <si>
    <t>Greece</t>
  </si>
  <si>
    <t>Grenada</t>
  </si>
  <si>
    <t>Iceland</t>
  </si>
  <si>
    <t>Latvia</t>
  </si>
  <si>
    <t>Luxembourg</t>
  </si>
  <si>
    <t>Malta</t>
  </si>
  <si>
    <t>Mauritius</t>
  </si>
  <si>
    <t>Mexico</t>
  </si>
  <si>
    <t>Norway</t>
  </si>
  <si>
    <t>Palestine</t>
  </si>
  <si>
    <t>Qatar</t>
  </si>
  <si>
    <t>Romania</t>
  </si>
  <si>
    <t>Russian Federation</t>
  </si>
  <si>
    <t>Rwanda</t>
  </si>
  <si>
    <t>Saudi Arabia</t>
  </si>
  <si>
    <t>Slovakia</t>
  </si>
  <si>
    <t>South Africa</t>
  </si>
  <si>
    <t>Switzerland</t>
  </si>
  <si>
    <t>Tunisia</t>
  </si>
  <si>
    <t>Türkiye</t>
  </si>
  <si>
    <t>Viet Nam</t>
  </si>
  <si>
    <t>Yemen</t>
  </si>
  <si>
    <t>Source: FAOSTAT (2024). Accessed: 19/01/2024</t>
  </si>
  <si>
    <t>Cost ($/kg)</t>
  </si>
  <si>
    <t>Company</t>
  </si>
  <si>
    <t>Mark Post</t>
  </si>
  <si>
    <t>Beef</t>
  </si>
  <si>
    <t>https://www.nytimes.com/2013/05/14/science/engineering-the-325000-in-vitro-burger.html</t>
  </si>
  <si>
    <t>Mark Post - average cost of CM was €9 or $9.80/burger (translates to c. $87/kg, assuming a quarter pound burger)</t>
  </si>
  <si>
    <t>Scenario 4</t>
  </si>
  <si>
    <t>Meat</t>
  </si>
  <si>
    <t>Vergeer, R., Sinke, P., &amp; Odegard, I. (2021). TEA of cultivated meat. Future projections of different scenarios. CE Delft</t>
  </si>
  <si>
    <t>Scenario 5</t>
  </si>
  <si>
    <t>Scenario 6</t>
  </si>
  <si>
    <t>Scenario 7</t>
  </si>
  <si>
    <t>Scenario 8</t>
  </si>
  <si>
    <t>Shiok Meats</t>
  </si>
  <si>
    <t>Shrimp</t>
  </si>
  <si>
    <t>https://goodseedventures.com/cultivated-meat-production-costs-past-present-future-2/</t>
  </si>
  <si>
    <t>Finless Foods</t>
  </si>
  <si>
    <t>Seafood</t>
  </si>
  <si>
    <t>Future Meat</t>
  </si>
  <si>
    <t>Chicken</t>
  </si>
  <si>
    <t>UPSIDE Foods / Memphis Meat</t>
  </si>
  <si>
    <t>https://www.cbc.ca/documentarychannel/features/documentary-meat-the-future-shows-us-the-possible-future-of-meat</t>
  </si>
  <si>
    <t>Company 5</t>
  </si>
  <si>
    <t>Synthesis Capital</t>
  </si>
  <si>
    <t>Company 4</t>
  </si>
  <si>
    <t>Company 3</t>
  </si>
  <si>
    <t>Company 1</t>
  </si>
  <si>
    <t>Company 2</t>
  </si>
  <si>
    <t>Risner et al</t>
  </si>
  <si>
    <t>Risner, D., Li, F., Fell, J. S., Pace, S. A., Siegel, J. B., Tagkopoulos, I., &amp; Spang, E. S. (2020). Preliminary techno-economic assessment of animal cell-based meat. Foods, 10(1), 3.</t>
  </si>
  <si>
    <t>Decimal Year</t>
  </si>
  <si>
    <t>Date</t>
  </si>
  <si>
    <t>SUPPORTING DATA: Fig. 1a - Replace synthetic textiles with cotton</t>
  </si>
  <si>
    <t>Replace synthetic textiles with cotton</t>
  </si>
  <si>
    <r>
      <rPr>
        <b/>
        <sz val="8"/>
        <color theme="1"/>
        <rFont val="Calibri"/>
        <family val="2"/>
        <scheme val="minor"/>
      </rPr>
      <t>Notes:</t>
    </r>
    <r>
      <rPr>
        <sz val="8"/>
        <color theme="1"/>
        <rFont val="Calibri"/>
        <family val="2"/>
        <scheme val="minor"/>
      </rPr>
      <t xml:space="preserve"> Studies that primarily use data from another study are excluded (e.g., Smetana et al., 2015); consequential LCAs are excluded; characterisation factors on land use which are relatively small are not corrected for, specifically the IMPACT World+ characterisation factors on non-organic arable land (1.055 m2 org.arable / m2*a) and urban areas (0.77 m2 org.arable / m2*a), and the ReCiPe 2016 Midpoint v1.1 (Hierarchist perspective) characterisation factors.</t>
    </r>
  </si>
  <si>
    <t>Oil derived synthetics</t>
  </si>
  <si>
    <t>Cellulosic</t>
  </si>
  <si>
    <t>Cotton</t>
  </si>
  <si>
    <t>Other plant</t>
  </si>
  <si>
    <t>Wool</t>
  </si>
  <si>
    <t>Million tonnes</t>
  </si>
  <si>
    <t>Bio synthetic</t>
  </si>
  <si>
    <t>Global cotton area</t>
  </si>
  <si>
    <t>million hectares</t>
  </si>
  <si>
    <t>million hectares more land</t>
  </si>
  <si>
    <t>Sources: Textile Exchange (2022) Preferred Fiber &amp; Materials Market Report. Available at: https://textileexchange.org/knowledge-center/reports/materials-market-report-2022/; Food and Agriculture Organization of the United Nations. (2024). FAOSTAT (Database). Retrieved from http://faostat.fao.org/.</t>
  </si>
  <si>
    <t>SUPPORTING DATA: Fig. 1b - Replace synthetic caffeine with coffee-derived caffeine</t>
  </si>
  <si>
    <t>FAOSTAT (2024)</t>
  </si>
  <si>
    <t>Coffee area (2020)</t>
  </si>
  <si>
    <t>hectares</t>
  </si>
  <si>
    <t>Coffee volume (2020)</t>
  </si>
  <si>
    <t>tonnes green beans</t>
  </si>
  <si>
    <t>Extraction efficiency</t>
  </si>
  <si>
    <t>De Marco, I., Riemma, S., &amp; Iannone, R. (2018). Life cycle assessment of supercritical CO2 extraction of caffeine from coffee beans. The Journal of Supercritical Fluids, 133, 393-400.</t>
  </si>
  <si>
    <t>Allocation between decaffeinated coffee and anhydrous caffeine</t>
  </si>
  <si>
    <t>Assumption, informed by literature e.g., Mazzafera, P. (2012). Which is the by‐product: caffeine or decaf coffee?. Food and energy security, 1(1), 70-75.</t>
  </si>
  <si>
    <t>%</t>
  </si>
  <si>
    <t>Global coffee area and production</t>
  </si>
  <si>
    <t>Persistence Market Research (2022) Anhydrous Caffeine Market. Available at: https://www.globenewswire.com/en/news-release/2022/08/02/2490415/0/en/Anhydrous-Caffeine-reach-a-market-growth-of-US-2-77-Bn-by-the-end-of-2030-Persistence-Market-Research.html. Accessed 19/01/2024.</t>
  </si>
  <si>
    <t>Anhydrous caffeine volume</t>
  </si>
  <si>
    <t>tonnes</t>
  </si>
  <si>
    <t>Source(s)</t>
  </si>
  <si>
    <t>Note(s)</t>
  </si>
  <si>
    <t>OECD (2002) Caffeine CAS: 58-08-2. Available at: https://hpvchemicals.oecd.org/ui/handler.axd?id=CEDCD78D-4DDD-4A9C-B0F0-3B53F8FD5495. Accessed: 19/01/2024; Boyraci, G. M. (2020). A Study Concerning the Black Sea Region Teas: Quality Parameters and the Possibility of Conversion to the New Products by R&amp;D. Journal of Apitherapy and Nature, 3(2), 44-58.</t>
  </si>
  <si>
    <t xml:space="preserve">Data taken from multiple online sources, and then sense checked against production capacities (below). </t>
  </si>
  <si>
    <t>Synthetic share</t>
  </si>
  <si>
    <t>Synthetic anhydrous caffeine volume (tonnes)</t>
  </si>
  <si>
    <t>Plant-derived anhydrous caffeine volume</t>
  </si>
  <si>
    <t>Hebei Guangxiang Pharmaceutical Co., Ltd</t>
  </si>
  <si>
    <t>https://acrossbiotech.com/caffeine-anhydrous-manufacturers/</t>
  </si>
  <si>
    <t>Jilin Shulan Synthetic Pharmaceutical Co., Ltd</t>
  </si>
  <si>
    <t>https://www.pharmacompass.com/pharma-services/api-fdf-drug-development/jilin-province-shulan-synthetic-pharmaceutical</t>
  </si>
  <si>
    <t>Shandong Xinhua Pharmaceutical Co., Ltd</t>
  </si>
  <si>
    <t>https://static.igem.org/mediawiki/2018/a/af/T--Tianjin--caffeine_table.pdf</t>
  </si>
  <si>
    <t>CSPC Innovation Pharmaceutical Co., Ltd</t>
  </si>
  <si>
    <t>https://www.dbs.com.sg/private-banking/aics/pdfController.page?pdfpath=/content/article/pdf/AIO/022017/170216_insights_inflection_point_emerging.pdf</t>
  </si>
  <si>
    <t>Aarti Pharmalabs</t>
  </si>
  <si>
    <t>Aarti Investor Report 2023</t>
  </si>
  <si>
    <t>Total</t>
  </si>
  <si>
    <t>Difference (producer sum vs estimate)</t>
  </si>
  <si>
    <t>It is not clear how much plant-derived caffeine generates decaffeinated coffee as a co-product, and this assumes 100% does.</t>
  </si>
  <si>
    <t>Global anhydrous caffeine production and area</t>
  </si>
  <si>
    <t>Caffeine extraction parameters</t>
  </si>
  <si>
    <t>Plant-derived anhydrous area (ha)</t>
  </si>
  <si>
    <t>hectares more land</t>
  </si>
  <si>
    <t>SUPPORTING DATA: Fig. 1c - Replace synthetic vanilla flavour with vanilla bean-derived vanilla flavour</t>
  </si>
  <si>
    <t>Fossil-fuel derived vanillin</t>
  </si>
  <si>
    <t>Wood-derived vanillin</t>
  </si>
  <si>
    <t>Vanilla-derived vanillin</t>
  </si>
  <si>
    <t>Borregaard ASA (2023) Climate Change 2023 CDP Submission. Available at: https://www.borregaard.com/media/ogppzqfs/cdp-2023-climate-change-questionnaire-borregaard-asa.pdf. Accessed 20/01/2024.</t>
  </si>
  <si>
    <t>Borregaard ASA (2023) Climate Change 2023 CDP Submission. Available at: https://www.borregaard.com/media/ogppzqfs/cdp-2023-climate-change-questionnaire-borregaard-asa.pdf. Accessed 20/01/2024; Bomgardner, M. M. (2014) "Following Many Routes To Naturally Derived Vanillin". Chemical &amp; Engineering News, 92, 6. Available at: https://cen.acs.org/articles/92/i6/Following-Routes-Naturally-Derived-Vanillin.html, which reports 40-50 tonnes of vanillin from vanilla. Accessed 19/01/2024.</t>
  </si>
  <si>
    <t>Estimate of market size by Expert Market Research ("Global Vanilla and Vanillin Market Outlook", Available at: https://www.expertmarketresearch.com/reports/vanilla-and-vanillin-market. Accessed 20/01/2024), of 37,296 tonnes appears too high.</t>
  </si>
  <si>
    <t>Global vanillin production (~2020)</t>
  </si>
  <si>
    <t>Vanillin extraction process (from vanilla)</t>
  </si>
  <si>
    <t>g vanillin / kg cured beans</t>
  </si>
  <si>
    <t>Raw vanilla production</t>
  </si>
  <si>
    <t>Vanilla area</t>
  </si>
  <si>
    <t>Cured vanilla production</t>
  </si>
  <si>
    <t>Krishnakumar, V., Bindumol, G. P., Potty, S. N., &amp; Govindaraju, C. (2011). Processing of vanilla (Vanilla planifolia Andrews) beans-Influence of storing fresh beans, killing temperature and duration of killing on quality parameters. Journal of Spices and Aromatic Crops, 16(1).</t>
  </si>
  <si>
    <t>Global vanilla production and area (~2020)</t>
  </si>
  <si>
    <t>Vanillin yield</t>
  </si>
  <si>
    <t>Global maximum vanillin production from vanilla</t>
  </si>
  <si>
    <t>Ramachandra Rao, S., &amp; Ravishankar, G. A. (2000). Vanilla flavour: production by conventional and biotechnological routes. Journal of the Science of Food and Agriculture, 80(3), 289-304.</t>
  </si>
  <si>
    <t>Replace synthetic for robusta derived anhydrous caffeine</t>
  </si>
  <si>
    <t>Replace synthetic fossil-fuel derived vanillin for vanilla derived vanillin</t>
  </si>
  <si>
    <t>Global fibre production</t>
  </si>
  <si>
    <t>Given not all synthetic caffeine anhydrous producers report volumes, an underestimate is expected. Here the producer total is 35% lower than the total market which seems reasonable.</t>
  </si>
  <si>
    <t>Sense Check: Caffeine anhydrous producers, likely to use synthetic processes</t>
  </si>
  <si>
    <t>Sense Check: Estimated area for natural vanillin production</t>
  </si>
  <si>
    <t>Estimate is likely too high, although there is little to benchmark this value against. If it is too high, it may identify an error in the estimated commercial vanillin yield or the total global vanilla-derived vanillin production estimate. A vanillin yield of 40 g / kg cured vanilla would halve the estimated area, but this yield is at the top of ranges reported in experimental studies (e.g., Zhang et al, 2024, Molecules, https://www.ncbi.nlm.nih.gov/pmc/articles/PMC6271755/) and the lower yield was used here. There is little data available to validate the vanilla-derived vanillin production.</t>
  </si>
  <si>
    <t>Godfray, Poore &amp; Ritchie. 2024. Opportunities to produce food from substantially less land. BMC Biology.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</si>
</sst>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gt;9.5]0;[&lt;0.05]0.00;0.0"/>
    <numFmt numFmtId="165" formatCode="[&gt;9.5]0.0;[&lt;0.05]0.000;0.00"/>
    <numFmt numFmtId="166" formatCode="\(0\)"/>
    <numFmt numFmtId="167" formatCode="0.000"/>
    <numFmt numFmtId="168" formatCode="0.0%"/>
    <numFmt numFmtId="169" formatCode="[&gt;9.5]0.00;[&lt;0.05]0.0000;0.000"/>
    <numFmt numFmtId="170" formatCode="[&gt;9.5]0.000;[&lt;0.05]0.00000;0.0000"/>
    <numFmt numFmtId="171" formatCode="0.0"/>
    <numFmt numFmtId="172" formatCode="#,##0.0"/>
  </numFmts>
  <fonts count="12" x14ac:knownFonts="1">
    <font>
      <sz val="11"/>
      <color theme="1"/>
      <name val="Calibri"/>
      <family val="2"/>
      <scheme val="minor"/>
    </font>
    <font>
      <b/>
      <sz val="11"/>
      <color theme="1"/>
      <name val="Calibri"/>
      <family val="2"/>
      <scheme val="minor"/>
    </font>
    <font>
      <b/>
      <i/>
      <sz val="11"/>
      <color theme="1"/>
      <name val="Calibri"/>
      <family val="2"/>
      <scheme val="minor"/>
    </font>
    <font>
      <sz val="8"/>
      <name val="Calibri"/>
      <family val="2"/>
      <scheme val="minor"/>
    </font>
    <font>
      <sz val="11"/>
      <color theme="1"/>
      <name val="Calibri"/>
      <family val="2"/>
      <scheme val="minor"/>
    </font>
    <font>
      <u/>
      <sz val="11"/>
      <color theme="10"/>
      <name val="Calibri"/>
      <family val="2"/>
      <scheme val="minor"/>
    </font>
    <font>
      <i/>
      <sz val="11"/>
      <color theme="1"/>
      <name val="Calibri"/>
      <family val="2"/>
      <scheme val="minor"/>
    </font>
    <font>
      <vertAlign val="subscript"/>
      <sz val="11"/>
      <color theme="1"/>
      <name val="Calibri"/>
      <family val="2"/>
      <scheme val="minor"/>
    </font>
    <font>
      <sz val="11"/>
      <name val="Calibri"/>
      <family val="2"/>
      <scheme val="minor"/>
    </font>
    <font>
      <i/>
      <sz val="9"/>
      <color theme="1"/>
      <name val="Calibri"/>
      <family val="2"/>
      <scheme val="minor"/>
    </font>
    <font>
      <sz val="8"/>
      <color theme="1"/>
      <name val="Calibri"/>
      <family val="2"/>
      <scheme val="minor"/>
    </font>
    <font>
      <b/>
      <sz val="8"/>
      <color theme="1"/>
      <name val="Calibri"/>
      <family val="2"/>
      <scheme val="minor"/>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9" fontId="4" fillId="0" borderId="0" applyFont="0" applyFill="0" applyBorder="0" applyAlignment="0" applyProtection="0"/>
    <xf numFmtId="0" fontId="5" fillId="0" borderId="0" applyNumberFormat="0" applyFill="0" applyBorder="0" applyAlignment="0" applyProtection="0"/>
  </cellStyleXfs>
  <cellXfs count="57">
    <xf numFmtId="0" fontId="0" fillId="0" borderId="0" xfId="0"/>
    <xf numFmtId="164" fontId="0" fillId="0" borderId="0" xfId="0" applyNumberFormat="1"/>
    <xf numFmtId="0" fontId="1" fillId="0" borderId="0" xfId="0" applyFont="1"/>
    <xf numFmtId="2" fontId="0" fillId="0" borderId="0" xfId="0" applyNumberFormat="1"/>
    <xf numFmtId="1" fontId="0" fillId="0" borderId="0" xfId="0" applyNumberFormat="1"/>
    <xf numFmtId="167" fontId="0" fillId="0" borderId="0" xfId="0" applyNumberFormat="1"/>
    <xf numFmtId="168" fontId="0" fillId="0" borderId="0" xfId="1" applyNumberFormat="1" applyFont="1"/>
    <xf numFmtId="165" fontId="0" fillId="0" borderId="0" xfId="0" applyNumberFormat="1"/>
    <xf numFmtId="169" fontId="8" fillId="0" borderId="0" xfId="0" applyNumberFormat="1" applyFont="1"/>
    <xf numFmtId="164" fontId="8" fillId="0" borderId="0" xfId="0" applyNumberFormat="1" applyFont="1"/>
    <xf numFmtId="165" fontId="8" fillId="0" borderId="0" xfId="0" applyNumberFormat="1" applyFont="1"/>
    <xf numFmtId="170" fontId="8" fillId="0" borderId="0" xfId="0" applyNumberFormat="1" applyFont="1"/>
    <xf numFmtId="0" fontId="0" fillId="0" borderId="1" xfId="0" applyBorder="1" applyAlignment="1">
      <alignment horizontal="center" vertical="center" wrapText="1"/>
    </xf>
    <xf numFmtId="166" fontId="0" fillId="0" borderId="1" xfId="0" applyNumberFormat="1" applyBorder="1" applyAlignment="1">
      <alignment horizontal="center" vertical="center" wrapText="1"/>
    </xf>
    <xf numFmtId="0" fontId="2" fillId="0" borderId="1" xfId="0" applyFont="1" applyBorder="1"/>
    <xf numFmtId="0" fontId="0" fillId="0" borderId="1" xfId="0" applyBorder="1"/>
    <xf numFmtId="0" fontId="9" fillId="0" borderId="1" xfId="0" applyFont="1" applyBorder="1"/>
    <xf numFmtId="0" fontId="1" fillId="0" borderId="1" xfId="0" applyFont="1" applyBorder="1"/>
    <xf numFmtId="0" fontId="1" fillId="0" borderId="1" xfId="0" applyFont="1" applyBorder="1" applyAlignment="1">
      <alignment wrapText="1"/>
    </xf>
    <xf numFmtId="0" fontId="0" fillId="0" borderId="0" xfId="0" quotePrefix="1"/>
    <xf numFmtId="0" fontId="5" fillId="0" borderId="0" xfId="2"/>
    <xf numFmtId="17" fontId="0" fillId="0" borderId="0" xfId="0" applyNumberFormat="1"/>
    <xf numFmtId="2" fontId="0" fillId="0" borderId="0" xfId="0" applyNumberFormat="1" applyAlignment="1">
      <alignment horizontal="right"/>
    </xf>
    <xf numFmtId="1" fontId="0" fillId="0" borderId="0" xfId="0" applyNumberFormat="1" applyAlignment="1">
      <alignment horizontal="right"/>
    </xf>
    <xf numFmtId="0" fontId="1" fillId="0" borderId="3" xfId="0" applyFont="1" applyBorder="1"/>
    <xf numFmtId="0" fontId="0" fillId="0" borderId="4" xfId="0" applyBorder="1"/>
    <xf numFmtId="0" fontId="0" fillId="0" borderId="5" xfId="0" applyBorder="1"/>
    <xf numFmtId="0" fontId="10" fillId="0" borderId="0" xfId="0" applyFont="1"/>
    <xf numFmtId="0" fontId="0" fillId="0" borderId="6" xfId="0" applyBorder="1"/>
    <xf numFmtId="0" fontId="0" fillId="0" borderId="7" xfId="0" applyBorder="1"/>
    <xf numFmtId="171" fontId="0" fillId="0" borderId="0" xfId="0" applyNumberFormat="1"/>
    <xf numFmtId="171" fontId="0" fillId="0" borderId="7" xfId="0" applyNumberFormat="1" applyBorder="1"/>
    <xf numFmtId="0" fontId="0" fillId="0" borderId="8" xfId="0" applyBorder="1"/>
    <xf numFmtId="0" fontId="0" fillId="0" borderId="9" xfId="0" applyBorder="1"/>
    <xf numFmtId="0" fontId="1" fillId="0" borderId="6" xfId="0" applyFont="1" applyBorder="1"/>
    <xf numFmtId="0" fontId="1" fillId="0" borderId="8" xfId="0" applyFont="1" applyBorder="1"/>
    <xf numFmtId="0" fontId="0" fillId="0" borderId="0" xfId="0" applyAlignment="1">
      <alignment wrapText="1"/>
    </xf>
    <xf numFmtId="0" fontId="0" fillId="0" borderId="7" xfId="0" applyBorder="1" applyAlignment="1">
      <alignment wrapText="1"/>
    </xf>
    <xf numFmtId="0" fontId="0" fillId="0" borderId="6" xfId="0" applyBorder="1" applyAlignment="1">
      <alignment horizontal="left"/>
    </xf>
    <xf numFmtId="0" fontId="6" fillId="0" borderId="6" xfId="0" applyFont="1" applyBorder="1"/>
    <xf numFmtId="171" fontId="1" fillId="0" borderId="0" xfId="0" applyNumberFormat="1" applyFont="1"/>
    <xf numFmtId="171" fontId="1" fillId="0" borderId="7" xfId="0" applyNumberFormat="1" applyFont="1" applyBorder="1"/>
    <xf numFmtId="0" fontId="1" fillId="0" borderId="4" xfId="0" applyFont="1" applyBorder="1"/>
    <xf numFmtId="3" fontId="1" fillId="0" borderId="0" xfId="0" applyNumberFormat="1" applyFont="1"/>
    <xf numFmtId="168" fontId="0" fillId="0" borderId="0" xfId="1" applyNumberFormat="1" applyFont="1" applyBorder="1"/>
    <xf numFmtId="172" fontId="1" fillId="0" borderId="0" xfId="0" applyNumberFormat="1" applyFont="1"/>
    <xf numFmtId="168" fontId="0" fillId="0" borderId="0" xfId="0" applyNumberFormat="1"/>
    <xf numFmtId="3" fontId="0" fillId="0" borderId="0" xfId="0" applyNumberFormat="1"/>
    <xf numFmtId="0" fontId="5" fillId="0" borderId="0" xfId="2" applyBorder="1"/>
    <xf numFmtId="1" fontId="1" fillId="0" borderId="0" xfId="0" applyNumberFormat="1" applyFont="1"/>
    <xf numFmtId="0" fontId="0" fillId="0" borderId="6" xfId="0" quotePrefix="1" applyBorder="1"/>
    <xf numFmtId="3" fontId="1" fillId="0" borderId="1" xfId="0" applyNumberFormat="1" applyFont="1" applyBorder="1"/>
    <xf numFmtId="168" fontId="0" fillId="0" borderId="1" xfId="1" applyNumberFormat="1" applyFont="1" applyBorder="1"/>
    <xf numFmtId="0" fontId="10" fillId="0" borderId="0" xfId="0" applyFont="1" applyAlignment="1">
      <alignment horizontal="left" wrapText="1"/>
    </xf>
    <xf numFmtId="0" fontId="1" fillId="0" borderId="1" xfId="0" applyFont="1" applyBorder="1" applyAlignment="1">
      <alignment horizontal="center" wrapText="1"/>
    </xf>
    <xf numFmtId="0" fontId="1" fillId="0" borderId="1" xfId="0" applyFont="1" applyBorder="1" applyAlignment="1">
      <alignment horizontal="center"/>
    </xf>
    <xf numFmtId="0" fontId="10" fillId="0" borderId="2" xfId="0" applyFont="1" applyBorder="1" applyAlignment="1">
      <alignment horizontal="lef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static.igem.org/mediawiki/2018/a/af/T--Tianjin--caffeine_table.pdf" TargetMode="External"/><Relationship Id="rId2" Type="http://schemas.openxmlformats.org/officeDocument/2006/relationships/hyperlink" Target="https://acrossbiotech.com/caffeine-anhydrous-manufacturers/" TargetMode="External"/><Relationship Id="rId1" Type="http://schemas.openxmlformats.org/officeDocument/2006/relationships/hyperlink" Target="https://www.pharmacompass.com/pharma-services/api-fdf-drug-development/jilin-province-shulan-synthetic-pharmaceutical" TargetMode="External"/><Relationship Id="rId4" Type="http://schemas.openxmlformats.org/officeDocument/2006/relationships/hyperlink" Target="https://www.dbs.com.sg/private-banking/aics/pdfController.page?pdfpath=/content/article/pdf/AIO/022017/170216_insights_inflection_point_emerging.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goodseedventures.com/cultivated-meat-production-costs-past-present-future-2/" TargetMode="External"/><Relationship Id="rId3" Type="http://schemas.openxmlformats.org/officeDocument/2006/relationships/hyperlink" Target="https://goodseedventures.com/cultivated-meat-production-costs-past-present-future-2/" TargetMode="External"/><Relationship Id="rId7" Type="http://schemas.openxmlformats.org/officeDocument/2006/relationships/hyperlink" Target="https://goodseedventures.com/cultivated-meat-production-costs-past-present-future-2/" TargetMode="External"/><Relationship Id="rId2" Type="http://schemas.openxmlformats.org/officeDocument/2006/relationships/hyperlink" Target="https://www.maastrichtuniversity.nl/news/what%E2%80%99s-been-going-%E2%80%98hamburger-professor%E2%80%99" TargetMode="External"/><Relationship Id="rId1" Type="http://schemas.openxmlformats.org/officeDocument/2006/relationships/hyperlink" Target="https://www.nytimes.com/2013/05/14/science/engineering-the-325000-in-vitro-burger.html" TargetMode="External"/><Relationship Id="rId6" Type="http://schemas.openxmlformats.org/officeDocument/2006/relationships/hyperlink" Target="https://goodseedventures.com/cultivated-meat-production-costs-past-present-future-2/" TargetMode="External"/><Relationship Id="rId5" Type="http://schemas.openxmlformats.org/officeDocument/2006/relationships/hyperlink" Target="https://goodseedventures.com/cultivated-meat-production-costs-past-present-future-2/" TargetMode="External"/><Relationship Id="rId10" Type="http://schemas.openxmlformats.org/officeDocument/2006/relationships/hyperlink" Target="https://www.cbc.ca/documentarychannel/features/documentary-meat-the-future-shows-us-the-possible-future-of-meat" TargetMode="External"/><Relationship Id="rId4" Type="http://schemas.openxmlformats.org/officeDocument/2006/relationships/hyperlink" Target="https://goodseedventures.com/cultivated-meat-production-costs-past-present-future-2/" TargetMode="External"/><Relationship Id="rId9" Type="http://schemas.openxmlformats.org/officeDocument/2006/relationships/hyperlink" Target="https://goodseedventures.com/cultivated-meat-production-costs-past-present-future-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64C64-8D72-49A4-86A6-AFBA61181E3F}">
  <dimension ref="B2:H18"/>
  <sheetViews>
    <sheetView showGridLines="0" tabSelected="1" workbookViewId="0">
      <selection activeCell="A2" sqref="A2"/>
    </sheetView>
  </sheetViews>
  <sheetFormatPr defaultRowHeight="14.2" x14ac:dyDescent="0.6"/>
  <cols>
    <col min="1" max="1" width="3.09765625" customWidth="1"/>
    <col min="2" max="2" width="18.84765625" customWidth="1"/>
    <col min="3" max="3" width="10.546875" bestFit="1" customWidth="1"/>
  </cols>
  <sheetData>
    <row r="2" spans="2:8" x14ac:dyDescent="0.6">
      <c r="B2" s="2" t="s">
        <v>306</v>
      </c>
    </row>
    <row r="3" spans="2:8" x14ac:dyDescent="0.6">
      <c r="B3" s="16" t="s">
        <v>384</v>
      </c>
      <c r="C3" s="15"/>
      <c r="D3" s="15"/>
      <c r="E3" s="15"/>
      <c r="F3" s="15"/>
      <c r="G3" s="15"/>
      <c r="H3" s="15"/>
    </row>
    <row r="4" spans="2:8" ht="36" customHeight="1" x14ac:dyDescent="0.6">
      <c r="B4" s="53" t="s">
        <v>319</v>
      </c>
      <c r="C4" s="53"/>
      <c r="D4" s="53"/>
      <c r="E4" s="53"/>
      <c r="F4" s="53"/>
      <c r="G4" s="53"/>
      <c r="H4" s="53"/>
    </row>
    <row r="6" spans="2:8" x14ac:dyDescent="0.6">
      <c r="B6" s="24" t="s">
        <v>379</v>
      </c>
      <c r="C6" s="25"/>
      <c r="D6" s="25"/>
      <c r="E6" s="25"/>
      <c r="F6" s="25"/>
      <c r="G6" s="25"/>
      <c r="H6" s="26"/>
    </row>
    <row r="7" spans="2:8" ht="3" customHeight="1" x14ac:dyDescent="0.6">
      <c r="B7" s="28"/>
      <c r="H7" s="29"/>
    </row>
    <row r="8" spans="2:8" ht="28.4" x14ac:dyDescent="0.6">
      <c r="B8" s="39" t="s">
        <v>314</v>
      </c>
      <c r="C8" s="36" t="s">
        <v>309</v>
      </c>
      <c r="D8" s="36" t="s">
        <v>315</v>
      </c>
      <c r="E8" s="36" t="s">
        <v>310</v>
      </c>
      <c r="F8" s="36" t="s">
        <v>311</v>
      </c>
      <c r="G8" s="36" t="s">
        <v>312</v>
      </c>
      <c r="H8" s="37" t="s">
        <v>313</v>
      </c>
    </row>
    <row r="9" spans="2:8" x14ac:dyDescent="0.6">
      <c r="B9" s="38">
        <v>2020</v>
      </c>
      <c r="C9" s="40">
        <v>67.906739999999999</v>
      </c>
      <c r="D9" s="40">
        <v>0.29326000000000002</v>
      </c>
      <c r="E9" s="40">
        <v>6.5</v>
      </c>
      <c r="F9" s="40">
        <v>26.2</v>
      </c>
      <c r="G9" s="40">
        <v>6.5</v>
      </c>
      <c r="H9" s="41">
        <v>1.7</v>
      </c>
    </row>
    <row r="10" spans="2:8" x14ac:dyDescent="0.6">
      <c r="B10" s="34"/>
      <c r="C10" s="30"/>
      <c r="D10" s="30"/>
      <c r="E10" s="30"/>
      <c r="F10" s="30"/>
      <c r="G10" s="30"/>
      <c r="H10" s="31"/>
    </row>
    <row r="11" spans="2:8" x14ac:dyDescent="0.6">
      <c r="B11" s="35" t="s">
        <v>316</v>
      </c>
      <c r="C11" s="15"/>
      <c r="D11" s="15"/>
      <c r="E11" s="15"/>
      <c r="F11" s="15"/>
      <c r="G11" s="15"/>
      <c r="H11" s="33"/>
    </row>
    <row r="12" spans="2:8" ht="3" customHeight="1" x14ac:dyDescent="0.6">
      <c r="B12" s="28"/>
      <c r="H12" s="29"/>
    </row>
    <row r="13" spans="2:8" x14ac:dyDescent="0.6">
      <c r="B13" s="28" t="s">
        <v>207</v>
      </c>
      <c r="C13" s="40">
        <f>32135986/1000000</f>
        <v>32.135986000000003</v>
      </c>
      <c r="D13" t="s">
        <v>317</v>
      </c>
      <c r="H13" s="29"/>
    </row>
    <row r="14" spans="2:8" x14ac:dyDescent="0.6">
      <c r="B14" s="28"/>
      <c r="H14" s="29"/>
    </row>
    <row r="15" spans="2:8" x14ac:dyDescent="0.6">
      <c r="B15" s="35" t="s">
        <v>307</v>
      </c>
      <c r="C15" s="15"/>
      <c r="D15" s="15"/>
      <c r="E15" s="15"/>
      <c r="F15" s="15"/>
      <c r="G15" s="15"/>
      <c r="H15" s="33"/>
    </row>
    <row r="16" spans="2:8" ht="3" customHeight="1" x14ac:dyDescent="0.6">
      <c r="B16" s="28"/>
      <c r="H16" s="29"/>
    </row>
    <row r="17" spans="2:8" x14ac:dyDescent="0.6">
      <c r="B17" s="28" t="s">
        <v>207</v>
      </c>
      <c r="C17" s="40">
        <f>C13/F9*(C9+D9)</f>
        <v>83.651688748091615</v>
      </c>
      <c r="D17" t="s">
        <v>318</v>
      </c>
      <c r="H17" s="29"/>
    </row>
    <row r="18" spans="2:8" ht="3" customHeight="1" x14ac:dyDescent="0.6">
      <c r="B18" s="32"/>
      <c r="C18" s="15"/>
      <c r="D18" s="15"/>
      <c r="E18" s="15"/>
      <c r="F18" s="15"/>
      <c r="G18" s="15"/>
      <c r="H18" s="33"/>
    </row>
  </sheetData>
  <mergeCells count="1">
    <mergeCell ref="B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8965D-A9F2-4F81-B719-CA564D112604}">
  <dimension ref="B2:H36"/>
  <sheetViews>
    <sheetView showGridLines="0" workbookViewId="0">
      <selection activeCell="A2" sqref="A2"/>
    </sheetView>
  </sheetViews>
  <sheetFormatPr defaultRowHeight="14.2" x14ac:dyDescent="0.6"/>
  <cols>
    <col min="1" max="1" width="3.09765625" customWidth="1"/>
    <col min="2" max="2" width="18.84765625" customWidth="1"/>
    <col min="3" max="3" width="10.546875" bestFit="1" customWidth="1"/>
  </cols>
  <sheetData>
    <row r="2" spans="2:8" x14ac:dyDescent="0.6">
      <c r="B2" s="2" t="s">
        <v>320</v>
      </c>
    </row>
    <row r="3" spans="2:8" x14ac:dyDescent="0.6">
      <c r="B3" s="16" t="s">
        <v>384</v>
      </c>
      <c r="C3" s="15"/>
      <c r="D3" s="15"/>
      <c r="E3" s="15"/>
      <c r="F3" s="15"/>
      <c r="G3" s="15"/>
      <c r="H3" s="15"/>
    </row>
    <row r="5" spans="2:8" x14ac:dyDescent="0.6">
      <c r="B5" s="24" t="s">
        <v>331</v>
      </c>
      <c r="C5" s="25"/>
      <c r="D5" s="25"/>
      <c r="E5" s="42" t="s">
        <v>335</v>
      </c>
      <c r="F5" s="25"/>
      <c r="G5" s="42" t="s">
        <v>336</v>
      </c>
      <c r="H5" s="26"/>
    </row>
    <row r="6" spans="2:8" ht="3" customHeight="1" x14ac:dyDescent="0.6">
      <c r="B6" s="28"/>
      <c r="H6" s="29"/>
    </row>
    <row r="7" spans="2:8" x14ac:dyDescent="0.6">
      <c r="B7" s="28" t="s">
        <v>324</v>
      </c>
      <c r="C7" s="43">
        <v>11244393.41</v>
      </c>
      <c r="D7" s="44" t="s">
        <v>325</v>
      </c>
      <c r="E7" s="44" t="s">
        <v>321</v>
      </c>
      <c r="G7" t="s">
        <v>15</v>
      </c>
      <c r="H7" s="29"/>
    </row>
    <row r="8" spans="2:8" x14ac:dyDescent="0.6">
      <c r="B8" s="28" t="s">
        <v>322</v>
      </c>
      <c r="C8" s="43">
        <v>12080264</v>
      </c>
      <c r="D8" s="44" t="s">
        <v>323</v>
      </c>
      <c r="E8" s="44" t="s">
        <v>321</v>
      </c>
      <c r="G8" t="s">
        <v>15</v>
      </c>
      <c r="H8" s="29"/>
    </row>
    <row r="9" spans="2:8" x14ac:dyDescent="0.6">
      <c r="B9" s="28"/>
      <c r="H9" s="29"/>
    </row>
    <row r="10" spans="2:8" x14ac:dyDescent="0.6">
      <c r="B10" s="35" t="s">
        <v>356</v>
      </c>
      <c r="C10" s="15"/>
      <c r="D10" s="15"/>
      <c r="E10" s="15"/>
      <c r="F10" s="15"/>
      <c r="G10" s="15"/>
      <c r="H10" s="33"/>
    </row>
    <row r="11" spans="2:8" ht="3" customHeight="1" x14ac:dyDescent="0.6">
      <c r="B11" s="28"/>
      <c r="H11" s="29"/>
    </row>
    <row r="12" spans="2:8" x14ac:dyDescent="0.6">
      <c r="B12" s="28" t="s">
        <v>326</v>
      </c>
      <c r="C12" s="45">
        <f>0.0114/0.877*100</f>
        <v>1.2998859749144811</v>
      </c>
      <c r="D12" s="44" t="s">
        <v>330</v>
      </c>
      <c r="E12" s="44" t="s">
        <v>327</v>
      </c>
      <c r="G12" t="s">
        <v>15</v>
      </c>
      <c r="H12" s="29"/>
    </row>
    <row r="13" spans="2:8" x14ac:dyDescent="0.6">
      <c r="B13" s="28" t="s">
        <v>328</v>
      </c>
      <c r="C13" s="43">
        <v>50</v>
      </c>
      <c r="D13" s="44" t="s">
        <v>330</v>
      </c>
      <c r="E13" s="44" t="s">
        <v>329</v>
      </c>
      <c r="G13" t="s">
        <v>15</v>
      </c>
      <c r="H13" s="29"/>
    </row>
    <row r="14" spans="2:8" x14ac:dyDescent="0.6">
      <c r="B14" s="28"/>
      <c r="H14" s="29"/>
    </row>
    <row r="15" spans="2:8" x14ac:dyDescent="0.6">
      <c r="B15" s="35" t="s">
        <v>355</v>
      </c>
      <c r="C15" s="15"/>
      <c r="D15" s="15"/>
      <c r="E15" s="15"/>
      <c r="F15" s="15"/>
      <c r="G15" s="15"/>
      <c r="H15" s="33"/>
    </row>
    <row r="16" spans="2:8" ht="3" customHeight="1" x14ac:dyDescent="0.6">
      <c r="B16" s="28"/>
      <c r="H16" s="29"/>
    </row>
    <row r="17" spans="2:8" x14ac:dyDescent="0.6">
      <c r="B17" s="28" t="s">
        <v>333</v>
      </c>
      <c r="C17" s="43">
        <v>118172</v>
      </c>
      <c r="D17" t="s">
        <v>334</v>
      </c>
      <c r="E17" s="46" t="s">
        <v>332</v>
      </c>
      <c r="G17" t="s">
        <v>15</v>
      </c>
      <c r="H17" s="29"/>
    </row>
    <row r="18" spans="2:8" x14ac:dyDescent="0.6">
      <c r="B18" s="28" t="s">
        <v>339</v>
      </c>
      <c r="C18" s="2">
        <v>60</v>
      </c>
      <c r="D18" t="s">
        <v>330</v>
      </c>
      <c r="E18" t="s">
        <v>337</v>
      </c>
      <c r="F18" s="47"/>
      <c r="G18" s="47" t="s">
        <v>338</v>
      </c>
      <c r="H18" s="29"/>
    </row>
    <row r="19" spans="2:8" x14ac:dyDescent="0.6">
      <c r="B19" s="28" t="s">
        <v>340</v>
      </c>
      <c r="C19" s="43">
        <f>C17*C18/100</f>
        <v>70903.199999999997</v>
      </c>
      <c r="D19" t="s">
        <v>334</v>
      </c>
      <c r="E19" t="s">
        <v>15</v>
      </c>
      <c r="G19" t="s">
        <v>15</v>
      </c>
      <c r="H19" s="29"/>
    </row>
    <row r="20" spans="2:8" x14ac:dyDescent="0.6">
      <c r="B20" s="28" t="s">
        <v>341</v>
      </c>
      <c r="C20" s="43">
        <f>C17*(100%-C18/100)</f>
        <v>47268.800000000003</v>
      </c>
      <c r="D20" t="s">
        <v>334</v>
      </c>
      <c r="E20" t="s">
        <v>15</v>
      </c>
      <c r="G20" t="s">
        <v>15</v>
      </c>
      <c r="H20" s="29"/>
    </row>
    <row r="21" spans="2:8" x14ac:dyDescent="0.6">
      <c r="B21" s="50" t="s">
        <v>357</v>
      </c>
      <c r="C21" s="43">
        <f>C17/(C12/100)*(100%-C18/100)*C13/100</f>
        <v>1818190.2456140355</v>
      </c>
      <c r="D21" t="s">
        <v>323</v>
      </c>
      <c r="E21" t="s">
        <v>15</v>
      </c>
      <c r="G21" t="s">
        <v>354</v>
      </c>
      <c r="H21" s="29"/>
    </row>
    <row r="22" spans="2:8" x14ac:dyDescent="0.6">
      <c r="B22" s="28"/>
      <c r="H22" s="29"/>
    </row>
    <row r="23" spans="2:8" x14ac:dyDescent="0.6">
      <c r="B23" s="35" t="s">
        <v>381</v>
      </c>
      <c r="C23" s="15"/>
      <c r="D23" s="15"/>
      <c r="E23" s="15"/>
      <c r="F23" s="15"/>
      <c r="G23" s="15"/>
      <c r="H23" s="33"/>
    </row>
    <row r="24" spans="2:8" ht="3" customHeight="1" x14ac:dyDescent="0.6">
      <c r="B24" s="28"/>
      <c r="H24" s="29"/>
    </row>
    <row r="25" spans="2:8" x14ac:dyDescent="0.6">
      <c r="B25" s="28" t="s">
        <v>342</v>
      </c>
      <c r="C25" s="43">
        <v>12000</v>
      </c>
      <c r="D25" t="s">
        <v>334</v>
      </c>
      <c r="E25" s="48" t="s">
        <v>343</v>
      </c>
      <c r="G25" t="s">
        <v>15</v>
      </c>
      <c r="H25" s="29"/>
    </row>
    <row r="26" spans="2:8" x14ac:dyDescent="0.6">
      <c r="B26" s="28" t="s">
        <v>344</v>
      </c>
      <c r="C26" s="43">
        <v>10000</v>
      </c>
      <c r="D26" t="s">
        <v>334</v>
      </c>
      <c r="E26" s="48" t="s">
        <v>345</v>
      </c>
      <c r="G26" t="s">
        <v>15</v>
      </c>
      <c r="H26" s="29"/>
    </row>
    <row r="27" spans="2:8" x14ac:dyDescent="0.6">
      <c r="B27" s="28" t="s">
        <v>346</v>
      </c>
      <c r="C27" s="43">
        <v>9000</v>
      </c>
      <c r="D27" t="s">
        <v>334</v>
      </c>
      <c r="E27" s="48" t="s">
        <v>347</v>
      </c>
      <c r="G27" t="s">
        <v>15</v>
      </c>
      <c r="H27" s="29"/>
    </row>
    <row r="28" spans="2:8" x14ac:dyDescent="0.6">
      <c r="B28" s="28" t="s">
        <v>348</v>
      </c>
      <c r="C28" s="43">
        <v>10000</v>
      </c>
      <c r="D28" t="s">
        <v>334</v>
      </c>
      <c r="E28" s="48" t="s">
        <v>349</v>
      </c>
      <c r="G28" t="s">
        <v>15</v>
      </c>
      <c r="H28" s="29"/>
    </row>
    <row r="29" spans="2:8" x14ac:dyDescent="0.6">
      <c r="B29" s="28" t="s">
        <v>350</v>
      </c>
      <c r="C29" s="43">
        <v>5000</v>
      </c>
      <c r="D29" t="s">
        <v>334</v>
      </c>
      <c r="E29" t="s">
        <v>351</v>
      </c>
      <c r="G29" t="s">
        <v>15</v>
      </c>
      <c r="H29" s="29"/>
    </row>
    <row r="30" spans="2:8" x14ac:dyDescent="0.6">
      <c r="B30" s="28" t="s">
        <v>352</v>
      </c>
      <c r="C30" s="43">
        <f>SUM(C25:C29)</f>
        <v>46000</v>
      </c>
      <c r="D30" t="s">
        <v>334</v>
      </c>
      <c r="E30" t="s">
        <v>15</v>
      </c>
      <c r="H30" s="29"/>
    </row>
    <row r="31" spans="2:8" x14ac:dyDescent="0.6">
      <c r="B31" s="28" t="s">
        <v>353</v>
      </c>
      <c r="C31" s="49">
        <f>(C30/C19-1)*100</f>
        <v>-35.122815331324965</v>
      </c>
      <c r="D31" t="s">
        <v>330</v>
      </c>
      <c r="E31" t="s">
        <v>15</v>
      </c>
      <c r="G31" t="s">
        <v>380</v>
      </c>
      <c r="H31" s="29"/>
    </row>
    <row r="32" spans="2:8" x14ac:dyDescent="0.6">
      <c r="B32" s="28"/>
      <c r="H32" s="29"/>
    </row>
    <row r="33" spans="2:8" x14ac:dyDescent="0.6">
      <c r="B33" s="35" t="s">
        <v>377</v>
      </c>
      <c r="C33" s="15"/>
      <c r="D33" s="15"/>
      <c r="E33" s="15"/>
      <c r="F33" s="15"/>
      <c r="G33" s="15"/>
      <c r="H33" s="33"/>
    </row>
    <row r="34" spans="2:8" ht="3" customHeight="1" x14ac:dyDescent="0.6">
      <c r="B34" s="28"/>
      <c r="H34" s="29"/>
    </row>
    <row r="35" spans="2:8" x14ac:dyDescent="0.6">
      <c r="B35" s="50" t="s">
        <v>207</v>
      </c>
      <c r="C35" s="43">
        <f>C17/(C12/100)*C18/100</f>
        <v>5454570.736842107</v>
      </c>
      <c r="D35" t="s">
        <v>358</v>
      </c>
      <c r="E35" t="s">
        <v>15</v>
      </c>
      <c r="G35" t="s">
        <v>15</v>
      </c>
      <c r="H35" s="29"/>
    </row>
    <row r="36" spans="2:8" ht="3" customHeight="1" x14ac:dyDescent="0.6">
      <c r="B36" s="32"/>
      <c r="C36" s="15"/>
      <c r="D36" s="15"/>
      <c r="E36" s="15"/>
      <c r="F36" s="15"/>
      <c r="G36" s="15"/>
      <c r="H36" s="33"/>
    </row>
  </sheetData>
  <hyperlinks>
    <hyperlink ref="E26" r:id="rId1" xr:uid="{216EB942-5085-408D-99FF-B04E5C4BC616}"/>
    <hyperlink ref="E25" r:id="rId2" xr:uid="{33A67D83-2750-4913-B97B-4F932E663CA6}"/>
    <hyperlink ref="E27" r:id="rId3" xr:uid="{E7D15790-3F8A-4C92-8AB0-A2F1EC2E9ACF}"/>
    <hyperlink ref="E28" r:id="rId4" xr:uid="{98F140FA-067F-4BF8-A940-76C8A40F070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622A5-8B8D-4C48-A30F-AA9B423C9034}">
  <dimension ref="B2:H30"/>
  <sheetViews>
    <sheetView showGridLines="0" workbookViewId="0">
      <selection activeCell="A2" sqref="A2"/>
    </sheetView>
  </sheetViews>
  <sheetFormatPr defaultRowHeight="14.2" x14ac:dyDescent="0.6"/>
  <cols>
    <col min="1" max="1" width="3.09765625" customWidth="1"/>
    <col min="2" max="2" width="18.84765625" customWidth="1"/>
    <col min="3" max="3" width="10.546875" bestFit="1" customWidth="1"/>
  </cols>
  <sheetData>
    <row r="2" spans="2:8" x14ac:dyDescent="0.6">
      <c r="B2" s="2" t="s">
        <v>359</v>
      </c>
    </row>
    <row r="3" spans="2:8" x14ac:dyDescent="0.6">
      <c r="B3" s="16" t="s">
        <v>384</v>
      </c>
      <c r="C3" s="15"/>
      <c r="D3" s="15"/>
      <c r="E3" s="15"/>
      <c r="F3" s="15"/>
      <c r="G3" s="15"/>
      <c r="H3" s="15"/>
    </row>
    <row r="5" spans="2:8" x14ac:dyDescent="0.6">
      <c r="B5" s="24" t="s">
        <v>366</v>
      </c>
      <c r="C5" s="25"/>
      <c r="D5" s="25"/>
      <c r="E5" s="42" t="s">
        <v>335</v>
      </c>
      <c r="F5" s="25"/>
      <c r="G5" s="42" t="s">
        <v>336</v>
      </c>
      <c r="H5" s="26"/>
    </row>
    <row r="6" spans="2:8" ht="3" customHeight="1" x14ac:dyDescent="0.6">
      <c r="B6" s="28"/>
      <c r="H6" s="29"/>
    </row>
    <row r="7" spans="2:8" x14ac:dyDescent="0.6">
      <c r="B7" s="28" t="s">
        <v>360</v>
      </c>
      <c r="C7" s="43">
        <f>C8/(100%-90%-0.3%)*90%</f>
        <v>13917.525773195881</v>
      </c>
      <c r="D7" s="44" t="s">
        <v>334</v>
      </c>
      <c r="E7" t="s">
        <v>363</v>
      </c>
      <c r="G7" t="s">
        <v>15</v>
      </c>
      <c r="H7" s="29"/>
    </row>
    <row r="8" spans="2:8" x14ac:dyDescent="0.6">
      <c r="B8" s="28" t="s">
        <v>361</v>
      </c>
      <c r="C8" s="43">
        <v>1500</v>
      </c>
      <c r="D8" s="44" t="s">
        <v>334</v>
      </c>
      <c r="E8" t="s">
        <v>363</v>
      </c>
      <c r="G8" t="s">
        <v>15</v>
      </c>
      <c r="H8" s="29"/>
    </row>
    <row r="9" spans="2:8" x14ac:dyDescent="0.6">
      <c r="B9" s="28" t="s">
        <v>362</v>
      </c>
      <c r="C9" s="43">
        <f>C7/90%*0.3%</f>
        <v>46.3917525773196</v>
      </c>
      <c r="D9" s="44" t="s">
        <v>334</v>
      </c>
      <c r="E9" t="s">
        <v>364</v>
      </c>
      <c r="G9" t="s">
        <v>15</v>
      </c>
      <c r="H9" s="29"/>
    </row>
    <row r="10" spans="2:8" x14ac:dyDescent="0.6">
      <c r="B10" s="28" t="s">
        <v>352</v>
      </c>
      <c r="C10" s="43">
        <f>SUM(C7:C9)</f>
        <v>15463.9175257732</v>
      </c>
      <c r="D10" s="44" t="s">
        <v>334</v>
      </c>
      <c r="E10" s="44" t="s">
        <v>15</v>
      </c>
      <c r="G10" t="s">
        <v>365</v>
      </c>
      <c r="H10" s="29"/>
    </row>
    <row r="11" spans="2:8" x14ac:dyDescent="0.6">
      <c r="B11" s="28"/>
      <c r="H11" s="29"/>
    </row>
    <row r="12" spans="2:8" x14ac:dyDescent="0.6">
      <c r="B12" s="35" t="s">
        <v>373</v>
      </c>
      <c r="C12" s="15"/>
      <c r="D12" s="15"/>
      <c r="E12" s="15"/>
      <c r="F12" s="15"/>
      <c r="G12" s="15"/>
      <c r="H12" s="33"/>
    </row>
    <row r="13" spans="2:8" ht="3" customHeight="1" x14ac:dyDescent="0.6">
      <c r="B13" s="28"/>
      <c r="H13" s="29"/>
    </row>
    <row r="14" spans="2:8" x14ac:dyDescent="0.6">
      <c r="B14" s="28" t="s">
        <v>369</v>
      </c>
      <c r="C14" s="43">
        <v>7012.07</v>
      </c>
      <c r="D14" s="44" t="s">
        <v>334</v>
      </c>
      <c r="E14" s="44" t="s">
        <v>321</v>
      </c>
      <c r="G14" t="s">
        <v>15</v>
      </c>
      <c r="H14" s="29"/>
    </row>
    <row r="15" spans="2:8" x14ac:dyDescent="0.6">
      <c r="B15" s="28" t="s">
        <v>370</v>
      </c>
      <c r="C15" s="43">
        <v>92195</v>
      </c>
      <c r="D15" t="s">
        <v>323</v>
      </c>
      <c r="E15" s="44" t="s">
        <v>321</v>
      </c>
      <c r="G15" t="s">
        <v>15</v>
      </c>
      <c r="H15" s="29"/>
    </row>
    <row r="16" spans="2:8" x14ac:dyDescent="0.6">
      <c r="B16" s="28"/>
      <c r="C16" s="43"/>
      <c r="D16" s="44"/>
      <c r="E16" s="44"/>
      <c r="H16" s="29"/>
    </row>
    <row r="17" spans="2:8" x14ac:dyDescent="0.6">
      <c r="B17" s="35" t="s">
        <v>367</v>
      </c>
      <c r="C17" s="51"/>
      <c r="D17" s="52"/>
      <c r="E17" s="52"/>
      <c r="F17" s="15"/>
      <c r="G17" s="15"/>
      <c r="H17" s="33"/>
    </row>
    <row r="18" spans="2:8" ht="3" customHeight="1" x14ac:dyDescent="0.6">
      <c r="B18" s="28"/>
      <c r="H18" s="29"/>
    </row>
    <row r="19" spans="2:8" x14ac:dyDescent="0.6">
      <c r="B19" s="28" t="s">
        <v>371</v>
      </c>
      <c r="C19" s="43">
        <f>C14*AVERAGE(225/570,230/570,200/560,200/540,209/535,215/535,220/535,215/525,210/500)</f>
        <v>2772.9004627664117</v>
      </c>
      <c r="D19" s="44" t="s">
        <v>334</v>
      </c>
      <c r="E19" t="s">
        <v>372</v>
      </c>
      <c r="G19" t="s">
        <v>15</v>
      </c>
      <c r="H19" s="29"/>
    </row>
    <row r="20" spans="2:8" x14ac:dyDescent="0.6">
      <c r="B20" s="28" t="s">
        <v>374</v>
      </c>
      <c r="C20" s="43">
        <v>20</v>
      </c>
      <c r="D20" t="s">
        <v>368</v>
      </c>
      <c r="E20" t="s">
        <v>376</v>
      </c>
      <c r="G20" t="s">
        <v>15</v>
      </c>
      <c r="H20" s="29"/>
    </row>
    <row r="21" spans="2:8" x14ac:dyDescent="0.6">
      <c r="B21" s="28" t="s">
        <v>375</v>
      </c>
      <c r="C21" s="43">
        <f>C19*C20/1000</f>
        <v>55.458009255328228</v>
      </c>
      <c r="D21" s="44" t="s">
        <v>334</v>
      </c>
      <c r="E21" s="44" t="s">
        <v>15</v>
      </c>
      <c r="G21" t="s">
        <v>15</v>
      </c>
      <c r="H21" s="29"/>
    </row>
    <row r="22" spans="2:8" x14ac:dyDescent="0.6">
      <c r="B22" s="28"/>
      <c r="C22" s="43"/>
      <c r="D22" s="44"/>
      <c r="E22" s="44"/>
      <c r="H22" s="29"/>
    </row>
    <row r="23" spans="2:8" x14ac:dyDescent="0.6">
      <c r="B23" s="35" t="s">
        <v>382</v>
      </c>
      <c r="C23" s="51"/>
      <c r="D23" s="52"/>
      <c r="E23" s="52"/>
      <c r="F23" s="15"/>
      <c r="G23" s="15"/>
      <c r="H23" s="33"/>
    </row>
    <row r="24" spans="2:8" ht="3" customHeight="1" x14ac:dyDescent="0.6">
      <c r="B24" s="28"/>
      <c r="H24" s="29"/>
    </row>
    <row r="25" spans="2:8" x14ac:dyDescent="0.6">
      <c r="B25" s="28" t="s">
        <v>207</v>
      </c>
      <c r="C25" s="43">
        <f>C9/C21*C15</f>
        <v>77122.992445947762</v>
      </c>
      <c r="D25" s="44" t="s">
        <v>323</v>
      </c>
      <c r="E25" t="s">
        <v>15</v>
      </c>
      <c r="G25" t="s">
        <v>383</v>
      </c>
      <c r="H25" s="29"/>
    </row>
    <row r="26" spans="2:8" x14ac:dyDescent="0.6">
      <c r="B26" s="28"/>
      <c r="H26" s="29"/>
    </row>
    <row r="27" spans="2:8" x14ac:dyDescent="0.6">
      <c r="B27" s="35" t="s">
        <v>378</v>
      </c>
      <c r="C27" s="15"/>
      <c r="D27" s="15"/>
      <c r="E27" s="15"/>
      <c r="F27" s="15"/>
      <c r="G27" s="15"/>
      <c r="H27" s="33"/>
    </row>
    <row r="28" spans="2:8" ht="3" customHeight="1" x14ac:dyDescent="0.6">
      <c r="B28" s="28"/>
      <c r="H28" s="29"/>
    </row>
    <row r="29" spans="2:8" x14ac:dyDescent="0.6">
      <c r="B29" s="28" t="s">
        <v>207</v>
      </c>
      <c r="C29" s="43">
        <f>C15/(C21/C7)</f>
        <v>23136897.733784329</v>
      </c>
      <c r="D29" t="s">
        <v>323</v>
      </c>
      <c r="E29" s="46" t="s">
        <v>15</v>
      </c>
      <c r="G29" t="s">
        <v>15</v>
      </c>
      <c r="H29" s="29"/>
    </row>
    <row r="30" spans="2:8" ht="3" customHeight="1" x14ac:dyDescent="0.6">
      <c r="B30" s="32"/>
      <c r="C30" s="15"/>
      <c r="D30" s="15"/>
      <c r="E30" s="15"/>
      <c r="F30" s="15"/>
      <c r="G30" s="15"/>
      <c r="H30" s="3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AB316-FA2B-4566-A878-EA958468BFB9}">
  <dimension ref="B2:G37"/>
  <sheetViews>
    <sheetView showGridLines="0" workbookViewId="0">
      <selection activeCell="A2" sqref="A2"/>
    </sheetView>
  </sheetViews>
  <sheetFormatPr defaultRowHeight="14.2" x14ac:dyDescent="0.6"/>
  <cols>
    <col min="1" max="1" width="3.09765625" customWidth="1"/>
    <col min="4" max="4" width="9.69921875" bestFit="1" customWidth="1"/>
    <col min="5" max="5" width="26.19921875" bestFit="1" customWidth="1"/>
    <col min="6" max="6" width="7.25" bestFit="1" customWidth="1"/>
    <col min="7" max="7" width="96.09765625" customWidth="1"/>
  </cols>
  <sheetData>
    <row r="2" spans="2:7" x14ac:dyDescent="0.6">
      <c r="B2" s="2" t="s">
        <v>202</v>
      </c>
    </row>
    <row r="3" spans="2:7" x14ac:dyDescent="0.6">
      <c r="B3" s="16" t="s">
        <v>384</v>
      </c>
      <c r="C3" s="15"/>
      <c r="D3" s="15"/>
      <c r="E3" s="15"/>
      <c r="F3" s="15"/>
      <c r="G3" s="15"/>
    </row>
    <row r="5" spans="2:7" ht="28.4" x14ac:dyDescent="0.6">
      <c r="B5" s="18" t="s">
        <v>305</v>
      </c>
      <c r="C5" s="18" t="s">
        <v>304</v>
      </c>
      <c r="D5" s="18" t="s">
        <v>274</v>
      </c>
      <c r="E5" s="18" t="s">
        <v>275</v>
      </c>
      <c r="F5" s="18" t="s">
        <v>0</v>
      </c>
      <c r="G5" s="18" t="s">
        <v>21</v>
      </c>
    </row>
    <row r="6" spans="2:7" x14ac:dyDescent="0.6">
      <c r="B6" s="21">
        <v>41395</v>
      </c>
      <c r="C6" s="22">
        <f>YEAR(B6)+(MONTH(B6)-0.5/12)/12</f>
        <v>2013.4131944444443</v>
      </c>
      <c r="D6" s="23">
        <f>325000/0.141748</f>
        <v>2292801.309365917</v>
      </c>
      <c r="E6" t="s">
        <v>276</v>
      </c>
      <c r="F6" t="s">
        <v>277</v>
      </c>
      <c r="G6" s="20" t="s">
        <v>278</v>
      </c>
    </row>
    <row r="7" spans="2:7" x14ac:dyDescent="0.6">
      <c r="B7" s="21">
        <v>43556</v>
      </c>
      <c r="C7" s="22">
        <f t="shared" ref="C7:C37" si="0">YEAR(B7)+(MONTH(B7)-0.5/12)/12</f>
        <v>2019.3298611111111</v>
      </c>
      <c r="D7" s="23">
        <f>9.8/0.113</f>
        <v>86.725663716814168</v>
      </c>
      <c r="E7" t="s">
        <v>276</v>
      </c>
      <c r="F7" t="s">
        <v>277</v>
      </c>
      <c r="G7" s="20" t="s">
        <v>279</v>
      </c>
    </row>
    <row r="8" spans="2:7" x14ac:dyDescent="0.6">
      <c r="B8">
        <v>2020</v>
      </c>
      <c r="C8" s="22">
        <v>2020</v>
      </c>
      <c r="D8" s="23">
        <v>22241</v>
      </c>
      <c r="E8" t="s">
        <v>280</v>
      </c>
      <c r="F8" t="s">
        <v>281</v>
      </c>
      <c r="G8" t="s">
        <v>282</v>
      </c>
    </row>
    <row r="9" spans="2:7" x14ac:dyDescent="0.6">
      <c r="B9">
        <v>2020</v>
      </c>
      <c r="C9" s="22">
        <v>2020</v>
      </c>
      <c r="D9" s="23">
        <v>1708</v>
      </c>
      <c r="E9" t="s">
        <v>280</v>
      </c>
      <c r="F9" t="s">
        <v>281</v>
      </c>
      <c r="G9" t="s">
        <v>282</v>
      </c>
    </row>
    <row r="10" spans="2:7" x14ac:dyDescent="0.6">
      <c r="B10">
        <v>2020</v>
      </c>
      <c r="C10" s="22">
        <v>2020</v>
      </c>
      <c r="D10" s="23">
        <v>150</v>
      </c>
      <c r="E10" t="s">
        <v>280</v>
      </c>
      <c r="F10" t="s">
        <v>281</v>
      </c>
      <c r="G10" t="s">
        <v>282</v>
      </c>
    </row>
    <row r="11" spans="2:7" x14ac:dyDescent="0.6">
      <c r="B11">
        <v>2030</v>
      </c>
      <c r="C11" s="22">
        <v>2030</v>
      </c>
      <c r="D11" s="23">
        <v>116</v>
      </c>
      <c r="E11" t="s">
        <v>280</v>
      </c>
      <c r="F11" t="s">
        <v>281</v>
      </c>
      <c r="G11" t="s">
        <v>282</v>
      </c>
    </row>
    <row r="12" spans="2:7" x14ac:dyDescent="0.6">
      <c r="B12">
        <v>2030</v>
      </c>
      <c r="C12" s="22">
        <v>2030</v>
      </c>
      <c r="D12" s="23">
        <v>18</v>
      </c>
      <c r="E12" t="s">
        <v>283</v>
      </c>
      <c r="F12" t="s">
        <v>281</v>
      </c>
      <c r="G12" t="s">
        <v>282</v>
      </c>
    </row>
    <row r="13" spans="2:7" x14ac:dyDescent="0.6">
      <c r="B13">
        <v>2030</v>
      </c>
      <c r="C13" s="22">
        <v>2030</v>
      </c>
      <c r="D13" s="23">
        <v>8</v>
      </c>
      <c r="E13" t="s">
        <v>284</v>
      </c>
      <c r="F13" t="s">
        <v>281</v>
      </c>
      <c r="G13" t="s">
        <v>282</v>
      </c>
    </row>
    <row r="14" spans="2:7" x14ac:dyDescent="0.6">
      <c r="B14">
        <v>2030</v>
      </c>
      <c r="C14" s="22">
        <v>2030</v>
      </c>
      <c r="D14" s="23">
        <v>7.16</v>
      </c>
      <c r="E14" t="s">
        <v>285</v>
      </c>
      <c r="F14" t="s">
        <v>281</v>
      </c>
      <c r="G14" t="s">
        <v>282</v>
      </c>
    </row>
    <row r="15" spans="2:7" x14ac:dyDescent="0.6">
      <c r="B15">
        <v>2030</v>
      </c>
      <c r="C15" s="22">
        <v>2030</v>
      </c>
      <c r="D15" s="23">
        <v>6.43</v>
      </c>
      <c r="E15" t="s">
        <v>286</v>
      </c>
      <c r="F15" t="s">
        <v>281</v>
      </c>
      <c r="G15" t="s">
        <v>282</v>
      </c>
    </row>
    <row r="16" spans="2:7" x14ac:dyDescent="0.6">
      <c r="B16" s="21">
        <v>44348</v>
      </c>
      <c r="C16" s="22">
        <f t="shared" si="0"/>
        <v>2021.4965277777778</v>
      </c>
      <c r="D16" s="23">
        <v>1500</v>
      </c>
      <c r="E16" t="s">
        <v>287</v>
      </c>
      <c r="F16" t="s">
        <v>288</v>
      </c>
      <c r="G16" s="20" t="s">
        <v>289</v>
      </c>
    </row>
    <row r="17" spans="2:7" x14ac:dyDescent="0.6">
      <c r="B17" s="21">
        <v>42979</v>
      </c>
      <c r="C17" s="22">
        <f t="shared" si="0"/>
        <v>2017.7465277777778</v>
      </c>
      <c r="D17" s="23">
        <f>19000/0.453592</f>
        <v>41887.86398349177</v>
      </c>
      <c r="E17" t="s">
        <v>290</v>
      </c>
      <c r="F17" t="s">
        <v>291</v>
      </c>
      <c r="G17" s="20" t="s">
        <v>289</v>
      </c>
    </row>
    <row r="18" spans="2:7" x14ac:dyDescent="0.6">
      <c r="B18" s="21">
        <v>43070</v>
      </c>
      <c r="C18" s="22">
        <f t="shared" si="0"/>
        <v>2017.9965277777778</v>
      </c>
      <c r="D18" s="23">
        <f>19000*50%/0.453592</f>
        <v>20943.931991745885</v>
      </c>
      <c r="E18" t="s">
        <v>290</v>
      </c>
      <c r="F18" t="s">
        <v>291</v>
      </c>
      <c r="G18" s="20" t="s">
        <v>289</v>
      </c>
    </row>
    <row r="19" spans="2:7" x14ac:dyDescent="0.6">
      <c r="B19" s="21">
        <v>44228</v>
      </c>
      <c r="C19" s="22">
        <f t="shared" si="0"/>
        <v>2021.1631944444443</v>
      </c>
      <c r="D19" s="23">
        <v>66</v>
      </c>
      <c r="E19" t="s">
        <v>292</v>
      </c>
      <c r="F19" t="s">
        <v>293</v>
      </c>
      <c r="G19" s="20" t="s">
        <v>289</v>
      </c>
    </row>
    <row r="20" spans="2:7" x14ac:dyDescent="0.6">
      <c r="B20" s="21">
        <v>42401</v>
      </c>
      <c r="C20" s="22">
        <f t="shared" si="0"/>
        <v>2016.1631944444443</v>
      </c>
      <c r="D20" s="23">
        <v>40000</v>
      </c>
      <c r="E20" t="s">
        <v>294</v>
      </c>
      <c r="F20" t="s">
        <v>277</v>
      </c>
      <c r="G20" s="20" t="s">
        <v>289</v>
      </c>
    </row>
    <row r="21" spans="2:7" x14ac:dyDescent="0.6">
      <c r="B21" s="21">
        <v>42401</v>
      </c>
      <c r="C21" s="22">
        <f t="shared" si="0"/>
        <v>2016.1631944444443</v>
      </c>
      <c r="D21" s="23">
        <v>20000</v>
      </c>
      <c r="E21" t="s">
        <v>294</v>
      </c>
      <c r="F21" t="s">
        <v>293</v>
      </c>
      <c r="G21" s="20" t="s">
        <v>289</v>
      </c>
    </row>
    <row r="22" spans="2:7" x14ac:dyDescent="0.6">
      <c r="B22" s="21">
        <v>42887</v>
      </c>
      <c r="C22" s="22">
        <f t="shared" si="0"/>
        <v>2017.4965277777778</v>
      </c>
      <c r="D22" s="23">
        <v>5280</v>
      </c>
      <c r="E22" t="s">
        <v>294</v>
      </c>
      <c r="F22" t="s">
        <v>277</v>
      </c>
      <c r="G22" s="20" t="s">
        <v>289</v>
      </c>
    </row>
    <row r="23" spans="2:7" x14ac:dyDescent="0.6">
      <c r="B23" s="21">
        <v>43132</v>
      </c>
      <c r="C23" s="22">
        <f t="shared" si="0"/>
        <v>2018.1631944444443</v>
      </c>
      <c r="D23" s="23">
        <f>1700/0.453592</f>
        <v>3747.8615143124216</v>
      </c>
      <c r="E23" t="s">
        <v>294</v>
      </c>
      <c r="F23" t="s">
        <v>277</v>
      </c>
      <c r="G23" s="20" t="s">
        <v>295</v>
      </c>
    </row>
    <row r="24" spans="2:7" x14ac:dyDescent="0.6">
      <c r="B24" s="21">
        <v>43252</v>
      </c>
      <c r="C24" s="22">
        <f t="shared" si="0"/>
        <v>2018.4965277777778</v>
      </c>
      <c r="D24" s="23">
        <v>870000</v>
      </c>
      <c r="E24" t="s">
        <v>296</v>
      </c>
      <c r="F24" t="s">
        <v>15</v>
      </c>
      <c r="G24" t="s">
        <v>297</v>
      </c>
    </row>
    <row r="25" spans="2:7" x14ac:dyDescent="0.6">
      <c r="B25" s="21">
        <v>43617</v>
      </c>
      <c r="C25" s="22">
        <f t="shared" si="0"/>
        <v>2019.4965277777778</v>
      </c>
      <c r="D25" s="23">
        <v>690000</v>
      </c>
      <c r="E25" t="s">
        <v>296</v>
      </c>
      <c r="F25" t="s">
        <v>15</v>
      </c>
      <c r="G25" t="s">
        <v>297</v>
      </c>
    </row>
    <row r="26" spans="2:7" x14ac:dyDescent="0.6">
      <c r="B26" s="21">
        <v>44348</v>
      </c>
      <c r="C26" s="22">
        <f t="shared" si="0"/>
        <v>2021.4965277777778</v>
      </c>
      <c r="D26" s="23">
        <v>600</v>
      </c>
      <c r="E26" t="s">
        <v>296</v>
      </c>
      <c r="F26" t="s">
        <v>15</v>
      </c>
      <c r="G26" t="s">
        <v>297</v>
      </c>
    </row>
    <row r="27" spans="2:7" x14ac:dyDescent="0.6">
      <c r="B27" s="21">
        <v>45444</v>
      </c>
      <c r="C27" s="22">
        <f t="shared" si="0"/>
        <v>2024.4965277777778</v>
      </c>
      <c r="D27" s="23">
        <v>100</v>
      </c>
      <c r="E27" t="s">
        <v>296</v>
      </c>
      <c r="F27" t="s">
        <v>15</v>
      </c>
      <c r="G27" t="s">
        <v>297</v>
      </c>
    </row>
    <row r="28" spans="2:7" x14ac:dyDescent="0.6">
      <c r="B28" s="21">
        <v>44713</v>
      </c>
      <c r="C28" s="22">
        <f t="shared" si="0"/>
        <v>2022.4965277777778</v>
      </c>
      <c r="D28" s="23">
        <v>10</v>
      </c>
      <c r="E28" t="s">
        <v>298</v>
      </c>
      <c r="F28" t="s">
        <v>15</v>
      </c>
      <c r="G28" t="s">
        <v>297</v>
      </c>
    </row>
    <row r="29" spans="2:7" x14ac:dyDescent="0.6">
      <c r="B29" s="21">
        <v>42887</v>
      </c>
      <c r="C29" s="22">
        <f t="shared" si="0"/>
        <v>2017.4965277777778</v>
      </c>
      <c r="D29" s="23">
        <v>1615</v>
      </c>
      <c r="E29" t="s">
        <v>299</v>
      </c>
      <c r="F29" t="s">
        <v>15</v>
      </c>
      <c r="G29" t="s">
        <v>297</v>
      </c>
    </row>
    <row r="30" spans="2:7" x14ac:dyDescent="0.6">
      <c r="B30" s="21">
        <v>43252</v>
      </c>
      <c r="C30" s="22">
        <f t="shared" si="0"/>
        <v>2018.4965277777778</v>
      </c>
      <c r="D30" s="23">
        <v>2410</v>
      </c>
      <c r="E30" t="s">
        <v>299</v>
      </c>
      <c r="F30" t="s">
        <v>15</v>
      </c>
      <c r="G30" t="s">
        <v>297</v>
      </c>
    </row>
    <row r="31" spans="2:7" x14ac:dyDescent="0.6">
      <c r="B31" s="21">
        <v>43617</v>
      </c>
      <c r="C31" s="22">
        <f t="shared" si="0"/>
        <v>2019.4965277777778</v>
      </c>
      <c r="D31" s="23">
        <v>525</v>
      </c>
      <c r="E31" t="s">
        <v>299</v>
      </c>
      <c r="F31" t="s">
        <v>15</v>
      </c>
      <c r="G31" t="s">
        <v>297</v>
      </c>
    </row>
    <row r="32" spans="2:7" x14ac:dyDescent="0.6">
      <c r="B32" s="21">
        <v>43983</v>
      </c>
      <c r="C32" s="22">
        <f t="shared" si="0"/>
        <v>2020.4965277777778</v>
      </c>
      <c r="D32" s="23">
        <v>555</v>
      </c>
      <c r="E32" t="s">
        <v>299</v>
      </c>
      <c r="F32" t="s">
        <v>15</v>
      </c>
      <c r="G32" t="s">
        <v>297</v>
      </c>
    </row>
    <row r="33" spans="2:7" x14ac:dyDescent="0.6">
      <c r="B33" s="21">
        <v>44348</v>
      </c>
      <c r="C33" s="22">
        <f t="shared" si="0"/>
        <v>2021.4965277777778</v>
      </c>
      <c r="D33" s="23">
        <v>165</v>
      </c>
      <c r="E33" t="s">
        <v>299</v>
      </c>
      <c r="F33" t="s">
        <v>15</v>
      </c>
      <c r="G33" t="s">
        <v>297</v>
      </c>
    </row>
    <row r="34" spans="2:7" x14ac:dyDescent="0.6">
      <c r="B34" s="21">
        <v>44713</v>
      </c>
      <c r="C34" s="22">
        <f t="shared" si="0"/>
        <v>2022.4965277777778</v>
      </c>
      <c r="D34" s="23">
        <v>34</v>
      </c>
      <c r="E34" t="s">
        <v>299</v>
      </c>
      <c r="F34" t="s">
        <v>15</v>
      </c>
      <c r="G34" t="s">
        <v>297</v>
      </c>
    </row>
    <row r="35" spans="2:7" x14ac:dyDescent="0.6">
      <c r="B35" s="21">
        <v>44713</v>
      </c>
      <c r="C35" s="22">
        <f t="shared" si="0"/>
        <v>2022.4965277777778</v>
      </c>
      <c r="D35" s="23">
        <v>2100</v>
      </c>
      <c r="E35" t="s">
        <v>300</v>
      </c>
      <c r="F35" t="s">
        <v>15</v>
      </c>
      <c r="G35" t="s">
        <v>297</v>
      </c>
    </row>
    <row r="36" spans="2:7" x14ac:dyDescent="0.6">
      <c r="B36" s="21">
        <v>44713</v>
      </c>
      <c r="C36" s="22">
        <f t="shared" si="0"/>
        <v>2022.4965277777778</v>
      </c>
      <c r="D36" s="23">
        <v>10</v>
      </c>
      <c r="E36" t="s">
        <v>301</v>
      </c>
      <c r="F36" t="s">
        <v>15</v>
      </c>
      <c r="G36" t="s">
        <v>297</v>
      </c>
    </row>
    <row r="37" spans="2:7" x14ac:dyDescent="0.6">
      <c r="B37" s="21">
        <v>43617</v>
      </c>
      <c r="C37" s="22">
        <f t="shared" si="0"/>
        <v>2019.4965277777778</v>
      </c>
      <c r="D37">
        <v>40000</v>
      </c>
      <c r="E37" t="s">
        <v>302</v>
      </c>
      <c r="F37" t="s">
        <v>277</v>
      </c>
      <c r="G37" t="s">
        <v>303</v>
      </c>
    </row>
  </sheetData>
  <autoFilter ref="B5:G5" xr:uid="{D46AB316-FA2B-4566-A878-EA958468BFB9}"/>
  <hyperlinks>
    <hyperlink ref="G6" r:id="rId1" xr:uid="{4D77542C-E42E-48D0-86D5-719C1C599F84}"/>
    <hyperlink ref="G7" r:id="rId2" display="https://www.maastrichtuniversity.nl/news/what%E2%80%99s-been-going-%E2%80%98hamburger-professor%E2%80%99" xr:uid="{C693C8DB-A4E3-493D-9EC6-B0F930E68B3C}"/>
    <hyperlink ref="G16" r:id="rId3" xr:uid="{1C2B131B-9AC8-42B2-AEDA-73BD164B97AD}"/>
    <hyperlink ref="G17" r:id="rId4" xr:uid="{C6540CA0-9EAF-4D83-93AA-4523A899E4D8}"/>
    <hyperlink ref="G18" r:id="rId5" xr:uid="{8F6DB6B2-B333-4864-8AD5-ABD5CB8B7327}"/>
    <hyperlink ref="G19" r:id="rId6" xr:uid="{DF54D4AD-374D-4F0D-A837-958BD794949B}"/>
    <hyperlink ref="G20" r:id="rId7" xr:uid="{B07859E7-7878-4A87-87B7-41CE091643FB}"/>
    <hyperlink ref="G21" r:id="rId8" xr:uid="{68B373C5-423A-47D3-96CB-427618D2CCFE}"/>
    <hyperlink ref="G22" r:id="rId9" xr:uid="{694D528F-1894-4F7C-9F6B-A7EA1DD9BF6C}"/>
    <hyperlink ref="G23" r:id="rId10" xr:uid="{F526C8CA-F858-4B99-B48E-1D7909F9CA6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34CCE-C2C1-4463-8284-64B417A05551}">
  <dimension ref="B2:Q47"/>
  <sheetViews>
    <sheetView showGridLines="0" workbookViewId="0">
      <selection activeCell="A2" sqref="A2"/>
    </sheetView>
  </sheetViews>
  <sheetFormatPr defaultRowHeight="14.2" x14ac:dyDescent="0.6"/>
  <cols>
    <col min="1" max="1" width="3.09765625" customWidth="1"/>
  </cols>
  <sheetData>
    <row r="2" spans="2:17" x14ac:dyDescent="0.6">
      <c r="B2" s="2" t="s">
        <v>203</v>
      </c>
    </row>
    <row r="3" spans="2:17" x14ac:dyDescent="0.6">
      <c r="B3" s="16" t="s">
        <v>384</v>
      </c>
      <c r="C3" s="15"/>
      <c r="D3" s="15"/>
      <c r="E3" s="15"/>
      <c r="F3" s="15"/>
      <c r="G3" s="15"/>
      <c r="H3" s="15"/>
      <c r="I3" s="15"/>
      <c r="J3" s="15"/>
      <c r="K3" s="15"/>
      <c r="L3" s="15"/>
      <c r="M3" s="15"/>
      <c r="N3" s="15"/>
      <c r="O3" s="15"/>
      <c r="P3" s="15"/>
      <c r="Q3" s="15"/>
    </row>
    <row r="4" spans="2:17" x14ac:dyDescent="0.6">
      <c r="B4" s="27" t="s">
        <v>273</v>
      </c>
    </row>
    <row r="6" spans="2:17" x14ac:dyDescent="0.6">
      <c r="B6" s="17" t="s">
        <v>204</v>
      </c>
      <c r="C6" s="17" t="s">
        <v>205</v>
      </c>
      <c r="D6" s="17" t="s">
        <v>206</v>
      </c>
      <c r="E6" s="17" t="s">
        <v>207</v>
      </c>
      <c r="F6" s="17" t="s">
        <v>208</v>
      </c>
      <c r="G6" s="17" t="s">
        <v>209</v>
      </c>
      <c r="H6" s="17" t="s">
        <v>210</v>
      </c>
      <c r="I6" s="17" t="s">
        <v>211</v>
      </c>
      <c r="J6" s="17" t="s">
        <v>212</v>
      </c>
      <c r="K6" s="17" t="s">
        <v>213</v>
      </c>
      <c r="L6" s="17" t="s">
        <v>214</v>
      </c>
      <c r="M6" s="17" t="s">
        <v>215</v>
      </c>
      <c r="N6" s="17" t="s">
        <v>216</v>
      </c>
      <c r="O6" s="17" t="s">
        <v>217</v>
      </c>
      <c r="P6" s="17" t="s">
        <v>218</v>
      </c>
      <c r="Q6" s="17" t="s">
        <v>219</v>
      </c>
    </row>
    <row r="7" spans="2:17" x14ac:dyDescent="0.6">
      <c r="B7" t="s">
        <v>220</v>
      </c>
      <c r="C7" t="s">
        <v>221</v>
      </c>
      <c r="D7" s="19" t="s">
        <v>222</v>
      </c>
      <c r="E7" t="s">
        <v>223</v>
      </c>
      <c r="F7">
        <v>5532</v>
      </c>
      <c r="G7" t="s">
        <v>224</v>
      </c>
      <c r="H7">
        <v>21111.01</v>
      </c>
      <c r="I7" t="s">
        <v>225</v>
      </c>
      <c r="J7">
        <v>2020</v>
      </c>
      <c r="K7">
        <v>2020</v>
      </c>
      <c r="L7">
        <v>7021</v>
      </c>
      <c r="M7" t="s">
        <v>226</v>
      </c>
      <c r="N7" t="s">
        <v>227</v>
      </c>
      <c r="O7">
        <v>8043.4</v>
      </c>
      <c r="P7" t="s">
        <v>228</v>
      </c>
      <c r="Q7" t="s">
        <v>229</v>
      </c>
    </row>
    <row r="8" spans="2:17" x14ac:dyDescent="0.6">
      <c r="B8" t="s">
        <v>220</v>
      </c>
      <c r="C8" t="s">
        <v>221</v>
      </c>
      <c r="D8" s="19" t="s">
        <v>230</v>
      </c>
      <c r="E8" t="s">
        <v>231</v>
      </c>
      <c r="F8">
        <v>5532</v>
      </c>
      <c r="G8" t="s">
        <v>224</v>
      </c>
      <c r="H8">
        <v>21111.01</v>
      </c>
      <c r="I8" t="s">
        <v>225</v>
      </c>
      <c r="J8">
        <v>2020</v>
      </c>
      <c r="K8">
        <v>2020</v>
      </c>
      <c r="L8">
        <v>7021</v>
      </c>
      <c r="M8" t="s">
        <v>226</v>
      </c>
      <c r="N8" t="s">
        <v>227</v>
      </c>
      <c r="O8">
        <v>5005.7</v>
      </c>
      <c r="P8" t="s">
        <v>228</v>
      </c>
      <c r="Q8" t="s">
        <v>229</v>
      </c>
    </row>
    <row r="9" spans="2:17" x14ac:dyDescent="0.6">
      <c r="B9" t="s">
        <v>220</v>
      </c>
      <c r="C9" t="s">
        <v>221</v>
      </c>
      <c r="D9" s="19" t="s">
        <v>232</v>
      </c>
      <c r="E9" t="s">
        <v>233</v>
      </c>
      <c r="F9">
        <v>5532</v>
      </c>
      <c r="G9" t="s">
        <v>224</v>
      </c>
      <c r="H9">
        <v>21111.01</v>
      </c>
      <c r="I9" t="s">
        <v>225</v>
      </c>
      <c r="J9">
        <v>2020</v>
      </c>
      <c r="K9">
        <v>2020</v>
      </c>
      <c r="L9">
        <v>7021</v>
      </c>
      <c r="M9" t="s">
        <v>226</v>
      </c>
      <c r="N9" t="s">
        <v>227</v>
      </c>
      <c r="O9">
        <v>4228.1000000000004</v>
      </c>
      <c r="P9" t="s">
        <v>228</v>
      </c>
      <c r="Q9" t="s">
        <v>229</v>
      </c>
    </row>
    <row r="10" spans="2:17" x14ac:dyDescent="0.6">
      <c r="B10" t="s">
        <v>220</v>
      </c>
      <c r="C10" t="s">
        <v>221</v>
      </c>
      <c r="D10" s="19" t="s">
        <v>234</v>
      </c>
      <c r="E10" t="s">
        <v>235</v>
      </c>
      <c r="F10">
        <v>5532</v>
      </c>
      <c r="G10" t="s">
        <v>224</v>
      </c>
      <c r="H10">
        <v>21111.01</v>
      </c>
      <c r="I10" t="s">
        <v>225</v>
      </c>
      <c r="J10">
        <v>2020</v>
      </c>
      <c r="K10">
        <v>2020</v>
      </c>
      <c r="L10">
        <v>7021</v>
      </c>
      <c r="M10" t="s">
        <v>226</v>
      </c>
      <c r="N10" t="s">
        <v>227</v>
      </c>
      <c r="O10">
        <v>4226.1000000000004</v>
      </c>
      <c r="P10" t="s">
        <v>228</v>
      </c>
      <c r="Q10" t="s">
        <v>229</v>
      </c>
    </row>
    <row r="11" spans="2:17" x14ac:dyDescent="0.6">
      <c r="B11" t="s">
        <v>220</v>
      </c>
      <c r="C11" t="s">
        <v>221</v>
      </c>
      <c r="D11" s="19" t="s">
        <v>236</v>
      </c>
      <c r="E11" t="s">
        <v>237</v>
      </c>
      <c r="F11">
        <v>5532</v>
      </c>
      <c r="G11" t="s">
        <v>224</v>
      </c>
      <c r="H11">
        <v>21111.01</v>
      </c>
      <c r="I11" t="s">
        <v>225</v>
      </c>
      <c r="J11">
        <v>2020</v>
      </c>
      <c r="K11">
        <v>2020</v>
      </c>
      <c r="L11">
        <v>7021</v>
      </c>
      <c r="M11" t="s">
        <v>226</v>
      </c>
      <c r="N11" t="s">
        <v>227</v>
      </c>
      <c r="O11">
        <v>2888.2</v>
      </c>
      <c r="P11" t="s">
        <v>228</v>
      </c>
      <c r="Q11" t="s">
        <v>229</v>
      </c>
    </row>
    <row r="12" spans="2:17" x14ac:dyDescent="0.6">
      <c r="B12" t="s">
        <v>220</v>
      </c>
      <c r="C12" t="s">
        <v>221</v>
      </c>
      <c r="D12" s="19" t="s">
        <v>238</v>
      </c>
      <c r="E12" t="s">
        <v>239</v>
      </c>
      <c r="F12">
        <v>5532</v>
      </c>
      <c r="G12" t="s">
        <v>224</v>
      </c>
      <c r="H12">
        <v>21111.01</v>
      </c>
      <c r="I12" t="s">
        <v>225</v>
      </c>
      <c r="J12">
        <v>2020</v>
      </c>
      <c r="K12">
        <v>2020</v>
      </c>
      <c r="L12">
        <v>7021</v>
      </c>
      <c r="M12" t="s">
        <v>226</v>
      </c>
      <c r="N12" t="s">
        <v>227</v>
      </c>
      <c r="O12">
        <v>2281.3000000000002</v>
      </c>
      <c r="P12" t="s">
        <v>228</v>
      </c>
      <c r="Q12" t="s">
        <v>229</v>
      </c>
    </row>
    <row r="13" spans="2:17" x14ac:dyDescent="0.6">
      <c r="B13" t="s">
        <v>220</v>
      </c>
      <c r="C13" t="s">
        <v>221</v>
      </c>
      <c r="D13" s="19" t="s">
        <v>240</v>
      </c>
      <c r="E13" t="s">
        <v>241</v>
      </c>
      <c r="F13">
        <v>5532</v>
      </c>
      <c r="G13" t="s">
        <v>224</v>
      </c>
      <c r="H13">
        <v>21111.01</v>
      </c>
      <c r="I13" t="s">
        <v>225</v>
      </c>
      <c r="J13">
        <v>2020</v>
      </c>
      <c r="K13">
        <v>2020</v>
      </c>
      <c r="L13">
        <v>7021</v>
      </c>
      <c r="M13" t="s">
        <v>226</v>
      </c>
      <c r="N13" t="s">
        <v>227</v>
      </c>
      <c r="O13">
        <v>11464.8</v>
      </c>
      <c r="P13" t="s">
        <v>228</v>
      </c>
      <c r="Q13" t="s">
        <v>229</v>
      </c>
    </row>
    <row r="14" spans="2:17" x14ac:dyDescent="0.6">
      <c r="B14" t="s">
        <v>220</v>
      </c>
      <c r="C14" t="s">
        <v>221</v>
      </c>
      <c r="D14">
        <v>132</v>
      </c>
      <c r="E14" t="s">
        <v>242</v>
      </c>
      <c r="F14">
        <v>5532</v>
      </c>
      <c r="G14" t="s">
        <v>224</v>
      </c>
      <c r="H14">
        <v>21111.01</v>
      </c>
      <c r="I14" t="s">
        <v>225</v>
      </c>
      <c r="J14">
        <v>2020</v>
      </c>
      <c r="K14">
        <v>2020</v>
      </c>
      <c r="L14">
        <v>7021</v>
      </c>
      <c r="M14" t="s">
        <v>226</v>
      </c>
      <c r="N14" t="s">
        <v>227</v>
      </c>
      <c r="O14">
        <v>9198.2999999999993</v>
      </c>
      <c r="P14" t="s">
        <v>228</v>
      </c>
      <c r="Q14" t="s">
        <v>229</v>
      </c>
    </row>
    <row r="15" spans="2:17" x14ac:dyDescent="0.6">
      <c r="B15" t="s">
        <v>220</v>
      </c>
      <c r="C15" t="s">
        <v>221</v>
      </c>
      <c r="D15">
        <v>152</v>
      </c>
      <c r="E15" t="s">
        <v>243</v>
      </c>
      <c r="F15">
        <v>5532</v>
      </c>
      <c r="G15" t="s">
        <v>224</v>
      </c>
      <c r="H15">
        <v>21111.01</v>
      </c>
      <c r="I15" t="s">
        <v>225</v>
      </c>
      <c r="J15">
        <v>2020</v>
      </c>
      <c r="K15">
        <v>2020</v>
      </c>
      <c r="L15">
        <v>7021</v>
      </c>
      <c r="M15" t="s">
        <v>226</v>
      </c>
      <c r="N15" t="s">
        <v>227</v>
      </c>
      <c r="O15">
        <v>4146.1000000000004</v>
      </c>
      <c r="P15" t="s">
        <v>228</v>
      </c>
      <c r="Q15" t="s">
        <v>229</v>
      </c>
    </row>
    <row r="16" spans="2:17" x14ac:dyDescent="0.6">
      <c r="B16" t="s">
        <v>220</v>
      </c>
      <c r="C16" t="s">
        <v>221</v>
      </c>
      <c r="D16">
        <v>170</v>
      </c>
      <c r="E16" t="s">
        <v>244</v>
      </c>
      <c r="F16">
        <v>5532</v>
      </c>
      <c r="G16" t="s">
        <v>224</v>
      </c>
      <c r="H16">
        <v>21111.01</v>
      </c>
      <c r="I16" t="s">
        <v>225</v>
      </c>
      <c r="J16">
        <v>2020</v>
      </c>
      <c r="K16">
        <v>2020</v>
      </c>
      <c r="L16">
        <v>7021</v>
      </c>
      <c r="M16" t="s">
        <v>226</v>
      </c>
      <c r="N16" t="s">
        <v>227</v>
      </c>
      <c r="O16">
        <v>6446.3</v>
      </c>
      <c r="P16" t="s">
        <v>228</v>
      </c>
      <c r="Q16" t="s">
        <v>229</v>
      </c>
    </row>
    <row r="17" spans="2:17" x14ac:dyDescent="0.6">
      <c r="B17" t="s">
        <v>220</v>
      </c>
      <c r="C17" t="s">
        <v>221</v>
      </c>
      <c r="D17">
        <v>196</v>
      </c>
      <c r="E17" t="s">
        <v>245</v>
      </c>
      <c r="F17">
        <v>5532</v>
      </c>
      <c r="G17" t="s">
        <v>224</v>
      </c>
      <c r="H17">
        <v>21111.01</v>
      </c>
      <c r="I17" t="s">
        <v>225</v>
      </c>
      <c r="J17">
        <v>2020</v>
      </c>
      <c r="K17">
        <v>2020</v>
      </c>
      <c r="L17">
        <v>7021</v>
      </c>
      <c r="M17" t="s">
        <v>226</v>
      </c>
      <c r="N17" t="s">
        <v>227</v>
      </c>
      <c r="O17">
        <v>2909.5</v>
      </c>
      <c r="P17" t="s">
        <v>228</v>
      </c>
      <c r="Q17" t="s">
        <v>229</v>
      </c>
    </row>
    <row r="18" spans="2:17" x14ac:dyDescent="0.6">
      <c r="B18" t="s">
        <v>220</v>
      </c>
      <c r="C18" t="s">
        <v>221</v>
      </c>
      <c r="D18">
        <v>208</v>
      </c>
      <c r="E18" t="s">
        <v>246</v>
      </c>
      <c r="F18">
        <v>5532</v>
      </c>
      <c r="G18" t="s">
        <v>224</v>
      </c>
      <c r="H18">
        <v>21111.01</v>
      </c>
      <c r="I18" t="s">
        <v>225</v>
      </c>
      <c r="J18">
        <v>2020</v>
      </c>
      <c r="K18">
        <v>2020</v>
      </c>
      <c r="L18">
        <v>7021</v>
      </c>
      <c r="M18" t="s">
        <v>226</v>
      </c>
      <c r="N18" t="s">
        <v>227</v>
      </c>
      <c r="O18">
        <v>3103.1</v>
      </c>
      <c r="P18" t="s">
        <v>228</v>
      </c>
      <c r="Q18" t="s">
        <v>229</v>
      </c>
    </row>
    <row r="19" spans="2:17" x14ac:dyDescent="0.6">
      <c r="B19" t="s">
        <v>220</v>
      </c>
      <c r="C19" t="s">
        <v>221</v>
      </c>
      <c r="D19">
        <v>233</v>
      </c>
      <c r="E19" t="s">
        <v>247</v>
      </c>
      <c r="F19">
        <v>5532</v>
      </c>
      <c r="G19" t="s">
        <v>224</v>
      </c>
      <c r="H19">
        <v>21111.01</v>
      </c>
      <c r="I19" t="s">
        <v>225</v>
      </c>
      <c r="J19">
        <v>2020</v>
      </c>
      <c r="K19">
        <v>2020</v>
      </c>
      <c r="L19">
        <v>7021</v>
      </c>
      <c r="M19" t="s">
        <v>226</v>
      </c>
      <c r="N19" t="s">
        <v>227</v>
      </c>
      <c r="O19">
        <v>2339.6</v>
      </c>
      <c r="P19" t="s">
        <v>228</v>
      </c>
      <c r="Q19" t="s">
        <v>229</v>
      </c>
    </row>
    <row r="20" spans="2:17" x14ac:dyDescent="0.6">
      <c r="B20" t="s">
        <v>220</v>
      </c>
      <c r="C20" t="s">
        <v>221</v>
      </c>
      <c r="D20">
        <v>242</v>
      </c>
      <c r="E20" t="s">
        <v>248</v>
      </c>
      <c r="F20">
        <v>5532</v>
      </c>
      <c r="G20" t="s">
        <v>224</v>
      </c>
      <c r="H20">
        <v>21111.01</v>
      </c>
      <c r="I20" t="s">
        <v>225</v>
      </c>
      <c r="J20">
        <v>2020</v>
      </c>
      <c r="K20">
        <v>2020</v>
      </c>
      <c r="L20">
        <v>7021</v>
      </c>
      <c r="M20" t="s">
        <v>226</v>
      </c>
      <c r="N20" t="s">
        <v>227</v>
      </c>
      <c r="O20">
        <v>2305.4</v>
      </c>
      <c r="P20" t="s">
        <v>228</v>
      </c>
      <c r="Q20" t="s">
        <v>229</v>
      </c>
    </row>
    <row r="21" spans="2:17" x14ac:dyDescent="0.6">
      <c r="B21" t="s">
        <v>220</v>
      </c>
      <c r="C21" t="s">
        <v>221</v>
      </c>
      <c r="D21">
        <v>246</v>
      </c>
      <c r="E21" t="s">
        <v>51</v>
      </c>
      <c r="F21">
        <v>5532</v>
      </c>
      <c r="G21" t="s">
        <v>224</v>
      </c>
      <c r="H21">
        <v>21111.01</v>
      </c>
      <c r="I21" t="s">
        <v>225</v>
      </c>
      <c r="J21">
        <v>2020</v>
      </c>
      <c r="K21">
        <v>2020</v>
      </c>
      <c r="L21">
        <v>7021</v>
      </c>
      <c r="M21" t="s">
        <v>226</v>
      </c>
      <c r="N21" t="s">
        <v>227</v>
      </c>
      <c r="O21">
        <v>3604.8</v>
      </c>
      <c r="P21" t="s">
        <v>228</v>
      </c>
      <c r="Q21" t="s">
        <v>229</v>
      </c>
    </row>
    <row r="22" spans="2:17" x14ac:dyDescent="0.6">
      <c r="B22" t="s">
        <v>220</v>
      </c>
      <c r="C22" t="s">
        <v>221</v>
      </c>
      <c r="D22">
        <v>250</v>
      </c>
      <c r="E22" t="s">
        <v>249</v>
      </c>
      <c r="F22">
        <v>5532</v>
      </c>
      <c r="G22" t="s">
        <v>224</v>
      </c>
      <c r="H22">
        <v>21111.01</v>
      </c>
      <c r="I22" t="s">
        <v>225</v>
      </c>
      <c r="J22">
        <v>2020</v>
      </c>
      <c r="K22">
        <v>2020</v>
      </c>
      <c r="L22">
        <v>7021</v>
      </c>
      <c r="M22" t="s">
        <v>226</v>
      </c>
      <c r="N22" t="s">
        <v>227</v>
      </c>
      <c r="O22">
        <v>4344</v>
      </c>
      <c r="P22" t="s">
        <v>228</v>
      </c>
      <c r="Q22" t="s">
        <v>229</v>
      </c>
    </row>
    <row r="23" spans="2:17" x14ac:dyDescent="0.6">
      <c r="B23" t="s">
        <v>220</v>
      </c>
      <c r="C23" t="s">
        <v>221</v>
      </c>
      <c r="D23">
        <v>268</v>
      </c>
      <c r="E23" t="s">
        <v>250</v>
      </c>
      <c r="F23">
        <v>5532</v>
      </c>
      <c r="G23" t="s">
        <v>224</v>
      </c>
      <c r="H23">
        <v>21111.01</v>
      </c>
      <c r="I23" t="s">
        <v>225</v>
      </c>
      <c r="J23">
        <v>2020</v>
      </c>
      <c r="K23">
        <v>2020</v>
      </c>
      <c r="L23">
        <v>7021</v>
      </c>
      <c r="M23" t="s">
        <v>226</v>
      </c>
      <c r="N23" t="s">
        <v>227</v>
      </c>
      <c r="O23">
        <v>5416.9</v>
      </c>
      <c r="P23" t="s">
        <v>228</v>
      </c>
      <c r="Q23" t="s">
        <v>229</v>
      </c>
    </row>
    <row r="24" spans="2:17" x14ac:dyDescent="0.6">
      <c r="B24" t="s">
        <v>220</v>
      </c>
      <c r="C24" t="s">
        <v>221</v>
      </c>
      <c r="D24">
        <v>276</v>
      </c>
      <c r="E24" t="s">
        <v>53</v>
      </c>
      <c r="F24">
        <v>5532</v>
      </c>
      <c r="G24" t="s">
        <v>224</v>
      </c>
      <c r="H24">
        <v>21111.01</v>
      </c>
      <c r="I24" t="s">
        <v>225</v>
      </c>
      <c r="J24">
        <v>2020</v>
      </c>
      <c r="K24">
        <v>2020</v>
      </c>
      <c r="L24">
        <v>7021</v>
      </c>
      <c r="M24" t="s">
        <v>226</v>
      </c>
      <c r="N24" t="s">
        <v>227</v>
      </c>
      <c r="O24">
        <v>3613.9</v>
      </c>
      <c r="P24" t="s">
        <v>228</v>
      </c>
      <c r="Q24" t="s">
        <v>229</v>
      </c>
    </row>
    <row r="25" spans="2:17" x14ac:dyDescent="0.6">
      <c r="B25" t="s">
        <v>220</v>
      </c>
      <c r="C25" t="s">
        <v>221</v>
      </c>
      <c r="D25">
        <v>300</v>
      </c>
      <c r="E25" t="s">
        <v>251</v>
      </c>
      <c r="F25">
        <v>5532</v>
      </c>
      <c r="G25" t="s">
        <v>224</v>
      </c>
      <c r="H25">
        <v>21111.01</v>
      </c>
      <c r="I25" t="s">
        <v>225</v>
      </c>
      <c r="J25">
        <v>2020</v>
      </c>
      <c r="K25">
        <v>2020</v>
      </c>
      <c r="L25">
        <v>7021</v>
      </c>
      <c r="M25" t="s">
        <v>226</v>
      </c>
      <c r="N25" t="s">
        <v>227</v>
      </c>
      <c r="O25">
        <v>4180.3999999999996</v>
      </c>
      <c r="P25" t="s">
        <v>228</v>
      </c>
      <c r="Q25" t="s">
        <v>229</v>
      </c>
    </row>
    <row r="26" spans="2:17" x14ac:dyDescent="0.6">
      <c r="B26" t="s">
        <v>220</v>
      </c>
      <c r="C26" t="s">
        <v>221</v>
      </c>
      <c r="D26">
        <v>308</v>
      </c>
      <c r="E26" t="s">
        <v>252</v>
      </c>
      <c r="F26">
        <v>5532</v>
      </c>
      <c r="G26" t="s">
        <v>224</v>
      </c>
      <c r="H26">
        <v>21111.01</v>
      </c>
      <c r="I26" t="s">
        <v>225</v>
      </c>
      <c r="J26">
        <v>2020</v>
      </c>
      <c r="K26">
        <v>2020</v>
      </c>
      <c r="L26">
        <v>7021</v>
      </c>
      <c r="M26" t="s">
        <v>226</v>
      </c>
      <c r="N26" t="s">
        <v>227</v>
      </c>
      <c r="O26">
        <v>7342.1</v>
      </c>
      <c r="P26" t="s">
        <v>228</v>
      </c>
      <c r="Q26" t="s">
        <v>229</v>
      </c>
    </row>
    <row r="27" spans="2:17" x14ac:dyDescent="0.6">
      <c r="B27" t="s">
        <v>220</v>
      </c>
      <c r="C27" t="s">
        <v>221</v>
      </c>
      <c r="D27">
        <v>352</v>
      </c>
      <c r="E27" t="s">
        <v>253</v>
      </c>
      <c r="F27">
        <v>5532</v>
      </c>
      <c r="G27" t="s">
        <v>224</v>
      </c>
      <c r="H27">
        <v>21111.01</v>
      </c>
      <c r="I27" t="s">
        <v>225</v>
      </c>
      <c r="J27">
        <v>2020</v>
      </c>
      <c r="K27">
        <v>2020</v>
      </c>
      <c r="L27">
        <v>7021</v>
      </c>
      <c r="M27" t="s">
        <v>226</v>
      </c>
      <c r="N27" t="s">
        <v>227</v>
      </c>
      <c r="O27">
        <v>4293.3</v>
      </c>
      <c r="P27" t="s">
        <v>228</v>
      </c>
      <c r="Q27" t="s">
        <v>229</v>
      </c>
    </row>
    <row r="28" spans="2:17" x14ac:dyDescent="0.6">
      <c r="B28" t="s">
        <v>220</v>
      </c>
      <c r="C28" t="s">
        <v>221</v>
      </c>
      <c r="D28">
        <v>428</v>
      </c>
      <c r="E28" t="s">
        <v>254</v>
      </c>
      <c r="F28">
        <v>5532</v>
      </c>
      <c r="G28" t="s">
        <v>224</v>
      </c>
      <c r="H28">
        <v>21111.01</v>
      </c>
      <c r="I28" t="s">
        <v>225</v>
      </c>
      <c r="J28">
        <v>2020</v>
      </c>
      <c r="K28">
        <v>2020</v>
      </c>
      <c r="L28">
        <v>7021</v>
      </c>
      <c r="M28" t="s">
        <v>226</v>
      </c>
      <c r="N28" t="s">
        <v>227</v>
      </c>
      <c r="O28">
        <v>2124.5</v>
      </c>
      <c r="P28" t="s">
        <v>228</v>
      </c>
      <c r="Q28" t="s">
        <v>229</v>
      </c>
    </row>
    <row r="29" spans="2:17" x14ac:dyDescent="0.6">
      <c r="B29" t="s">
        <v>220</v>
      </c>
      <c r="C29" t="s">
        <v>221</v>
      </c>
      <c r="D29">
        <v>442</v>
      </c>
      <c r="E29" t="s">
        <v>255</v>
      </c>
      <c r="F29">
        <v>5532</v>
      </c>
      <c r="G29" t="s">
        <v>224</v>
      </c>
      <c r="H29">
        <v>21111.01</v>
      </c>
      <c r="I29" t="s">
        <v>225</v>
      </c>
      <c r="J29">
        <v>2020</v>
      </c>
      <c r="K29">
        <v>2020</v>
      </c>
      <c r="L29">
        <v>7021</v>
      </c>
      <c r="M29" t="s">
        <v>226</v>
      </c>
      <c r="N29" t="s">
        <v>227</v>
      </c>
      <c r="O29">
        <v>4146.2</v>
      </c>
      <c r="P29" t="s">
        <v>228</v>
      </c>
      <c r="Q29" t="s">
        <v>229</v>
      </c>
    </row>
    <row r="30" spans="2:17" x14ac:dyDescent="0.6">
      <c r="B30" t="s">
        <v>220</v>
      </c>
      <c r="C30" t="s">
        <v>221</v>
      </c>
      <c r="D30">
        <v>470</v>
      </c>
      <c r="E30" t="s">
        <v>256</v>
      </c>
      <c r="F30">
        <v>5532</v>
      </c>
      <c r="G30" t="s">
        <v>224</v>
      </c>
      <c r="H30">
        <v>21111.01</v>
      </c>
      <c r="I30" t="s">
        <v>225</v>
      </c>
      <c r="J30">
        <v>2020</v>
      </c>
      <c r="K30">
        <v>2020</v>
      </c>
      <c r="L30">
        <v>7021</v>
      </c>
      <c r="M30" t="s">
        <v>226</v>
      </c>
      <c r="N30" t="s">
        <v>227</v>
      </c>
      <c r="O30">
        <v>3413.8</v>
      </c>
      <c r="P30" t="s">
        <v>228</v>
      </c>
      <c r="Q30" t="s">
        <v>229</v>
      </c>
    </row>
    <row r="31" spans="2:17" x14ac:dyDescent="0.6">
      <c r="B31" t="s">
        <v>220</v>
      </c>
      <c r="C31" t="s">
        <v>221</v>
      </c>
      <c r="D31">
        <v>480</v>
      </c>
      <c r="E31" t="s">
        <v>257</v>
      </c>
      <c r="F31">
        <v>5532</v>
      </c>
      <c r="G31" t="s">
        <v>224</v>
      </c>
      <c r="H31">
        <v>21111.01</v>
      </c>
      <c r="I31" t="s">
        <v>225</v>
      </c>
      <c r="J31">
        <v>2020</v>
      </c>
      <c r="K31">
        <v>2020</v>
      </c>
      <c r="L31">
        <v>7021</v>
      </c>
      <c r="M31" t="s">
        <v>226</v>
      </c>
      <c r="N31" t="s">
        <v>227</v>
      </c>
      <c r="O31">
        <v>6238</v>
      </c>
      <c r="P31" t="s">
        <v>228</v>
      </c>
      <c r="Q31" t="s">
        <v>229</v>
      </c>
    </row>
    <row r="32" spans="2:17" x14ac:dyDescent="0.6">
      <c r="B32" t="s">
        <v>220</v>
      </c>
      <c r="C32" t="s">
        <v>221</v>
      </c>
      <c r="D32">
        <v>484</v>
      </c>
      <c r="E32" t="s">
        <v>258</v>
      </c>
      <c r="F32">
        <v>5532</v>
      </c>
      <c r="G32" t="s">
        <v>224</v>
      </c>
      <c r="H32">
        <v>21111.01</v>
      </c>
      <c r="I32" t="s">
        <v>225</v>
      </c>
      <c r="J32">
        <v>2020</v>
      </c>
      <c r="K32">
        <v>2020</v>
      </c>
      <c r="L32">
        <v>7021</v>
      </c>
      <c r="M32" t="s">
        <v>226</v>
      </c>
      <c r="N32" t="s">
        <v>227</v>
      </c>
      <c r="O32">
        <v>3243.2</v>
      </c>
      <c r="P32" t="s">
        <v>228</v>
      </c>
      <c r="Q32" t="s">
        <v>229</v>
      </c>
    </row>
    <row r="33" spans="2:17" x14ac:dyDescent="0.6">
      <c r="B33" t="s">
        <v>220</v>
      </c>
      <c r="C33" t="s">
        <v>221</v>
      </c>
      <c r="D33">
        <v>578</v>
      </c>
      <c r="E33" t="s">
        <v>259</v>
      </c>
      <c r="F33">
        <v>5532</v>
      </c>
      <c r="G33" t="s">
        <v>224</v>
      </c>
      <c r="H33">
        <v>21111.01</v>
      </c>
      <c r="I33" t="s">
        <v>225</v>
      </c>
      <c r="J33">
        <v>2020</v>
      </c>
      <c r="K33">
        <v>2020</v>
      </c>
      <c r="L33">
        <v>7021</v>
      </c>
      <c r="M33" t="s">
        <v>226</v>
      </c>
      <c r="N33" t="s">
        <v>227</v>
      </c>
      <c r="O33">
        <v>5502.4</v>
      </c>
      <c r="P33" t="s">
        <v>228</v>
      </c>
      <c r="Q33" t="s">
        <v>229</v>
      </c>
    </row>
    <row r="34" spans="2:17" x14ac:dyDescent="0.6">
      <c r="B34" t="s">
        <v>220</v>
      </c>
      <c r="C34" t="s">
        <v>221</v>
      </c>
      <c r="D34">
        <v>275</v>
      </c>
      <c r="E34" t="s">
        <v>260</v>
      </c>
      <c r="F34">
        <v>5532</v>
      </c>
      <c r="G34" t="s">
        <v>224</v>
      </c>
      <c r="H34">
        <v>21111.01</v>
      </c>
      <c r="I34" t="s">
        <v>225</v>
      </c>
      <c r="J34">
        <v>2020</v>
      </c>
      <c r="K34">
        <v>2020</v>
      </c>
      <c r="L34">
        <v>7021</v>
      </c>
      <c r="M34" t="s">
        <v>226</v>
      </c>
      <c r="N34" t="s">
        <v>227</v>
      </c>
      <c r="O34">
        <v>13672.7</v>
      </c>
      <c r="P34" t="s">
        <v>228</v>
      </c>
      <c r="Q34" t="s">
        <v>229</v>
      </c>
    </row>
    <row r="35" spans="2:17" x14ac:dyDescent="0.6">
      <c r="B35" t="s">
        <v>220</v>
      </c>
      <c r="C35" t="s">
        <v>221</v>
      </c>
      <c r="D35">
        <v>634</v>
      </c>
      <c r="E35" t="s">
        <v>261</v>
      </c>
      <c r="F35">
        <v>5532</v>
      </c>
      <c r="G35" t="s">
        <v>224</v>
      </c>
      <c r="H35">
        <v>21111.01</v>
      </c>
      <c r="I35" t="s">
        <v>225</v>
      </c>
      <c r="J35">
        <v>2020</v>
      </c>
      <c r="K35">
        <v>2020</v>
      </c>
      <c r="L35">
        <v>7021</v>
      </c>
      <c r="M35" t="s">
        <v>226</v>
      </c>
      <c r="N35" t="s">
        <v>227</v>
      </c>
      <c r="O35">
        <v>9615.4</v>
      </c>
      <c r="P35" t="s">
        <v>228</v>
      </c>
      <c r="Q35" t="s">
        <v>229</v>
      </c>
    </row>
    <row r="36" spans="2:17" x14ac:dyDescent="0.6">
      <c r="B36" t="s">
        <v>220</v>
      </c>
      <c r="C36" t="s">
        <v>221</v>
      </c>
      <c r="D36">
        <v>642</v>
      </c>
      <c r="E36" t="s">
        <v>262</v>
      </c>
      <c r="F36">
        <v>5532</v>
      </c>
      <c r="G36" t="s">
        <v>224</v>
      </c>
      <c r="H36">
        <v>21111.01</v>
      </c>
      <c r="I36" t="s">
        <v>225</v>
      </c>
      <c r="J36">
        <v>2020</v>
      </c>
      <c r="K36">
        <v>2020</v>
      </c>
      <c r="L36">
        <v>7021</v>
      </c>
      <c r="M36" t="s">
        <v>226</v>
      </c>
      <c r="N36" t="s">
        <v>227</v>
      </c>
      <c r="O36">
        <v>3373</v>
      </c>
      <c r="P36" t="s">
        <v>228</v>
      </c>
      <c r="Q36" t="s">
        <v>229</v>
      </c>
    </row>
    <row r="37" spans="2:17" x14ac:dyDescent="0.6">
      <c r="B37" t="s">
        <v>220</v>
      </c>
      <c r="C37" t="s">
        <v>221</v>
      </c>
      <c r="D37">
        <v>643</v>
      </c>
      <c r="E37" t="s">
        <v>263</v>
      </c>
      <c r="F37">
        <v>5532</v>
      </c>
      <c r="G37" t="s">
        <v>224</v>
      </c>
      <c r="H37">
        <v>21111.01</v>
      </c>
      <c r="I37" t="s">
        <v>225</v>
      </c>
      <c r="J37">
        <v>2020</v>
      </c>
      <c r="K37">
        <v>2020</v>
      </c>
      <c r="L37">
        <v>7021</v>
      </c>
      <c r="M37" t="s">
        <v>226</v>
      </c>
      <c r="N37" t="s">
        <v>227</v>
      </c>
      <c r="O37">
        <v>3750.5</v>
      </c>
      <c r="P37" t="s">
        <v>228</v>
      </c>
      <c r="Q37" t="s">
        <v>229</v>
      </c>
    </row>
    <row r="38" spans="2:17" x14ac:dyDescent="0.6">
      <c r="B38" t="s">
        <v>220</v>
      </c>
      <c r="C38" t="s">
        <v>221</v>
      </c>
      <c r="D38">
        <v>646</v>
      </c>
      <c r="E38" t="s">
        <v>264</v>
      </c>
      <c r="F38">
        <v>5532</v>
      </c>
      <c r="G38" t="s">
        <v>224</v>
      </c>
      <c r="H38">
        <v>21111.01</v>
      </c>
      <c r="I38" t="s">
        <v>225</v>
      </c>
      <c r="J38">
        <v>2020</v>
      </c>
      <c r="K38">
        <v>2020</v>
      </c>
      <c r="L38">
        <v>7021</v>
      </c>
      <c r="M38" t="s">
        <v>226</v>
      </c>
      <c r="N38" t="s">
        <v>227</v>
      </c>
      <c r="O38">
        <v>3184.7</v>
      </c>
      <c r="P38" t="s">
        <v>228</v>
      </c>
      <c r="Q38" t="s">
        <v>229</v>
      </c>
    </row>
    <row r="39" spans="2:17" x14ac:dyDescent="0.6">
      <c r="B39" t="s">
        <v>220</v>
      </c>
      <c r="C39" t="s">
        <v>221</v>
      </c>
      <c r="D39">
        <v>682</v>
      </c>
      <c r="E39" t="s">
        <v>265</v>
      </c>
      <c r="F39">
        <v>5532</v>
      </c>
      <c r="G39" t="s">
        <v>224</v>
      </c>
      <c r="H39">
        <v>21111.01</v>
      </c>
      <c r="I39" t="s">
        <v>225</v>
      </c>
      <c r="J39">
        <v>2020</v>
      </c>
      <c r="K39">
        <v>2020</v>
      </c>
      <c r="L39">
        <v>7021</v>
      </c>
      <c r="M39" t="s">
        <v>226</v>
      </c>
      <c r="N39" t="s">
        <v>227</v>
      </c>
      <c r="O39">
        <v>14866.7</v>
      </c>
      <c r="P39" t="s">
        <v>228</v>
      </c>
      <c r="Q39" t="s">
        <v>229</v>
      </c>
    </row>
    <row r="40" spans="2:17" x14ac:dyDescent="0.6">
      <c r="B40" t="s">
        <v>220</v>
      </c>
      <c r="C40" t="s">
        <v>221</v>
      </c>
      <c r="D40">
        <v>703</v>
      </c>
      <c r="E40" t="s">
        <v>266</v>
      </c>
      <c r="F40">
        <v>5532</v>
      </c>
      <c r="G40" t="s">
        <v>224</v>
      </c>
      <c r="H40">
        <v>21111.01</v>
      </c>
      <c r="I40" t="s">
        <v>225</v>
      </c>
      <c r="J40">
        <v>2020</v>
      </c>
      <c r="K40">
        <v>2020</v>
      </c>
      <c r="L40">
        <v>7021</v>
      </c>
      <c r="M40" t="s">
        <v>226</v>
      </c>
      <c r="N40" t="s">
        <v>227</v>
      </c>
      <c r="O40">
        <v>3527.5</v>
      </c>
      <c r="P40" t="s">
        <v>228</v>
      </c>
      <c r="Q40" t="s">
        <v>229</v>
      </c>
    </row>
    <row r="41" spans="2:17" x14ac:dyDescent="0.6">
      <c r="B41" t="s">
        <v>220</v>
      </c>
      <c r="C41" t="s">
        <v>221</v>
      </c>
      <c r="D41">
        <v>710</v>
      </c>
      <c r="E41" t="s">
        <v>267</v>
      </c>
      <c r="F41">
        <v>5532</v>
      </c>
      <c r="G41" t="s">
        <v>224</v>
      </c>
      <c r="H41">
        <v>21111.01</v>
      </c>
      <c r="I41" t="s">
        <v>225</v>
      </c>
      <c r="J41">
        <v>2020</v>
      </c>
      <c r="K41">
        <v>2020</v>
      </c>
      <c r="L41">
        <v>7021</v>
      </c>
      <c r="M41" t="s">
        <v>226</v>
      </c>
      <c r="N41" t="s">
        <v>227</v>
      </c>
      <c r="O41">
        <v>2950.2</v>
      </c>
      <c r="P41" t="s">
        <v>228</v>
      </c>
      <c r="Q41" t="s">
        <v>229</v>
      </c>
    </row>
    <row r="42" spans="2:17" x14ac:dyDescent="0.6">
      <c r="B42" t="s">
        <v>220</v>
      </c>
      <c r="C42" t="s">
        <v>221</v>
      </c>
      <c r="D42">
        <v>724</v>
      </c>
      <c r="E42" t="s">
        <v>32</v>
      </c>
      <c r="F42">
        <v>5532</v>
      </c>
      <c r="G42" t="s">
        <v>224</v>
      </c>
      <c r="H42">
        <v>21111.01</v>
      </c>
      <c r="I42" t="s">
        <v>225</v>
      </c>
      <c r="J42">
        <v>2020</v>
      </c>
      <c r="K42">
        <v>2020</v>
      </c>
      <c r="L42">
        <v>7021</v>
      </c>
      <c r="M42" t="s">
        <v>226</v>
      </c>
      <c r="N42" t="s">
        <v>227</v>
      </c>
      <c r="O42">
        <v>2460.4</v>
      </c>
      <c r="P42" t="s">
        <v>228</v>
      </c>
      <c r="Q42" t="s">
        <v>229</v>
      </c>
    </row>
    <row r="43" spans="2:17" x14ac:dyDescent="0.6">
      <c r="B43" t="s">
        <v>220</v>
      </c>
      <c r="C43" t="s">
        <v>221</v>
      </c>
      <c r="D43">
        <v>756</v>
      </c>
      <c r="E43" t="s">
        <v>268</v>
      </c>
      <c r="F43">
        <v>5532</v>
      </c>
      <c r="G43" t="s">
        <v>224</v>
      </c>
      <c r="H43">
        <v>21111.01</v>
      </c>
      <c r="I43" t="s">
        <v>225</v>
      </c>
      <c r="J43">
        <v>2020</v>
      </c>
      <c r="K43">
        <v>2020</v>
      </c>
      <c r="L43">
        <v>7021</v>
      </c>
      <c r="M43" t="s">
        <v>226</v>
      </c>
      <c r="N43" t="s">
        <v>227</v>
      </c>
      <c r="O43">
        <v>10532.9</v>
      </c>
      <c r="P43" t="s">
        <v>228</v>
      </c>
      <c r="Q43" t="s">
        <v>229</v>
      </c>
    </row>
    <row r="44" spans="2:17" x14ac:dyDescent="0.6">
      <c r="B44" t="s">
        <v>220</v>
      </c>
      <c r="C44" t="s">
        <v>221</v>
      </c>
      <c r="D44">
        <v>788</v>
      </c>
      <c r="E44" t="s">
        <v>269</v>
      </c>
      <c r="F44">
        <v>5532</v>
      </c>
      <c r="G44" t="s">
        <v>224</v>
      </c>
      <c r="H44">
        <v>21111.01</v>
      </c>
      <c r="I44" t="s">
        <v>225</v>
      </c>
      <c r="J44">
        <v>2020</v>
      </c>
      <c r="K44">
        <v>2020</v>
      </c>
      <c r="L44">
        <v>7021</v>
      </c>
      <c r="M44" t="s">
        <v>226</v>
      </c>
      <c r="N44" t="s">
        <v>227</v>
      </c>
      <c r="O44">
        <v>2915.7</v>
      </c>
      <c r="P44" t="s">
        <v>228</v>
      </c>
      <c r="Q44" t="s">
        <v>229</v>
      </c>
    </row>
    <row r="45" spans="2:17" x14ac:dyDescent="0.6">
      <c r="B45" t="s">
        <v>220</v>
      </c>
      <c r="C45" t="s">
        <v>221</v>
      </c>
      <c r="D45">
        <v>792</v>
      </c>
      <c r="E45" t="s">
        <v>270</v>
      </c>
      <c r="F45">
        <v>5532</v>
      </c>
      <c r="G45" t="s">
        <v>224</v>
      </c>
      <c r="H45">
        <v>21111.01</v>
      </c>
      <c r="I45" t="s">
        <v>225</v>
      </c>
      <c r="J45">
        <v>2020</v>
      </c>
      <c r="K45">
        <v>2020</v>
      </c>
      <c r="L45">
        <v>7021</v>
      </c>
      <c r="M45" t="s">
        <v>226</v>
      </c>
      <c r="N45" t="s">
        <v>227</v>
      </c>
      <c r="O45">
        <v>5088.5</v>
      </c>
      <c r="P45" t="s">
        <v>228</v>
      </c>
      <c r="Q45" t="s">
        <v>229</v>
      </c>
    </row>
    <row r="46" spans="2:17" x14ac:dyDescent="0.6">
      <c r="B46" t="s">
        <v>220</v>
      </c>
      <c r="C46" t="s">
        <v>221</v>
      </c>
      <c r="D46">
        <v>704</v>
      </c>
      <c r="E46" t="s">
        <v>271</v>
      </c>
      <c r="F46">
        <v>5532</v>
      </c>
      <c r="G46" t="s">
        <v>224</v>
      </c>
      <c r="H46">
        <v>21111.01</v>
      </c>
      <c r="I46" t="s">
        <v>225</v>
      </c>
      <c r="J46">
        <v>2020</v>
      </c>
      <c r="K46">
        <v>2020</v>
      </c>
      <c r="L46">
        <v>7021</v>
      </c>
      <c r="M46" t="s">
        <v>226</v>
      </c>
      <c r="N46" t="s">
        <v>227</v>
      </c>
      <c r="O46">
        <v>4423.3</v>
      </c>
      <c r="P46" t="s">
        <v>228</v>
      </c>
      <c r="Q46" t="s">
        <v>229</v>
      </c>
    </row>
    <row r="47" spans="2:17" x14ac:dyDescent="0.6">
      <c r="B47" t="s">
        <v>220</v>
      </c>
      <c r="C47" t="s">
        <v>221</v>
      </c>
      <c r="D47">
        <v>887</v>
      </c>
      <c r="E47" t="s">
        <v>272</v>
      </c>
      <c r="F47">
        <v>5532</v>
      </c>
      <c r="G47" t="s">
        <v>224</v>
      </c>
      <c r="H47">
        <v>21111.01</v>
      </c>
      <c r="I47" t="s">
        <v>225</v>
      </c>
      <c r="J47">
        <v>2020</v>
      </c>
      <c r="K47">
        <v>2020</v>
      </c>
      <c r="L47">
        <v>7021</v>
      </c>
      <c r="M47" t="s">
        <v>226</v>
      </c>
      <c r="N47" t="s">
        <v>227</v>
      </c>
      <c r="O47">
        <v>3446.8</v>
      </c>
      <c r="P47" t="s">
        <v>228</v>
      </c>
      <c r="Q47" t="s">
        <v>229</v>
      </c>
    </row>
  </sheetData>
  <autoFilter ref="B6:Q6" xr:uid="{62134CCE-C2C1-4463-8284-64B417A0555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376A9-303F-4550-A11B-CBBD7000E4E7}">
  <dimension ref="B2:AF40"/>
  <sheetViews>
    <sheetView showGridLines="0" workbookViewId="0">
      <selection activeCell="A2" sqref="A2"/>
    </sheetView>
  </sheetViews>
  <sheetFormatPr defaultRowHeight="14.2" x14ac:dyDescent="0.6"/>
  <cols>
    <col min="1" max="1" width="3.09765625" customWidth="1"/>
    <col min="2" max="2" width="27.546875" customWidth="1"/>
  </cols>
  <sheetData>
    <row r="2" spans="2:32" x14ac:dyDescent="0.6">
      <c r="B2" s="2" t="s">
        <v>201</v>
      </c>
    </row>
    <row r="3" spans="2:32" x14ac:dyDescent="0.6">
      <c r="B3" s="16" t="s">
        <v>384</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row>
    <row r="5" spans="2:32" ht="28.65" customHeight="1" x14ac:dyDescent="0.6">
      <c r="B5" s="15"/>
      <c r="C5" s="54" t="s">
        <v>28</v>
      </c>
      <c r="D5" s="54"/>
      <c r="E5" s="54"/>
      <c r="F5" s="54" t="s">
        <v>199</v>
      </c>
      <c r="G5" s="54"/>
      <c r="H5" s="55" t="s">
        <v>121</v>
      </c>
      <c r="I5" s="55"/>
      <c r="J5" s="55"/>
      <c r="K5" s="55"/>
      <c r="L5" s="55"/>
      <c r="M5" s="55"/>
      <c r="N5" s="55"/>
      <c r="O5" s="55"/>
      <c r="P5" s="55"/>
      <c r="Q5" s="55"/>
      <c r="R5" s="55"/>
      <c r="S5" s="55"/>
      <c r="T5" s="55"/>
      <c r="U5" s="55"/>
      <c r="V5" s="55"/>
      <c r="W5" s="55"/>
      <c r="X5" s="55"/>
      <c r="Y5" s="55"/>
      <c r="Z5" s="55"/>
      <c r="AA5" s="55"/>
      <c r="AB5" s="55"/>
      <c r="AC5" s="55"/>
      <c r="AD5" s="55"/>
      <c r="AE5" s="55"/>
      <c r="AF5" s="55"/>
    </row>
    <row r="6" spans="2:32" ht="42.55" x14ac:dyDescent="0.6">
      <c r="B6" s="14" t="s">
        <v>13</v>
      </c>
      <c r="C6" s="12" t="s">
        <v>174</v>
      </c>
      <c r="D6" s="12" t="s">
        <v>12</v>
      </c>
      <c r="E6" s="12" t="s">
        <v>175</v>
      </c>
      <c r="F6" s="12" t="s">
        <v>173</v>
      </c>
      <c r="G6" s="12" t="s">
        <v>170</v>
      </c>
      <c r="H6" s="13">
        <v>1</v>
      </c>
      <c r="I6" s="13">
        <v>2</v>
      </c>
      <c r="J6" s="13">
        <v>3</v>
      </c>
      <c r="K6" s="13">
        <v>4</v>
      </c>
      <c r="L6" s="13">
        <v>5</v>
      </c>
      <c r="M6" s="13">
        <v>6</v>
      </c>
      <c r="N6" s="13">
        <v>7</v>
      </c>
      <c r="O6" s="13">
        <v>8</v>
      </c>
      <c r="P6" s="13">
        <v>9</v>
      </c>
      <c r="Q6" s="13">
        <v>10</v>
      </c>
      <c r="R6" s="13">
        <v>11</v>
      </c>
      <c r="S6" s="13">
        <v>12</v>
      </c>
      <c r="T6" s="13">
        <v>13</v>
      </c>
      <c r="U6" s="13">
        <v>14</v>
      </c>
      <c r="V6" s="13">
        <v>15</v>
      </c>
      <c r="W6" s="13">
        <v>16</v>
      </c>
      <c r="X6" s="13">
        <v>17</v>
      </c>
      <c r="Y6" s="13">
        <v>18</v>
      </c>
      <c r="Z6" s="13">
        <v>19</v>
      </c>
      <c r="AA6" s="13">
        <v>20</v>
      </c>
      <c r="AB6" s="13">
        <v>21</v>
      </c>
      <c r="AC6" s="13">
        <v>22</v>
      </c>
      <c r="AD6" s="13">
        <v>23</v>
      </c>
      <c r="AE6" s="13">
        <v>24</v>
      </c>
      <c r="AF6" s="13">
        <v>25</v>
      </c>
    </row>
    <row r="7" spans="2:32" ht="16.399999999999999" x14ac:dyDescent="0.8">
      <c r="B7" t="s">
        <v>194</v>
      </c>
      <c r="C7" s="8">
        <f>IF(H7="-","-",MIN(H7:AF7))</f>
        <v>3.5665294924554177E-3</v>
      </c>
      <c r="D7" s="9">
        <f t="shared" ref="D7" si="0">IF(H7="-","-",AVERAGE(H7:AF7))</f>
        <v>4.3832647462277085E-3</v>
      </c>
      <c r="E7" s="8">
        <f>IF(H7="-","-",MAX(H7:AF7))</f>
        <v>5.1999999999999998E-3</v>
      </c>
      <c r="F7" s="6">
        <f>D7/28.5-100%</f>
        <v>-0.99984620123697443</v>
      </c>
      <c r="G7" s="6">
        <f t="shared" ref="G7:G19" si="1">C7/28.5-100%</f>
        <v>-0.99987485861429981</v>
      </c>
      <c r="H7" s="1" cm="1">
        <f t="array" ref="H7">IFERROR(INDEX('Fig. 3 - Underlying Studies'!$G$7:$G$218/('Fig. 3 - Underlying Studies'!$E$7:$E$218/100),MATCH($B7&amp;H$6,'Fig. 3 - Underlying Studies'!$B$7:$B$218&amp;'Fig. 3 - Underlying Studies'!$C$7:$C$218,0),1),"-")</f>
        <v>3.5665294924554177E-3</v>
      </c>
      <c r="I7" s="1" cm="1">
        <f t="array" ref="I7">IFERROR(INDEX('Fig. 3 - Underlying Studies'!$G$7:$G$218/('Fig. 3 - Underlying Studies'!$E$7:$E$218/100),MATCH($B7&amp;I$6,'Fig. 3 - Underlying Studies'!$B$7:$B$218&amp;'Fig. 3 - Underlying Studies'!$C$7:$C$218,0),1),"-")</f>
        <v>5.1999999999999998E-3</v>
      </c>
      <c r="J7" s="1" t="str" cm="1">
        <f t="array" ref="J7">IFERROR(INDEX('Fig. 3 - Underlying Studies'!$G$7:$G$218/('Fig. 3 - Underlying Studies'!$E$7:$E$218/100),MATCH($B7&amp;J$6,'Fig. 3 - Underlying Studies'!$B$7:$B$218&amp;'Fig. 3 - Underlying Studies'!$C$7:$C$218,0),1),"-")</f>
        <v>-</v>
      </c>
      <c r="K7" s="1" t="str" cm="1">
        <f t="array" ref="K7">IFERROR(INDEX('Fig. 3 - Underlying Studies'!$G$7:$G$218/('Fig. 3 - Underlying Studies'!$E$7:$E$218/100),MATCH($B7&amp;K$6,'Fig. 3 - Underlying Studies'!$B$7:$B$218&amp;'Fig. 3 - Underlying Studies'!$C$7:$C$218,0),1),"-")</f>
        <v>-</v>
      </c>
      <c r="L7" s="1" t="str" cm="1">
        <f t="array" ref="L7">IFERROR(INDEX('Fig. 3 - Underlying Studies'!$G$7:$G$218/('Fig. 3 - Underlying Studies'!$E$7:$E$218/100),MATCH($B7&amp;L$6,'Fig. 3 - Underlying Studies'!$B$7:$B$218&amp;'Fig. 3 - Underlying Studies'!$C$7:$C$218,0),1),"-")</f>
        <v>-</v>
      </c>
      <c r="M7" s="1" t="str" cm="1">
        <f t="array" ref="M7">IFERROR(INDEX('Fig. 3 - Underlying Studies'!$G$7:$G$218/('Fig. 3 - Underlying Studies'!$E$7:$E$218/100),MATCH($B7&amp;M$6,'Fig. 3 - Underlying Studies'!$B$7:$B$218&amp;'Fig. 3 - Underlying Studies'!$C$7:$C$218,0),1),"-")</f>
        <v>-</v>
      </c>
      <c r="N7" s="1" t="str" cm="1">
        <f t="array" ref="N7">IFERROR(INDEX('Fig. 3 - Underlying Studies'!$G$7:$G$218/('Fig. 3 - Underlying Studies'!$E$7:$E$218/100),MATCH($B7&amp;N$6,'Fig. 3 - Underlying Studies'!$B$7:$B$218&amp;'Fig. 3 - Underlying Studies'!$C$7:$C$218,0),1),"-")</f>
        <v>-</v>
      </c>
      <c r="O7" s="1" t="str" cm="1">
        <f t="array" ref="O7">IFERROR(INDEX('Fig. 3 - Underlying Studies'!$G$7:$G$218/('Fig. 3 - Underlying Studies'!$E$7:$E$218/100),MATCH($B7&amp;O$6,'Fig. 3 - Underlying Studies'!$B$7:$B$218&amp;'Fig. 3 - Underlying Studies'!$C$7:$C$218,0),1),"-")</f>
        <v>-</v>
      </c>
      <c r="P7" s="1" t="str" cm="1">
        <f t="array" ref="P7">IFERROR(INDEX('Fig. 3 - Underlying Studies'!$G$7:$G$218/('Fig. 3 - Underlying Studies'!$E$7:$E$218/100),MATCH($B7&amp;P$6,'Fig. 3 - Underlying Studies'!$B$7:$B$218&amp;'Fig. 3 - Underlying Studies'!$C$7:$C$218,0),1),"-")</f>
        <v>-</v>
      </c>
      <c r="Q7" s="1" t="str" cm="1">
        <f t="array" ref="Q7">IFERROR(INDEX('Fig. 3 - Underlying Studies'!$G$7:$G$218/('Fig. 3 - Underlying Studies'!$E$7:$E$218/100),MATCH($B7&amp;Q$6,'Fig. 3 - Underlying Studies'!$B$7:$B$218&amp;'Fig. 3 - Underlying Studies'!$C$7:$C$218,0),1),"-")</f>
        <v>-</v>
      </c>
      <c r="R7" s="1" t="str" cm="1">
        <f t="array" ref="R7">IFERROR(INDEX('Fig. 3 - Underlying Studies'!$G$7:$G$218/('Fig. 3 - Underlying Studies'!$E$7:$E$218/100),MATCH($B7&amp;R$6,'Fig. 3 - Underlying Studies'!$B$7:$B$218&amp;'Fig. 3 - Underlying Studies'!$C$7:$C$218,0),1),"-")</f>
        <v>-</v>
      </c>
      <c r="S7" s="1" t="str" cm="1">
        <f t="array" ref="S7">IFERROR(INDEX('Fig. 3 - Underlying Studies'!$G$7:$G$218/('Fig. 3 - Underlying Studies'!$E$7:$E$218/100),MATCH($B7&amp;S$6,'Fig. 3 - Underlying Studies'!$B$7:$B$218&amp;'Fig. 3 - Underlying Studies'!$C$7:$C$218,0),1),"-")</f>
        <v>-</v>
      </c>
      <c r="T7" s="1" t="str" cm="1">
        <f t="array" ref="T7">IFERROR(INDEX('Fig. 3 - Underlying Studies'!$G$7:$G$218/('Fig. 3 - Underlying Studies'!$E$7:$E$218/100),MATCH($B7&amp;T$6,'Fig. 3 - Underlying Studies'!$B$7:$B$218&amp;'Fig. 3 - Underlying Studies'!$C$7:$C$218,0),1),"-")</f>
        <v>-</v>
      </c>
      <c r="U7" s="1" t="str" cm="1">
        <f t="array" ref="U7">IFERROR(INDEX('Fig. 3 - Underlying Studies'!$G$7:$G$218/('Fig. 3 - Underlying Studies'!$E$7:$E$218/100),MATCH($B7&amp;U$6,'Fig. 3 - Underlying Studies'!$B$7:$B$218&amp;'Fig. 3 - Underlying Studies'!$C$7:$C$218,0),1),"-")</f>
        <v>-</v>
      </c>
      <c r="V7" s="1" t="str" cm="1">
        <f t="array" ref="V7">IFERROR(INDEX('Fig. 3 - Underlying Studies'!$G$7:$G$218/('Fig. 3 - Underlying Studies'!$E$7:$E$218/100),MATCH($B7&amp;V$6,'Fig. 3 - Underlying Studies'!$B$7:$B$218&amp;'Fig. 3 - Underlying Studies'!$C$7:$C$218,0),1),"-")</f>
        <v>-</v>
      </c>
      <c r="W7" s="1" t="str" cm="1">
        <f t="array" ref="W7">IFERROR(INDEX('Fig. 3 - Underlying Studies'!$G$7:$G$218/('Fig. 3 - Underlying Studies'!$E$7:$E$218/100),MATCH($B7&amp;W$6,'Fig. 3 - Underlying Studies'!$B$7:$B$218&amp;'Fig. 3 - Underlying Studies'!$C$7:$C$218,0),1),"-")</f>
        <v>-</v>
      </c>
      <c r="X7" s="1" t="str" cm="1">
        <f t="array" ref="X7">IFERROR(INDEX('Fig. 3 - Underlying Studies'!$G$7:$G$218/('Fig. 3 - Underlying Studies'!$E$7:$E$218/100),MATCH($B7&amp;X$6,'Fig. 3 - Underlying Studies'!$B$7:$B$218&amp;'Fig. 3 - Underlying Studies'!$C$7:$C$218,0),1),"-")</f>
        <v>-</v>
      </c>
      <c r="Y7" s="1" t="str" cm="1">
        <f t="array" ref="Y7">IFERROR(INDEX('Fig. 3 - Underlying Studies'!$G$7:$G$218/('Fig. 3 - Underlying Studies'!$E$7:$E$218/100),MATCH($B7&amp;Y$6,'Fig. 3 - Underlying Studies'!$B$7:$B$218&amp;'Fig. 3 - Underlying Studies'!$C$7:$C$218,0),1),"-")</f>
        <v>-</v>
      </c>
      <c r="Z7" s="1" t="str" cm="1">
        <f t="array" ref="Z7">IFERROR(INDEX('Fig. 3 - Underlying Studies'!$G$7:$G$218/('Fig. 3 - Underlying Studies'!$E$7:$E$218/100),MATCH($B7&amp;Z$6,'Fig. 3 - Underlying Studies'!$B$7:$B$218&amp;'Fig. 3 - Underlying Studies'!$C$7:$C$218,0),1),"-")</f>
        <v>-</v>
      </c>
      <c r="AA7" s="1" t="str" cm="1">
        <f t="array" ref="AA7">IFERROR(INDEX('Fig. 3 - Underlying Studies'!$G$7:$G$218/('Fig. 3 - Underlying Studies'!$E$7:$E$218/100),MATCH($B7&amp;AA$6,'Fig. 3 - Underlying Studies'!$B$7:$B$218&amp;'Fig. 3 - Underlying Studies'!$C$7:$C$218,0),1),"-")</f>
        <v>-</v>
      </c>
      <c r="AB7" s="1" t="str" cm="1">
        <f t="array" ref="AB7">IFERROR(INDEX('Fig. 3 - Underlying Studies'!$G$7:$G$218/('Fig. 3 - Underlying Studies'!$E$7:$E$218/100),MATCH($B7&amp;AB$6,'Fig. 3 - Underlying Studies'!$B$7:$B$218&amp;'Fig. 3 - Underlying Studies'!$C$7:$C$218,0),1),"-")</f>
        <v>-</v>
      </c>
      <c r="AC7" s="1" t="str" cm="1">
        <f t="array" ref="AC7">IFERROR(INDEX('Fig. 3 - Underlying Studies'!$G$7:$G$218/('Fig. 3 - Underlying Studies'!$E$7:$E$218/100),MATCH($B7&amp;AC$6,'Fig. 3 - Underlying Studies'!$B$7:$B$218&amp;'Fig. 3 - Underlying Studies'!$C$7:$C$218,0),1),"-")</f>
        <v>-</v>
      </c>
      <c r="AD7" s="1" t="str" cm="1">
        <f t="array" ref="AD7">IFERROR(INDEX('Fig. 3 - Underlying Studies'!$G$7:$G$218/('Fig. 3 - Underlying Studies'!$E$7:$E$218/100),MATCH($B7&amp;AD$6,'Fig. 3 - Underlying Studies'!$B$7:$B$218&amp;'Fig. 3 - Underlying Studies'!$C$7:$C$218,0),1),"-")</f>
        <v>-</v>
      </c>
      <c r="AE7" s="1" t="str" cm="1">
        <f t="array" ref="AE7">IFERROR(INDEX('Fig. 3 - Underlying Studies'!$G$7:$G$218/('Fig. 3 - Underlying Studies'!$E$7:$E$218/100),MATCH($B7&amp;AE$6,'Fig. 3 - Underlying Studies'!$B$7:$B$218&amp;'Fig. 3 - Underlying Studies'!$C$7:$C$218,0),1),"-")</f>
        <v>-</v>
      </c>
      <c r="AF7" s="1" t="str" cm="1">
        <f t="array" ref="AF7">IFERROR(INDEX('Fig. 3 - Underlying Studies'!$G$7:$G$218/('Fig. 3 - Underlying Studies'!$E$7:$E$218/100),MATCH($B7&amp;AF$6,'Fig. 3 - Underlying Studies'!$B$7:$B$218&amp;'Fig. 3 - Underlying Studies'!$C$7:$C$218,0),1),"-")</f>
        <v>-</v>
      </c>
    </row>
    <row r="8" spans="2:32" ht="16.399999999999999" x14ac:dyDescent="0.8">
      <c r="B8" t="s">
        <v>195</v>
      </c>
      <c r="C8" s="8">
        <f t="shared" ref="C8:C11" si="2">IF(H8="-","-",MIN(H8:AF8))</f>
        <v>1.8450000000000001E-3</v>
      </c>
      <c r="D8" s="10">
        <f t="shared" ref="D8:D14" si="3">IF(H8="-","-",AVERAGE(H8:AF8))</f>
        <v>5.6783243296546201E-2</v>
      </c>
      <c r="E8" s="10">
        <f t="shared" ref="E8:E11" si="4">IF(H8="-","-",MAX(H8:AF8))</f>
        <v>0.38642630769230768</v>
      </c>
      <c r="F8" s="6">
        <f t="shared" ref="F8:F27" si="5">D8/28.5-100%</f>
        <v>-0.99800760549836676</v>
      </c>
      <c r="G8" s="6">
        <f t="shared" si="1"/>
        <v>-0.99993526315789472</v>
      </c>
      <c r="H8" s="1" cm="1">
        <f t="array" ref="H8">IFERROR(INDEX('Fig. 3 - Underlying Studies'!$G$7:$G$218/('Fig. 3 - Underlying Studies'!$E$7:$E$218/100),MATCH($B8&amp;H$6,'Fig. 3 - Underlying Studies'!$B$7:$B$218&amp;'Fig. 3 - Underlying Studies'!$C$7:$C$218,0),1),"-")</f>
        <v>0.38642630769230768</v>
      </c>
      <c r="I8" s="1" cm="1">
        <f t="array" ref="I8">IFERROR(INDEX('Fig. 3 - Underlying Studies'!$G$7:$G$218/('Fig. 3 - Underlying Studies'!$E$7:$E$218/100),MATCH($B8&amp;I$6,'Fig. 3 - Underlying Studies'!$B$7:$B$218&amp;'Fig. 3 - Underlying Studies'!$C$7:$C$218,0),1),"-")</f>
        <v>5.1914615384615385E-2</v>
      </c>
      <c r="J8" s="1" cm="1">
        <f t="array" ref="J8">IFERROR(INDEX('Fig. 3 - Underlying Studies'!$G$7:$G$218/('Fig. 3 - Underlying Studies'!$E$7:$E$218/100),MATCH($B8&amp;J$6,'Fig. 3 - Underlying Studies'!$B$7:$B$218&amp;'Fig. 3 - Underlying Studies'!$C$7:$C$218,0),1),"-")</f>
        <v>2.27301423131425E-2</v>
      </c>
      <c r="K8" s="1" cm="1">
        <f t="array" ref="K8">IFERROR(INDEX('Fig. 3 - Underlying Studies'!$G$7:$G$218/('Fig. 3 - Underlying Studies'!$E$7:$E$218/100),MATCH($B8&amp;K$6,'Fig. 3 - Underlying Studies'!$B$7:$B$218&amp;'Fig. 3 - Underlying Studies'!$C$7:$C$218,0),1),"-")</f>
        <v>4.7009677830983601E-2</v>
      </c>
      <c r="L8" s="1" cm="1">
        <f t="array" ref="L8">IFERROR(INDEX('Fig. 3 - Underlying Studies'!$G$7:$G$218/('Fig. 3 - Underlying Studies'!$E$7:$E$218/100),MATCH($B8&amp;L$6,'Fig. 3 - Underlying Studies'!$B$7:$B$218&amp;'Fig. 3 - Underlying Studies'!$C$7:$C$218,0),1),"-")</f>
        <v>1.45180896861588E-2</v>
      </c>
      <c r="M8" s="1" cm="1">
        <f t="array" ref="M8">IFERROR(INDEX('Fig. 3 - Underlying Studies'!$G$7:$G$218/('Fig. 3 - Underlying Studies'!$E$7:$E$218/100),MATCH($B8&amp;M$6,'Fig. 3 - Underlying Studies'!$B$7:$B$218&amp;'Fig. 3 - Underlying Studies'!$C$7:$C$218,0),1),"-")</f>
        <v>1.90097852878157E-2</v>
      </c>
      <c r="N8" s="1" cm="1">
        <f t="array" ref="N8">IFERROR(INDEX('Fig. 3 - Underlying Studies'!$G$7:$G$218/('Fig. 3 - Underlying Studies'!$E$7:$E$218/100),MATCH($B8&amp;N$6,'Fig. 3 - Underlying Studies'!$B$7:$B$218&amp;'Fig. 3 - Underlying Studies'!$C$7:$C$218,0),1),"-")</f>
        <v>1.8291503522568201E-2</v>
      </c>
      <c r="O8" s="1" cm="1">
        <f t="array" ref="O8">IFERROR(INDEX('Fig. 3 - Underlying Studies'!$G$7:$G$218/('Fig. 3 - Underlying Studies'!$E$7:$E$218/100),MATCH($B8&amp;O$6,'Fig. 3 - Underlying Studies'!$B$7:$B$218&amp;'Fig. 3 - Underlying Studies'!$C$7:$C$218,0),1),"-")</f>
        <v>2.2084393909883902E-2</v>
      </c>
      <c r="P8" s="1" cm="1">
        <f t="array" ref="P8">IFERROR(INDEX('Fig. 3 - Underlying Studies'!$G$7:$G$218/('Fig. 3 - Underlying Studies'!$E$7:$E$218/100),MATCH($B8&amp;P$6,'Fig. 3 - Underlying Studies'!$B$7:$B$218&amp;'Fig. 3 - Underlying Studies'!$C$7:$C$218,0),1),"-")</f>
        <v>1.9106160634532299E-2</v>
      </c>
      <c r="Q8" s="1" cm="1">
        <f t="array" ref="Q8">IFERROR(INDEX('Fig. 3 - Underlying Studies'!$G$7:$G$218/('Fig. 3 - Underlying Studies'!$E$7:$E$218/100),MATCH($B8&amp;Q$6,'Fig. 3 - Underlying Studies'!$B$7:$B$218&amp;'Fig. 3 - Underlying Studies'!$C$7:$C$218,0),1),"-")</f>
        <v>2.1680000000000001E-2</v>
      </c>
      <c r="R8" s="1" cm="1">
        <f t="array" ref="R8">IFERROR(INDEX('Fig. 3 - Underlying Studies'!$G$7:$G$218/('Fig. 3 - Underlying Studies'!$E$7:$E$218/100),MATCH($B8&amp;R$6,'Fig. 3 - Underlying Studies'!$B$7:$B$218&amp;'Fig. 3 - Underlying Studies'!$C$7:$C$218,0),1),"-")</f>
        <v>1.8450000000000001E-3</v>
      </c>
      <c r="S8" s="1" t="str" cm="1">
        <f t="array" ref="S8">IFERROR(INDEX('Fig. 3 - Underlying Studies'!$G$7:$G$218/('Fig. 3 - Underlying Studies'!$E$7:$E$218/100),MATCH($B8&amp;S$6,'Fig. 3 - Underlying Studies'!$B$7:$B$218&amp;'Fig. 3 - Underlying Studies'!$C$7:$C$218,0),1),"-")</f>
        <v>-</v>
      </c>
      <c r="T8" s="1" t="str" cm="1">
        <f t="array" ref="T8">IFERROR(INDEX('Fig. 3 - Underlying Studies'!$G$7:$G$218/('Fig. 3 - Underlying Studies'!$E$7:$E$218/100),MATCH($B8&amp;T$6,'Fig. 3 - Underlying Studies'!$B$7:$B$218&amp;'Fig. 3 - Underlying Studies'!$C$7:$C$218,0),1),"-")</f>
        <v>-</v>
      </c>
      <c r="U8" s="1" t="str" cm="1">
        <f t="array" ref="U8">IFERROR(INDEX('Fig. 3 - Underlying Studies'!$G$7:$G$218/('Fig. 3 - Underlying Studies'!$E$7:$E$218/100),MATCH($B8&amp;U$6,'Fig. 3 - Underlying Studies'!$B$7:$B$218&amp;'Fig. 3 - Underlying Studies'!$C$7:$C$218,0),1),"-")</f>
        <v>-</v>
      </c>
      <c r="V8" s="1" t="str" cm="1">
        <f t="array" ref="V8">IFERROR(INDEX('Fig. 3 - Underlying Studies'!$G$7:$G$218/('Fig. 3 - Underlying Studies'!$E$7:$E$218/100),MATCH($B8&amp;V$6,'Fig. 3 - Underlying Studies'!$B$7:$B$218&amp;'Fig. 3 - Underlying Studies'!$C$7:$C$218,0),1),"-")</f>
        <v>-</v>
      </c>
      <c r="W8" s="1" t="str" cm="1">
        <f t="array" ref="W8">IFERROR(INDEX('Fig. 3 - Underlying Studies'!$G$7:$G$218/('Fig. 3 - Underlying Studies'!$E$7:$E$218/100),MATCH($B8&amp;W$6,'Fig. 3 - Underlying Studies'!$B$7:$B$218&amp;'Fig. 3 - Underlying Studies'!$C$7:$C$218,0),1),"-")</f>
        <v>-</v>
      </c>
      <c r="X8" s="1" t="str" cm="1">
        <f t="array" ref="X8">IFERROR(INDEX('Fig. 3 - Underlying Studies'!$G$7:$G$218/('Fig. 3 - Underlying Studies'!$E$7:$E$218/100),MATCH($B8&amp;X$6,'Fig. 3 - Underlying Studies'!$B$7:$B$218&amp;'Fig. 3 - Underlying Studies'!$C$7:$C$218,0),1),"-")</f>
        <v>-</v>
      </c>
      <c r="Y8" s="1" t="str" cm="1">
        <f t="array" ref="Y8">IFERROR(INDEX('Fig. 3 - Underlying Studies'!$G$7:$G$218/('Fig. 3 - Underlying Studies'!$E$7:$E$218/100),MATCH($B8&amp;Y$6,'Fig. 3 - Underlying Studies'!$B$7:$B$218&amp;'Fig. 3 - Underlying Studies'!$C$7:$C$218,0),1),"-")</f>
        <v>-</v>
      </c>
      <c r="Z8" s="1" t="str" cm="1">
        <f t="array" ref="Z8">IFERROR(INDEX('Fig. 3 - Underlying Studies'!$G$7:$G$218/('Fig. 3 - Underlying Studies'!$E$7:$E$218/100),MATCH($B8&amp;Z$6,'Fig. 3 - Underlying Studies'!$B$7:$B$218&amp;'Fig. 3 - Underlying Studies'!$C$7:$C$218,0),1),"-")</f>
        <v>-</v>
      </c>
      <c r="AA8" s="1" t="str" cm="1">
        <f t="array" ref="AA8">IFERROR(INDEX('Fig. 3 - Underlying Studies'!$G$7:$G$218/('Fig. 3 - Underlying Studies'!$E$7:$E$218/100),MATCH($B8&amp;AA$6,'Fig. 3 - Underlying Studies'!$B$7:$B$218&amp;'Fig. 3 - Underlying Studies'!$C$7:$C$218,0),1),"-")</f>
        <v>-</v>
      </c>
      <c r="AB8" s="1" t="str" cm="1">
        <f t="array" ref="AB8">IFERROR(INDEX('Fig. 3 - Underlying Studies'!$G$7:$G$218/('Fig. 3 - Underlying Studies'!$E$7:$E$218/100),MATCH($B8&amp;AB$6,'Fig. 3 - Underlying Studies'!$B$7:$B$218&amp;'Fig. 3 - Underlying Studies'!$C$7:$C$218,0),1),"-")</f>
        <v>-</v>
      </c>
      <c r="AC8" s="1" t="str" cm="1">
        <f t="array" ref="AC8">IFERROR(INDEX('Fig. 3 - Underlying Studies'!$G$7:$G$218/('Fig. 3 - Underlying Studies'!$E$7:$E$218/100),MATCH($B8&amp;AC$6,'Fig. 3 - Underlying Studies'!$B$7:$B$218&amp;'Fig. 3 - Underlying Studies'!$C$7:$C$218,0),1),"-")</f>
        <v>-</v>
      </c>
      <c r="AD8" s="1" t="str" cm="1">
        <f t="array" ref="AD8">IFERROR(INDEX('Fig. 3 - Underlying Studies'!$G$7:$G$218/('Fig. 3 - Underlying Studies'!$E$7:$E$218/100),MATCH($B8&amp;AD$6,'Fig. 3 - Underlying Studies'!$B$7:$B$218&amp;'Fig. 3 - Underlying Studies'!$C$7:$C$218,0),1),"-")</f>
        <v>-</v>
      </c>
      <c r="AE8" s="1" t="str" cm="1">
        <f t="array" ref="AE8">IFERROR(INDEX('Fig. 3 - Underlying Studies'!$G$7:$G$218/('Fig. 3 - Underlying Studies'!$E$7:$E$218/100),MATCH($B8&amp;AE$6,'Fig. 3 - Underlying Studies'!$B$7:$B$218&amp;'Fig. 3 - Underlying Studies'!$C$7:$C$218,0),1),"-")</f>
        <v>-</v>
      </c>
      <c r="AF8" s="1" t="str" cm="1">
        <f t="array" ref="AF8">IFERROR(INDEX('Fig. 3 - Underlying Studies'!$G$7:$G$218/('Fig. 3 - Underlying Studies'!$E$7:$E$218/100),MATCH($B8&amp;AF$6,'Fig. 3 - Underlying Studies'!$B$7:$B$218&amp;'Fig. 3 - Underlying Studies'!$C$7:$C$218,0),1),"-")</f>
        <v>-</v>
      </c>
    </row>
    <row r="9" spans="2:32" x14ac:dyDescent="0.6">
      <c r="B9" t="s">
        <v>178</v>
      </c>
      <c r="C9" s="11">
        <f>IF(H9="-","-",MIN(H9:AF9))</f>
        <v>5.3333333333333336E-4</v>
      </c>
      <c r="D9" s="10">
        <f t="shared" si="3"/>
        <v>7.9139803395262068E-2</v>
      </c>
      <c r="E9" s="10">
        <f>IF(H9="-","-",MAX(H9:AF9))</f>
        <v>0.28058823529411764</v>
      </c>
      <c r="F9" s="6">
        <f>D9/28.5-100%</f>
        <v>-0.99722316479314865</v>
      </c>
      <c r="G9" s="6">
        <f>C9/28.5-100%</f>
        <v>-0.99998128654970764</v>
      </c>
      <c r="H9" s="1" cm="1">
        <f t="array" ref="H9">IFERROR(INDEX('Fig. 3 - Underlying Studies'!$G$7:$G$218/('Fig. 3 - Underlying Studies'!$E$7:$E$218/100),MATCH($B9&amp;H$6,'Fig. 3 - Underlying Studies'!$B$7:$B$218&amp;'Fig. 3 - Underlying Studies'!$C$7:$C$218,0),1),"-")</f>
        <v>0.28058823529411764</v>
      </c>
      <c r="I9" s="1" cm="1">
        <f t="array" ref="I9">IFERROR(INDEX('Fig. 3 - Underlying Studies'!$G$7:$G$218/('Fig. 3 - Underlying Studies'!$E$7:$E$218/100),MATCH($B9&amp;I$6,'Fig. 3 - Underlying Studies'!$B$7:$B$218&amp;'Fig. 3 - Underlying Studies'!$C$7:$C$218,0),1),"-")</f>
        <v>0.21176470588235294</v>
      </c>
      <c r="J9" s="1" cm="1">
        <f t="array" ref="J9">IFERROR(INDEX('Fig. 3 - Underlying Studies'!$G$7:$G$218/('Fig. 3 - Underlying Studies'!$E$7:$E$218/100),MATCH($B9&amp;J$6,'Fig. 3 - Underlying Studies'!$B$7:$B$218&amp;'Fig. 3 - Underlying Studies'!$C$7:$C$218,0),1),"-")</f>
        <v>1.6470588235294119E-2</v>
      </c>
      <c r="K9" s="1" cm="1">
        <f t="array" ref="K9">IFERROR(INDEX('Fig. 3 - Underlying Studies'!$G$7:$G$218/('Fig. 3 - Underlying Studies'!$E$7:$E$218/100),MATCH($B9&amp;K$6,'Fig. 3 - Underlying Studies'!$B$7:$B$218&amp;'Fig. 3 - Underlying Studies'!$C$7:$C$218,0),1),"-")</f>
        <v>3.2941176470588238E-2</v>
      </c>
      <c r="L9" s="1" cm="1">
        <f t="array" ref="L9">IFERROR(INDEX('Fig. 3 - Underlying Studies'!$G$7:$G$218/('Fig. 3 - Underlying Studies'!$E$7:$E$218/100),MATCH($B9&amp;L$6,'Fig. 3 - Underlying Studies'!$B$7:$B$218&amp;'Fig. 3 - Underlying Studies'!$C$7:$C$218,0),1),"-")</f>
        <v>5.0000000000000001E-3</v>
      </c>
      <c r="M9" s="1" cm="1">
        <f t="array" ref="M9">IFERROR(INDEX('Fig. 3 - Underlying Studies'!$G$7:$G$218/('Fig. 3 - Underlying Studies'!$E$7:$E$218/100),MATCH($B9&amp;M$6,'Fig. 3 - Underlying Studies'!$B$7:$B$218&amp;'Fig. 3 - Underlying Studies'!$C$7:$C$218,0),1),"-")</f>
        <v>6.6805845511482258E-3</v>
      </c>
      <c r="N9" s="1" cm="1">
        <f t="array" ref="N9">IFERROR(INDEX('Fig. 3 - Underlying Studies'!$G$7:$G$218/('Fig. 3 - Underlying Studies'!$E$7:$E$218/100),MATCH($B9&amp;N$6,'Fig. 3 - Underlying Studies'!$B$7:$B$218&amp;'Fig. 3 - Underlying Studies'!$C$7:$C$218,0),1),"-")</f>
        <v>5.3333333333333336E-4</v>
      </c>
      <c r="O9" s="1" t="str" cm="1">
        <f t="array" ref="O9">IFERROR(INDEX('Fig. 3 - Underlying Studies'!$G$7:$G$218/('Fig. 3 - Underlying Studies'!$E$7:$E$218/100),MATCH($B9&amp;O$6,'Fig. 3 - Underlying Studies'!$B$7:$B$218&amp;'Fig. 3 - Underlying Studies'!$C$7:$C$218,0),1),"-")</f>
        <v>-</v>
      </c>
      <c r="P9" s="1" t="str" cm="1">
        <f t="array" ref="P9">IFERROR(INDEX('Fig. 3 - Underlying Studies'!$G$7:$G$218/('Fig. 3 - Underlying Studies'!$E$7:$E$218/100),MATCH($B9&amp;P$6,'Fig. 3 - Underlying Studies'!$B$7:$B$218&amp;'Fig. 3 - Underlying Studies'!$C$7:$C$218,0),1),"-")</f>
        <v>-</v>
      </c>
      <c r="Q9" s="1" t="str" cm="1">
        <f t="array" ref="Q9">IFERROR(INDEX('Fig. 3 - Underlying Studies'!$G$7:$G$218/('Fig. 3 - Underlying Studies'!$E$7:$E$218/100),MATCH($B9&amp;Q$6,'Fig. 3 - Underlying Studies'!$B$7:$B$218&amp;'Fig. 3 - Underlying Studies'!$C$7:$C$218,0),1),"-")</f>
        <v>-</v>
      </c>
      <c r="R9" s="1" t="str" cm="1">
        <f t="array" ref="R9">IFERROR(INDEX('Fig. 3 - Underlying Studies'!$G$7:$G$218/('Fig. 3 - Underlying Studies'!$E$7:$E$218/100),MATCH($B9&amp;R$6,'Fig. 3 - Underlying Studies'!$B$7:$B$218&amp;'Fig. 3 - Underlying Studies'!$C$7:$C$218,0),1),"-")</f>
        <v>-</v>
      </c>
      <c r="S9" s="1" t="str" cm="1">
        <f t="array" ref="S9">IFERROR(INDEX('Fig. 3 - Underlying Studies'!$G$7:$G$218/('Fig. 3 - Underlying Studies'!$E$7:$E$218/100),MATCH($B9&amp;S$6,'Fig. 3 - Underlying Studies'!$B$7:$B$218&amp;'Fig. 3 - Underlying Studies'!$C$7:$C$218,0),1),"-")</f>
        <v>-</v>
      </c>
      <c r="T9" s="1" t="str" cm="1">
        <f t="array" ref="T9">IFERROR(INDEX('Fig. 3 - Underlying Studies'!$G$7:$G$218/('Fig. 3 - Underlying Studies'!$E$7:$E$218/100),MATCH($B9&amp;T$6,'Fig. 3 - Underlying Studies'!$B$7:$B$218&amp;'Fig. 3 - Underlying Studies'!$C$7:$C$218,0),1),"-")</f>
        <v>-</v>
      </c>
      <c r="U9" s="1" t="str" cm="1">
        <f t="array" ref="U9">IFERROR(INDEX('Fig. 3 - Underlying Studies'!$G$7:$G$218/('Fig. 3 - Underlying Studies'!$E$7:$E$218/100),MATCH($B9&amp;U$6,'Fig. 3 - Underlying Studies'!$B$7:$B$218&amp;'Fig. 3 - Underlying Studies'!$C$7:$C$218,0),1),"-")</f>
        <v>-</v>
      </c>
      <c r="V9" s="1" t="str" cm="1">
        <f t="array" ref="V9">IFERROR(INDEX('Fig. 3 - Underlying Studies'!$G$7:$G$218/('Fig. 3 - Underlying Studies'!$E$7:$E$218/100),MATCH($B9&amp;V$6,'Fig. 3 - Underlying Studies'!$B$7:$B$218&amp;'Fig. 3 - Underlying Studies'!$C$7:$C$218,0),1),"-")</f>
        <v>-</v>
      </c>
      <c r="W9" s="1" t="str" cm="1">
        <f t="array" ref="W9">IFERROR(INDEX('Fig. 3 - Underlying Studies'!$G$7:$G$218/('Fig. 3 - Underlying Studies'!$E$7:$E$218/100),MATCH($B9&amp;W$6,'Fig. 3 - Underlying Studies'!$B$7:$B$218&amp;'Fig. 3 - Underlying Studies'!$C$7:$C$218,0),1),"-")</f>
        <v>-</v>
      </c>
      <c r="X9" s="1" t="str" cm="1">
        <f t="array" ref="X9">IFERROR(INDEX('Fig. 3 - Underlying Studies'!$G$7:$G$218/('Fig. 3 - Underlying Studies'!$E$7:$E$218/100),MATCH($B9&amp;X$6,'Fig. 3 - Underlying Studies'!$B$7:$B$218&amp;'Fig. 3 - Underlying Studies'!$C$7:$C$218,0),1),"-")</f>
        <v>-</v>
      </c>
      <c r="Y9" s="1" t="str" cm="1">
        <f t="array" ref="Y9">IFERROR(INDEX('Fig. 3 - Underlying Studies'!$G$7:$G$218/('Fig. 3 - Underlying Studies'!$E$7:$E$218/100),MATCH($B9&amp;Y$6,'Fig. 3 - Underlying Studies'!$B$7:$B$218&amp;'Fig. 3 - Underlying Studies'!$C$7:$C$218,0),1),"-")</f>
        <v>-</v>
      </c>
      <c r="Z9" s="1" t="str" cm="1">
        <f t="array" ref="Z9">IFERROR(INDEX('Fig. 3 - Underlying Studies'!$G$7:$G$218/('Fig. 3 - Underlying Studies'!$E$7:$E$218/100),MATCH($B9&amp;Z$6,'Fig. 3 - Underlying Studies'!$B$7:$B$218&amp;'Fig. 3 - Underlying Studies'!$C$7:$C$218,0),1),"-")</f>
        <v>-</v>
      </c>
      <c r="AA9" s="1" t="str" cm="1">
        <f t="array" ref="AA9">IFERROR(INDEX('Fig. 3 - Underlying Studies'!$G$7:$G$218/('Fig. 3 - Underlying Studies'!$E$7:$E$218/100),MATCH($B9&amp;AA$6,'Fig. 3 - Underlying Studies'!$B$7:$B$218&amp;'Fig. 3 - Underlying Studies'!$C$7:$C$218,0),1),"-")</f>
        <v>-</v>
      </c>
      <c r="AB9" s="1" t="str" cm="1">
        <f t="array" ref="AB9">IFERROR(INDEX('Fig. 3 - Underlying Studies'!$G$7:$G$218/('Fig. 3 - Underlying Studies'!$E$7:$E$218/100),MATCH($B9&amp;AB$6,'Fig. 3 - Underlying Studies'!$B$7:$B$218&amp;'Fig. 3 - Underlying Studies'!$C$7:$C$218,0),1),"-")</f>
        <v>-</v>
      </c>
      <c r="AC9" s="1" t="str" cm="1">
        <f t="array" ref="AC9">IFERROR(INDEX('Fig. 3 - Underlying Studies'!$G$7:$G$218/('Fig. 3 - Underlying Studies'!$E$7:$E$218/100),MATCH($B9&amp;AC$6,'Fig. 3 - Underlying Studies'!$B$7:$B$218&amp;'Fig. 3 - Underlying Studies'!$C$7:$C$218,0),1),"-")</f>
        <v>-</v>
      </c>
      <c r="AD9" s="1" t="str" cm="1">
        <f t="array" ref="AD9">IFERROR(INDEX('Fig. 3 - Underlying Studies'!$G$7:$G$218/('Fig. 3 - Underlying Studies'!$E$7:$E$218/100),MATCH($B9&amp;AD$6,'Fig. 3 - Underlying Studies'!$B$7:$B$218&amp;'Fig. 3 - Underlying Studies'!$C$7:$C$218,0),1),"-")</f>
        <v>-</v>
      </c>
      <c r="AE9" s="1" t="str" cm="1">
        <f t="array" ref="AE9">IFERROR(INDEX('Fig. 3 - Underlying Studies'!$G$7:$G$218/('Fig. 3 - Underlying Studies'!$E$7:$E$218/100),MATCH($B9&amp;AE$6,'Fig. 3 - Underlying Studies'!$B$7:$B$218&amp;'Fig. 3 - Underlying Studies'!$C$7:$C$218,0),1),"-")</f>
        <v>-</v>
      </c>
      <c r="AF9" s="1" t="str" cm="1">
        <f t="array" ref="AF9">IFERROR(INDEX('Fig. 3 - Underlying Studies'!$G$7:$G$218/('Fig. 3 - Underlying Studies'!$E$7:$E$218/100),MATCH($B9&amp;AF$6,'Fig. 3 - Underlying Studies'!$B$7:$B$218&amp;'Fig. 3 - Underlying Studies'!$C$7:$C$218,0),1),"-")</f>
        <v>-</v>
      </c>
    </row>
    <row r="10" spans="2:32" x14ac:dyDescent="0.6">
      <c r="B10" t="s">
        <v>16</v>
      </c>
      <c r="C10" s="8">
        <f t="shared" si="2"/>
        <v>6.252873563218392E-3</v>
      </c>
      <c r="D10" s="10">
        <f t="shared" si="3"/>
        <v>0.17700052499224905</v>
      </c>
      <c r="E10" s="10">
        <f t="shared" si="4"/>
        <v>1.0227272727272727</v>
      </c>
      <c r="F10" s="6">
        <f t="shared" si="5"/>
        <v>-0.99378945526342988</v>
      </c>
      <c r="G10" s="6">
        <f t="shared" si="1"/>
        <v>-0.99978060092760634</v>
      </c>
      <c r="H10" s="1" cm="1">
        <f t="array" ref="H10">IFERROR(INDEX('Fig. 3 - Underlying Studies'!$G$7:$G$218/('Fig. 3 - Underlying Studies'!$E$7:$E$218/100),MATCH($B10&amp;H$6,'Fig. 3 - Underlying Studies'!$B$7:$B$218&amp;'Fig. 3 - Underlying Studies'!$C$7:$C$218,0),1),"-")</f>
        <v>0.90909090909090906</v>
      </c>
      <c r="I10" s="1" cm="1">
        <f t="array" ref="I10">IFERROR(INDEX('Fig. 3 - Underlying Studies'!$G$7:$G$218/('Fig. 3 - Underlying Studies'!$E$7:$E$218/100),MATCH($B10&amp;I$6,'Fig. 3 - Underlying Studies'!$B$7:$B$218&amp;'Fig. 3 - Underlying Studies'!$C$7:$C$218,0),1),"-")</f>
        <v>0.35984848484848481</v>
      </c>
      <c r="J10" s="1" cm="1">
        <f t="array" ref="J10">IFERROR(INDEX('Fig. 3 - Underlying Studies'!$G$7:$G$218/('Fig. 3 - Underlying Studies'!$E$7:$E$218/100),MATCH($B10&amp;J$6,'Fig. 3 - Underlying Studies'!$B$7:$B$218&amp;'Fig. 3 - Underlying Studies'!$C$7:$C$218,0),1),"-")</f>
        <v>1.0227272727272727</v>
      </c>
      <c r="K10" s="1" cm="1">
        <f t="array" ref="K10">IFERROR(INDEX('Fig. 3 - Underlying Studies'!$G$7:$G$218/('Fig. 3 - Underlying Studies'!$E$7:$E$218/100),MATCH($B10&amp;K$6,'Fig. 3 - Underlying Studies'!$B$7:$B$218&amp;'Fig. 3 - Underlying Studies'!$C$7:$C$218,0),1),"-")</f>
        <v>0.32196969696969696</v>
      </c>
      <c r="L10" s="1" cm="1">
        <f t="array" ref="L10">IFERROR(INDEX('Fig. 3 - Underlying Studies'!$G$7:$G$218/('Fig. 3 - Underlying Studies'!$E$7:$E$218/100),MATCH($B10&amp;L$6,'Fig. 3 - Underlying Studies'!$B$7:$B$218&amp;'Fig. 3 - Underlying Studies'!$C$7:$C$218,0),1),"-")</f>
        <v>0.81439393939393934</v>
      </c>
      <c r="M10" s="1" cm="1">
        <f t="array" ref="M10">IFERROR(INDEX('Fig. 3 - Underlying Studies'!$G$7:$G$218/('Fig. 3 - Underlying Studies'!$E$7:$E$218/100),MATCH($B10&amp;M$6,'Fig. 3 - Underlying Studies'!$B$7:$B$218&amp;'Fig. 3 - Underlying Studies'!$C$7:$C$218,0),1),"-")</f>
        <v>2.5287356321839084E-2</v>
      </c>
      <c r="N10" s="1" cm="1">
        <f t="array" ref="N10">IFERROR(INDEX('Fig. 3 - Underlying Studies'!$G$7:$G$218/('Fig. 3 - Underlying Studies'!$E$7:$E$218/100),MATCH($B10&amp;N$6,'Fig. 3 - Underlying Studies'!$B$7:$B$218&amp;'Fig. 3 - Underlying Studies'!$C$7:$C$218,0),1),"-")</f>
        <v>2.0689655172413796E-2</v>
      </c>
      <c r="O10" s="1" cm="1">
        <f t="array" ref="O10">IFERROR(INDEX('Fig. 3 - Underlying Studies'!$G$7:$G$218/('Fig. 3 - Underlying Studies'!$E$7:$E$218/100),MATCH($B10&amp;O$6,'Fig. 3 - Underlying Studies'!$B$7:$B$218&amp;'Fig. 3 - Underlying Studies'!$C$7:$C$218,0),1),"-")</f>
        <v>1.981609195402299E-2</v>
      </c>
      <c r="P10" s="1" cm="1">
        <f t="array" ref="P10">IFERROR(INDEX('Fig. 3 - Underlying Studies'!$G$7:$G$218/('Fig. 3 - Underlying Studies'!$E$7:$E$218/100),MATCH($B10&amp;P$6,'Fig. 3 - Underlying Studies'!$B$7:$B$218&amp;'Fig. 3 - Underlying Studies'!$C$7:$C$218,0),1),"-")</f>
        <v>1.4229885057471267E-2</v>
      </c>
      <c r="Q10" s="1" cm="1">
        <f t="array" ref="Q10">IFERROR(INDEX('Fig. 3 - Underlying Studies'!$G$7:$G$218/('Fig. 3 - Underlying Studies'!$E$7:$E$218/100),MATCH($B10&amp;Q$6,'Fig. 3 - Underlying Studies'!$B$7:$B$218&amp;'Fig. 3 - Underlying Studies'!$C$7:$C$218,0),1),"-")</f>
        <v>6.252873563218392E-3</v>
      </c>
      <c r="R10" s="1" cm="1">
        <f t="array" ref="R10">IFERROR(INDEX('Fig. 3 - Underlying Studies'!$G$7:$G$218/('Fig. 3 - Underlying Studies'!$E$7:$E$218/100),MATCH($B10&amp;R$6,'Fig. 3 - Underlying Studies'!$B$7:$B$218&amp;'Fig. 3 - Underlying Studies'!$C$7:$C$218,0),1),"-")</f>
        <v>6.9666666666666668E-2</v>
      </c>
      <c r="S10" s="1" cm="1">
        <f t="array" ref="S10">IFERROR(INDEX('Fig. 3 - Underlying Studies'!$G$7:$G$218/('Fig. 3 - Underlying Studies'!$E$7:$E$218/100),MATCH($B10&amp;S$6,'Fig. 3 - Underlying Studies'!$B$7:$B$218&amp;'Fig. 3 - Underlying Studies'!$C$7:$C$218,0),1),"-")</f>
        <v>6.2333333333333331E-2</v>
      </c>
      <c r="T10" s="1" cm="1">
        <f t="array" ref="T10">IFERROR(INDEX('Fig. 3 - Underlying Studies'!$G$7:$G$218/('Fig. 3 - Underlying Studies'!$E$7:$E$218/100),MATCH($B10&amp;T$6,'Fig. 3 - Underlying Studies'!$B$7:$B$218&amp;'Fig. 3 - Underlying Studies'!$C$7:$C$218,0),1),"-")</f>
        <v>5.6333333333333339E-2</v>
      </c>
      <c r="U10" s="1" cm="1">
        <f t="array" ref="U10">IFERROR(INDEX('Fig. 3 - Underlying Studies'!$G$7:$G$218/('Fig. 3 - Underlying Studies'!$E$7:$E$218/100),MATCH($B10&amp;U$6,'Fig. 3 - Underlying Studies'!$B$7:$B$218&amp;'Fig. 3 - Underlying Studies'!$C$7:$C$218,0),1),"-")</f>
        <v>6.9666666666666668E-2</v>
      </c>
      <c r="V10" s="1" cm="1">
        <f t="array" ref="V10">IFERROR(INDEX('Fig. 3 - Underlying Studies'!$G$7:$G$218/('Fig. 3 - Underlying Studies'!$E$7:$E$218/100),MATCH($B10&amp;V$6,'Fig. 3 - Underlying Studies'!$B$7:$B$218&amp;'Fig. 3 - Underlying Studies'!$C$7:$C$218,0),1),"-")</f>
        <v>6.2333333333333331E-2</v>
      </c>
      <c r="W10" s="1" cm="1">
        <f t="array" ref="W10">IFERROR(INDEX('Fig. 3 - Underlying Studies'!$G$7:$G$218/('Fig. 3 - Underlying Studies'!$E$7:$E$218/100),MATCH($B10&amp;W$6,'Fig. 3 - Underlying Studies'!$B$7:$B$218&amp;'Fig. 3 - Underlying Studies'!$C$7:$C$218,0),1),"-")</f>
        <v>5.6333333333333339E-2</v>
      </c>
      <c r="X10" s="1" cm="1">
        <f t="array" ref="X10">IFERROR(INDEX('Fig. 3 - Underlying Studies'!$G$7:$G$218/('Fig. 3 - Underlying Studies'!$E$7:$E$218/100),MATCH($B10&amp;X$6,'Fig. 3 - Underlying Studies'!$B$7:$B$218&amp;'Fig. 3 - Underlying Studies'!$C$7:$C$218,0),1),"-")</f>
        <v>6.9666666666666668E-2</v>
      </c>
      <c r="Y10" s="1" cm="1">
        <f t="array" ref="Y10">IFERROR(INDEX('Fig. 3 - Underlying Studies'!$G$7:$G$218/('Fig. 3 - Underlying Studies'!$E$7:$E$218/100),MATCH($B10&amp;Y$6,'Fig. 3 - Underlying Studies'!$B$7:$B$218&amp;'Fig. 3 - Underlying Studies'!$C$7:$C$218,0),1),"-")</f>
        <v>6.2333333333333331E-2</v>
      </c>
      <c r="Z10" s="1" cm="1">
        <f t="array" ref="Z10">IFERROR(INDEX('Fig. 3 - Underlying Studies'!$G$7:$G$218/('Fig. 3 - Underlying Studies'!$E$7:$E$218/100),MATCH($B10&amp;Z$6,'Fig. 3 - Underlying Studies'!$B$7:$B$218&amp;'Fig. 3 - Underlying Studies'!$C$7:$C$218,0),1),"-")</f>
        <v>5.6333333333333339E-2</v>
      </c>
      <c r="AA10" s="1" cm="1">
        <f t="array" ref="AA10">IFERROR(INDEX('Fig. 3 - Underlying Studies'!$G$7:$G$218/('Fig. 3 - Underlying Studies'!$E$7:$E$218/100),MATCH($B10&amp;AA$6,'Fig. 3 - Underlying Studies'!$B$7:$B$218&amp;'Fig. 3 - Underlying Studies'!$C$7:$C$218,0),1),"-")</f>
        <v>7.1999999999999995E-2</v>
      </c>
      <c r="AB10" s="1" cm="1">
        <f t="array" ref="AB10">IFERROR(INDEX('Fig. 3 - Underlying Studies'!$G$7:$G$218/('Fig. 3 - Underlying Studies'!$E$7:$E$218/100),MATCH($B10&amp;AB$6,'Fig. 3 - Underlying Studies'!$B$7:$B$218&amp;'Fig. 3 - Underlying Studies'!$C$7:$C$218,0),1),"-")</f>
        <v>6.433333333333334E-2</v>
      </c>
      <c r="AC10" s="1" cm="1">
        <f t="array" ref="AC10">IFERROR(INDEX('Fig. 3 - Underlying Studies'!$G$7:$G$218/('Fig. 3 - Underlying Studies'!$E$7:$E$218/100),MATCH($B10&amp;AC$6,'Fig. 3 - Underlying Studies'!$B$7:$B$218&amp;'Fig. 3 - Underlying Studies'!$C$7:$C$218,0),1),"-")</f>
        <v>5.7999999999999996E-2</v>
      </c>
      <c r="AD10" s="1" cm="1">
        <f t="array" ref="AD10">IFERROR(INDEX('Fig. 3 - Underlying Studies'!$G$7:$G$218/('Fig. 3 - Underlying Studies'!$E$7:$E$218/100),MATCH($B10&amp;AD$6,'Fig. 3 - Underlying Studies'!$B$7:$B$218&amp;'Fig. 3 - Underlying Studies'!$C$7:$C$218,0),1),"-")</f>
        <v>5.6043956043956039E-2</v>
      </c>
      <c r="AE10" s="1" cm="1">
        <f t="array" ref="AE10">IFERROR(INDEX('Fig. 3 - Underlying Studies'!$G$7:$G$218/('Fig. 3 - Underlying Studies'!$E$7:$E$218/100),MATCH($B10&amp;AE$6,'Fig. 3 - Underlying Studies'!$B$7:$B$218&amp;'Fig. 3 - Underlying Studies'!$C$7:$C$218,0),1),"-")</f>
        <v>4.9999999999999996E-2</v>
      </c>
      <c r="AF10" s="1" cm="1">
        <f t="array" ref="AF10">IFERROR(INDEX('Fig. 3 - Underlying Studies'!$G$7:$G$218/('Fig. 3 - Underlying Studies'!$E$7:$E$218/100),MATCH($B10&amp;AF$6,'Fig. 3 - Underlying Studies'!$B$7:$B$218&amp;'Fig. 3 - Underlying Studies'!$C$7:$C$218,0),1),"-")</f>
        <v>4.5329670329670328E-2</v>
      </c>
    </row>
    <row r="11" spans="2:32" x14ac:dyDescent="0.6">
      <c r="B11" t="s">
        <v>196</v>
      </c>
      <c r="C11" s="10">
        <f t="shared" si="2"/>
        <v>0.45024327173913048</v>
      </c>
      <c r="D11" s="10">
        <f t="shared" si="3"/>
        <v>0.47076143206521748</v>
      </c>
      <c r="E11" s="10">
        <f t="shared" si="4"/>
        <v>0.4903578369565218</v>
      </c>
      <c r="F11" s="6">
        <f t="shared" si="5"/>
        <v>-0.98348205501525554</v>
      </c>
      <c r="G11" s="6">
        <f t="shared" si="1"/>
        <v>-0.98420199046529366</v>
      </c>
      <c r="H11" s="1" cm="1">
        <f t="array" ref="H11">IFERROR(INDEX('Fig. 3 - Underlying Studies'!$G$7:$G$218/('Fig. 3 - Underlying Studies'!$E$7:$E$218/100),MATCH($B11&amp;H$6,'Fig. 3 - Underlying Studies'!$B$7:$B$218&amp;'Fig. 3 - Underlying Studies'!$C$7:$C$218,0),1),"-")</f>
        <v>0.4903578369565218</v>
      </c>
      <c r="I11" s="1" cm="1">
        <f t="array" ref="I11">IFERROR(INDEX('Fig. 3 - Underlying Studies'!$G$7:$G$218/('Fig. 3 - Underlying Studies'!$E$7:$E$218/100),MATCH($B11&amp;I$6,'Fig. 3 - Underlying Studies'!$B$7:$B$218&amp;'Fig. 3 - Underlying Studies'!$C$7:$C$218,0),1),"-")</f>
        <v>0.45024327173913048</v>
      </c>
      <c r="J11" s="1" cm="1">
        <f t="array" ref="J11">IFERROR(INDEX('Fig. 3 - Underlying Studies'!$G$7:$G$218/('Fig. 3 - Underlying Studies'!$E$7:$E$218/100),MATCH($B11&amp;J$6,'Fig. 3 - Underlying Studies'!$B$7:$B$218&amp;'Fig. 3 - Underlying Studies'!$C$7:$C$218,0),1),"-")</f>
        <v>0.46141980434782609</v>
      </c>
      <c r="K11" s="1" cm="1">
        <f t="array" ref="K11">IFERROR(INDEX('Fig. 3 - Underlying Studies'!$G$7:$G$218/('Fig. 3 - Underlying Studies'!$E$7:$E$218/100),MATCH($B11&amp;K$6,'Fig. 3 - Underlying Studies'!$B$7:$B$218&amp;'Fig. 3 - Underlying Studies'!$C$7:$C$218,0),1),"-")</f>
        <v>0.48102481521739138</v>
      </c>
      <c r="L11" s="1" t="str" cm="1">
        <f t="array" ref="L11">IFERROR(INDEX('Fig. 3 - Underlying Studies'!$G$7:$G$218/('Fig. 3 - Underlying Studies'!$E$7:$E$218/100),MATCH($B11&amp;L$6,'Fig. 3 - Underlying Studies'!$B$7:$B$218&amp;'Fig. 3 - Underlying Studies'!$C$7:$C$218,0),1),"-")</f>
        <v>-</v>
      </c>
      <c r="M11" s="1" t="str" cm="1">
        <f t="array" ref="M11">IFERROR(INDEX('Fig. 3 - Underlying Studies'!$G$7:$G$218/('Fig. 3 - Underlying Studies'!$E$7:$E$218/100),MATCH($B11&amp;M$6,'Fig. 3 - Underlying Studies'!$B$7:$B$218&amp;'Fig. 3 - Underlying Studies'!$C$7:$C$218,0),1),"-")</f>
        <v>-</v>
      </c>
      <c r="N11" s="1" t="str" cm="1">
        <f t="array" ref="N11">IFERROR(INDEX('Fig. 3 - Underlying Studies'!$G$7:$G$218/('Fig. 3 - Underlying Studies'!$E$7:$E$218/100),MATCH($B11&amp;N$6,'Fig. 3 - Underlying Studies'!$B$7:$B$218&amp;'Fig. 3 - Underlying Studies'!$C$7:$C$218,0),1),"-")</f>
        <v>-</v>
      </c>
      <c r="O11" s="1" t="str" cm="1">
        <f t="array" ref="O11">IFERROR(INDEX('Fig. 3 - Underlying Studies'!$G$7:$G$218/('Fig. 3 - Underlying Studies'!$E$7:$E$218/100),MATCH($B11&amp;O$6,'Fig. 3 - Underlying Studies'!$B$7:$B$218&amp;'Fig. 3 - Underlying Studies'!$C$7:$C$218,0),1),"-")</f>
        <v>-</v>
      </c>
      <c r="P11" s="1" t="str" cm="1">
        <f t="array" ref="P11">IFERROR(INDEX('Fig. 3 - Underlying Studies'!$G$7:$G$218/('Fig. 3 - Underlying Studies'!$E$7:$E$218/100),MATCH($B11&amp;P$6,'Fig. 3 - Underlying Studies'!$B$7:$B$218&amp;'Fig. 3 - Underlying Studies'!$C$7:$C$218,0),1),"-")</f>
        <v>-</v>
      </c>
      <c r="Q11" s="1" t="str" cm="1">
        <f t="array" ref="Q11">IFERROR(INDEX('Fig. 3 - Underlying Studies'!$G$7:$G$218/('Fig. 3 - Underlying Studies'!$E$7:$E$218/100),MATCH($B11&amp;Q$6,'Fig. 3 - Underlying Studies'!$B$7:$B$218&amp;'Fig. 3 - Underlying Studies'!$C$7:$C$218,0),1),"-")</f>
        <v>-</v>
      </c>
      <c r="R11" s="1" t="str" cm="1">
        <f t="array" ref="R11">IFERROR(INDEX('Fig. 3 - Underlying Studies'!$G$7:$G$218/('Fig. 3 - Underlying Studies'!$E$7:$E$218/100),MATCH($B11&amp;R$6,'Fig. 3 - Underlying Studies'!$B$7:$B$218&amp;'Fig. 3 - Underlying Studies'!$C$7:$C$218,0),1),"-")</f>
        <v>-</v>
      </c>
      <c r="S11" s="1" t="str" cm="1">
        <f t="array" ref="S11">IFERROR(INDEX('Fig. 3 - Underlying Studies'!$G$7:$G$218/('Fig. 3 - Underlying Studies'!$E$7:$E$218/100),MATCH($B11&amp;S$6,'Fig. 3 - Underlying Studies'!$B$7:$B$218&amp;'Fig. 3 - Underlying Studies'!$C$7:$C$218,0),1),"-")</f>
        <v>-</v>
      </c>
      <c r="T11" s="1" t="str" cm="1">
        <f t="array" ref="T11">IFERROR(INDEX('Fig. 3 - Underlying Studies'!$G$7:$G$218/('Fig. 3 - Underlying Studies'!$E$7:$E$218/100),MATCH($B11&amp;T$6,'Fig. 3 - Underlying Studies'!$B$7:$B$218&amp;'Fig. 3 - Underlying Studies'!$C$7:$C$218,0),1),"-")</f>
        <v>-</v>
      </c>
      <c r="U11" s="1" t="str" cm="1">
        <f t="array" ref="U11">IFERROR(INDEX('Fig. 3 - Underlying Studies'!$G$7:$G$218/('Fig. 3 - Underlying Studies'!$E$7:$E$218/100),MATCH($B11&amp;U$6,'Fig. 3 - Underlying Studies'!$B$7:$B$218&amp;'Fig. 3 - Underlying Studies'!$C$7:$C$218,0),1),"-")</f>
        <v>-</v>
      </c>
      <c r="V11" s="1" t="str" cm="1">
        <f t="array" ref="V11">IFERROR(INDEX('Fig. 3 - Underlying Studies'!$G$7:$G$218/('Fig. 3 - Underlying Studies'!$E$7:$E$218/100),MATCH($B11&amp;V$6,'Fig. 3 - Underlying Studies'!$B$7:$B$218&amp;'Fig. 3 - Underlying Studies'!$C$7:$C$218,0),1),"-")</f>
        <v>-</v>
      </c>
      <c r="W11" s="1" t="str" cm="1">
        <f t="array" ref="W11">IFERROR(INDEX('Fig. 3 - Underlying Studies'!$G$7:$G$218/('Fig. 3 - Underlying Studies'!$E$7:$E$218/100),MATCH($B11&amp;W$6,'Fig. 3 - Underlying Studies'!$B$7:$B$218&amp;'Fig. 3 - Underlying Studies'!$C$7:$C$218,0),1),"-")</f>
        <v>-</v>
      </c>
      <c r="X11" s="1" t="str" cm="1">
        <f t="array" ref="X11">IFERROR(INDEX('Fig. 3 - Underlying Studies'!$G$7:$G$218/('Fig. 3 - Underlying Studies'!$E$7:$E$218/100),MATCH($B11&amp;X$6,'Fig. 3 - Underlying Studies'!$B$7:$B$218&amp;'Fig. 3 - Underlying Studies'!$C$7:$C$218,0),1),"-")</f>
        <v>-</v>
      </c>
      <c r="Y11" s="1" t="str" cm="1">
        <f t="array" ref="Y11">IFERROR(INDEX('Fig. 3 - Underlying Studies'!$G$7:$G$218/('Fig. 3 - Underlying Studies'!$E$7:$E$218/100),MATCH($B11&amp;Y$6,'Fig. 3 - Underlying Studies'!$B$7:$B$218&amp;'Fig. 3 - Underlying Studies'!$C$7:$C$218,0),1),"-")</f>
        <v>-</v>
      </c>
      <c r="Z11" s="1" t="str" cm="1">
        <f t="array" ref="Z11">IFERROR(INDEX('Fig. 3 - Underlying Studies'!$G$7:$G$218/('Fig. 3 - Underlying Studies'!$E$7:$E$218/100),MATCH($B11&amp;Z$6,'Fig. 3 - Underlying Studies'!$B$7:$B$218&amp;'Fig. 3 - Underlying Studies'!$C$7:$C$218,0),1),"-")</f>
        <v>-</v>
      </c>
      <c r="AA11" s="1" t="str" cm="1">
        <f t="array" ref="AA11">IFERROR(INDEX('Fig. 3 - Underlying Studies'!$G$7:$G$218/('Fig. 3 - Underlying Studies'!$E$7:$E$218/100),MATCH($B11&amp;AA$6,'Fig. 3 - Underlying Studies'!$B$7:$B$218&amp;'Fig. 3 - Underlying Studies'!$C$7:$C$218,0),1),"-")</f>
        <v>-</v>
      </c>
      <c r="AB11" s="1" t="str" cm="1">
        <f t="array" ref="AB11">IFERROR(INDEX('Fig. 3 - Underlying Studies'!$G$7:$G$218/('Fig. 3 - Underlying Studies'!$E$7:$E$218/100),MATCH($B11&amp;AB$6,'Fig. 3 - Underlying Studies'!$B$7:$B$218&amp;'Fig. 3 - Underlying Studies'!$C$7:$C$218,0),1),"-")</f>
        <v>-</v>
      </c>
      <c r="AC11" s="1" t="str" cm="1">
        <f t="array" ref="AC11">IFERROR(INDEX('Fig. 3 - Underlying Studies'!$G$7:$G$218/('Fig. 3 - Underlying Studies'!$E$7:$E$218/100),MATCH($B11&amp;AC$6,'Fig. 3 - Underlying Studies'!$B$7:$B$218&amp;'Fig. 3 - Underlying Studies'!$C$7:$C$218,0),1),"-")</f>
        <v>-</v>
      </c>
      <c r="AD11" s="1" t="str" cm="1">
        <f t="array" ref="AD11">IFERROR(INDEX('Fig. 3 - Underlying Studies'!$G$7:$G$218/('Fig. 3 - Underlying Studies'!$E$7:$E$218/100),MATCH($B11&amp;AD$6,'Fig. 3 - Underlying Studies'!$B$7:$B$218&amp;'Fig. 3 - Underlying Studies'!$C$7:$C$218,0),1),"-")</f>
        <v>-</v>
      </c>
      <c r="AE11" s="1" t="str" cm="1">
        <f t="array" ref="AE11">IFERROR(INDEX('Fig. 3 - Underlying Studies'!$G$7:$G$218/('Fig. 3 - Underlying Studies'!$E$7:$E$218/100),MATCH($B11&amp;AE$6,'Fig. 3 - Underlying Studies'!$B$7:$B$218&amp;'Fig. 3 - Underlying Studies'!$C$7:$C$218,0),1),"-")</f>
        <v>-</v>
      </c>
      <c r="AF11" s="1" t="str" cm="1">
        <f t="array" ref="AF11">IFERROR(INDEX('Fig. 3 - Underlying Studies'!$G$7:$G$218/('Fig. 3 - Underlying Studies'!$E$7:$E$218/100),MATCH($B11&amp;AF$6,'Fig. 3 - Underlying Studies'!$B$7:$B$218&amp;'Fig. 3 - Underlying Studies'!$C$7:$C$218,0),1),"-")</f>
        <v>-</v>
      </c>
    </row>
    <row r="12" spans="2:32" x14ac:dyDescent="0.6">
      <c r="B12" t="s">
        <v>197</v>
      </c>
      <c r="C12" s="10">
        <f>IF(H12="-","-",MIN(H12:AF12))</f>
        <v>1.5063265716007232E-2</v>
      </c>
      <c r="D12" s="10">
        <f t="shared" si="3"/>
        <v>0.53444985787641686</v>
      </c>
      <c r="E12" s="9">
        <f>IF(H12="-","-",MAX(H12:AF12))</f>
        <v>1.6515603969861314</v>
      </c>
      <c r="F12" s="6">
        <f>D12/28.5-100%</f>
        <v>-0.98124737340784507</v>
      </c>
      <c r="G12" s="6">
        <f>C12/28.5-100%</f>
        <v>-0.99947146436084189</v>
      </c>
      <c r="H12" s="1" cm="1">
        <f t="array" ref="H12">IFERROR(INDEX('Fig. 3 - Underlying Studies'!$G$7:$G$218/('Fig. 3 - Underlying Studies'!$E$7:$E$218/100),MATCH($B12&amp;H$6,'Fig. 3 - Underlying Studies'!$B$7:$B$218&amp;'Fig. 3 - Underlying Studies'!$C$7:$C$218,0),1),"-")</f>
        <v>0.37411036616812898</v>
      </c>
      <c r="I12" s="1" cm="1">
        <f t="array" ref="I12">IFERROR(INDEX('Fig. 3 - Underlying Studies'!$G$7:$G$218/('Fig. 3 - Underlying Studies'!$E$7:$E$218/100),MATCH($B12&amp;I$6,'Fig. 3 - Underlying Studies'!$B$7:$B$218&amp;'Fig. 3 - Underlying Studies'!$C$7:$C$218,0),1),"-")</f>
        <v>0.36822349966666901</v>
      </c>
      <c r="J12" s="1" cm="1">
        <f t="array" ref="J12">IFERROR(INDEX('Fig. 3 - Underlying Studies'!$G$7:$G$218/('Fig. 3 - Underlying Studies'!$E$7:$E$218/100),MATCH($B12&amp;J$6,'Fig. 3 - Underlying Studies'!$B$7:$B$218&amp;'Fig. 3 - Underlying Studies'!$C$7:$C$218,0),1),"-")</f>
        <v>1.6515603969861314</v>
      </c>
      <c r="K12" s="1" cm="1">
        <f t="array" ref="K12">IFERROR(INDEX('Fig. 3 - Underlying Studies'!$G$7:$G$218/('Fig. 3 - Underlying Studies'!$E$7:$E$218/100),MATCH($B12&amp;K$6,'Fig. 3 - Underlying Studies'!$B$7:$B$218&amp;'Fig. 3 - Underlying Studies'!$C$7:$C$218,0),1),"-")</f>
        <v>0.61135108617718636</v>
      </c>
      <c r="L12" s="1" cm="1">
        <f t="array" ref="L12">IFERROR(INDEX('Fig. 3 - Underlying Studies'!$G$7:$G$218/('Fig. 3 - Underlying Studies'!$E$7:$E$218/100),MATCH($B12&amp;L$6,'Fig. 3 - Underlying Studies'!$B$7:$B$218&amp;'Fig. 3 - Underlying Studies'!$C$7:$C$218,0),1),"-")</f>
        <v>0.18639053254437873</v>
      </c>
      <c r="M12" s="1" cm="1">
        <f t="array" ref="M12">IFERROR(INDEX('Fig. 3 - Underlying Studies'!$G$7:$G$218/('Fig. 3 - Underlying Studies'!$E$7:$E$218/100),MATCH($B12&amp;M$6,'Fig. 3 - Underlying Studies'!$B$7:$B$218&amp;'Fig. 3 - Underlying Studies'!$C$7:$C$218,0),1),"-")</f>
        <v>1.5063265716007232E-2</v>
      </c>
      <c r="N12" s="1" t="str" cm="1">
        <f t="array" ref="N12">IFERROR(INDEX('Fig. 3 - Underlying Studies'!$G$7:$G$218/('Fig. 3 - Underlying Studies'!$E$7:$E$218/100),MATCH($B12&amp;N$6,'Fig. 3 - Underlying Studies'!$B$7:$B$218&amp;'Fig. 3 - Underlying Studies'!$C$7:$C$218,0),1),"-")</f>
        <v>-</v>
      </c>
      <c r="O12" s="1" t="str" cm="1">
        <f t="array" ref="O12">IFERROR(INDEX('Fig. 3 - Underlying Studies'!$G$7:$G$218/('Fig. 3 - Underlying Studies'!$E$7:$E$218/100),MATCH($B12&amp;O$6,'Fig. 3 - Underlying Studies'!$B$7:$B$218&amp;'Fig. 3 - Underlying Studies'!$C$7:$C$218,0),1),"-")</f>
        <v>-</v>
      </c>
      <c r="P12" s="1" t="str" cm="1">
        <f t="array" ref="P12">IFERROR(INDEX('Fig. 3 - Underlying Studies'!$G$7:$G$218/('Fig. 3 - Underlying Studies'!$E$7:$E$218/100),MATCH($B12&amp;P$6,'Fig. 3 - Underlying Studies'!$B$7:$B$218&amp;'Fig. 3 - Underlying Studies'!$C$7:$C$218,0),1),"-")</f>
        <v>-</v>
      </c>
      <c r="Q12" s="1" t="str" cm="1">
        <f t="array" ref="Q12">IFERROR(INDEX('Fig. 3 - Underlying Studies'!$G$7:$G$218/('Fig. 3 - Underlying Studies'!$E$7:$E$218/100),MATCH($B12&amp;Q$6,'Fig. 3 - Underlying Studies'!$B$7:$B$218&amp;'Fig. 3 - Underlying Studies'!$C$7:$C$218,0),1),"-")</f>
        <v>-</v>
      </c>
      <c r="R12" s="1" t="str" cm="1">
        <f t="array" ref="R12">IFERROR(INDEX('Fig. 3 - Underlying Studies'!$G$7:$G$218/('Fig. 3 - Underlying Studies'!$E$7:$E$218/100),MATCH($B12&amp;R$6,'Fig. 3 - Underlying Studies'!$B$7:$B$218&amp;'Fig. 3 - Underlying Studies'!$C$7:$C$218,0),1),"-")</f>
        <v>-</v>
      </c>
      <c r="S12" s="1" t="str" cm="1">
        <f t="array" ref="S12">IFERROR(INDEX('Fig. 3 - Underlying Studies'!$G$7:$G$218/('Fig. 3 - Underlying Studies'!$E$7:$E$218/100),MATCH($B12&amp;S$6,'Fig. 3 - Underlying Studies'!$B$7:$B$218&amp;'Fig. 3 - Underlying Studies'!$C$7:$C$218,0),1),"-")</f>
        <v>-</v>
      </c>
      <c r="T12" s="1" t="str" cm="1">
        <f t="array" ref="T12">IFERROR(INDEX('Fig. 3 - Underlying Studies'!$G$7:$G$218/('Fig. 3 - Underlying Studies'!$E$7:$E$218/100),MATCH($B12&amp;T$6,'Fig. 3 - Underlying Studies'!$B$7:$B$218&amp;'Fig. 3 - Underlying Studies'!$C$7:$C$218,0),1),"-")</f>
        <v>-</v>
      </c>
      <c r="U12" s="1" t="str" cm="1">
        <f t="array" ref="U12">IFERROR(INDEX('Fig. 3 - Underlying Studies'!$G$7:$G$218/('Fig. 3 - Underlying Studies'!$E$7:$E$218/100),MATCH($B12&amp;U$6,'Fig. 3 - Underlying Studies'!$B$7:$B$218&amp;'Fig. 3 - Underlying Studies'!$C$7:$C$218,0),1),"-")</f>
        <v>-</v>
      </c>
      <c r="V12" s="1" t="str" cm="1">
        <f t="array" ref="V12">IFERROR(INDEX('Fig. 3 - Underlying Studies'!$G$7:$G$218/('Fig. 3 - Underlying Studies'!$E$7:$E$218/100),MATCH($B12&amp;V$6,'Fig. 3 - Underlying Studies'!$B$7:$B$218&amp;'Fig. 3 - Underlying Studies'!$C$7:$C$218,0),1),"-")</f>
        <v>-</v>
      </c>
      <c r="W12" s="1" t="str" cm="1">
        <f t="array" ref="W12">IFERROR(INDEX('Fig. 3 - Underlying Studies'!$G$7:$G$218/('Fig. 3 - Underlying Studies'!$E$7:$E$218/100),MATCH($B12&amp;W$6,'Fig. 3 - Underlying Studies'!$B$7:$B$218&amp;'Fig. 3 - Underlying Studies'!$C$7:$C$218,0),1),"-")</f>
        <v>-</v>
      </c>
      <c r="X12" s="1" t="str" cm="1">
        <f t="array" ref="X12">IFERROR(INDEX('Fig. 3 - Underlying Studies'!$G$7:$G$218/('Fig. 3 - Underlying Studies'!$E$7:$E$218/100),MATCH($B12&amp;X$6,'Fig. 3 - Underlying Studies'!$B$7:$B$218&amp;'Fig. 3 - Underlying Studies'!$C$7:$C$218,0),1),"-")</f>
        <v>-</v>
      </c>
      <c r="Y12" s="1" t="str" cm="1">
        <f t="array" ref="Y12">IFERROR(INDEX('Fig. 3 - Underlying Studies'!$G$7:$G$218/('Fig. 3 - Underlying Studies'!$E$7:$E$218/100),MATCH($B12&amp;Y$6,'Fig. 3 - Underlying Studies'!$B$7:$B$218&amp;'Fig. 3 - Underlying Studies'!$C$7:$C$218,0),1),"-")</f>
        <v>-</v>
      </c>
      <c r="Z12" s="1" t="str" cm="1">
        <f t="array" ref="Z12">IFERROR(INDEX('Fig. 3 - Underlying Studies'!$G$7:$G$218/('Fig. 3 - Underlying Studies'!$E$7:$E$218/100),MATCH($B12&amp;Z$6,'Fig. 3 - Underlying Studies'!$B$7:$B$218&amp;'Fig. 3 - Underlying Studies'!$C$7:$C$218,0),1),"-")</f>
        <v>-</v>
      </c>
      <c r="AA12" s="1" t="str" cm="1">
        <f t="array" ref="AA12">IFERROR(INDEX('Fig. 3 - Underlying Studies'!$G$7:$G$218/('Fig. 3 - Underlying Studies'!$E$7:$E$218/100),MATCH($B12&amp;AA$6,'Fig. 3 - Underlying Studies'!$B$7:$B$218&amp;'Fig. 3 - Underlying Studies'!$C$7:$C$218,0),1),"-")</f>
        <v>-</v>
      </c>
      <c r="AB12" s="1" t="str" cm="1">
        <f t="array" ref="AB12">IFERROR(INDEX('Fig. 3 - Underlying Studies'!$G$7:$G$218/('Fig. 3 - Underlying Studies'!$E$7:$E$218/100),MATCH($B12&amp;AB$6,'Fig. 3 - Underlying Studies'!$B$7:$B$218&amp;'Fig. 3 - Underlying Studies'!$C$7:$C$218,0),1),"-")</f>
        <v>-</v>
      </c>
      <c r="AC12" s="1" t="str" cm="1">
        <f t="array" ref="AC12">IFERROR(INDEX('Fig. 3 - Underlying Studies'!$G$7:$G$218/('Fig. 3 - Underlying Studies'!$E$7:$E$218/100),MATCH($B12&amp;AC$6,'Fig. 3 - Underlying Studies'!$B$7:$B$218&amp;'Fig. 3 - Underlying Studies'!$C$7:$C$218,0),1),"-")</f>
        <v>-</v>
      </c>
      <c r="AD12" s="1" t="str" cm="1">
        <f t="array" ref="AD12">IFERROR(INDEX('Fig. 3 - Underlying Studies'!$G$7:$G$218/('Fig. 3 - Underlying Studies'!$E$7:$E$218/100),MATCH($B12&amp;AD$6,'Fig. 3 - Underlying Studies'!$B$7:$B$218&amp;'Fig. 3 - Underlying Studies'!$C$7:$C$218,0),1),"-")</f>
        <v>-</v>
      </c>
      <c r="AE12" s="1" t="str" cm="1">
        <f t="array" ref="AE12">IFERROR(INDEX('Fig. 3 - Underlying Studies'!$G$7:$G$218/('Fig. 3 - Underlying Studies'!$E$7:$E$218/100),MATCH($B12&amp;AE$6,'Fig. 3 - Underlying Studies'!$B$7:$B$218&amp;'Fig. 3 - Underlying Studies'!$C$7:$C$218,0),1),"-")</f>
        <v>-</v>
      </c>
      <c r="AF12" s="1" t="str" cm="1">
        <f t="array" ref="AF12">IFERROR(INDEX('Fig. 3 - Underlying Studies'!$G$7:$G$218/('Fig. 3 - Underlying Studies'!$E$7:$E$218/100),MATCH($B12&amp;AF$6,'Fig. 3 - Underlying Studies'!$B$7:$B$218&amp;'Fig. 3 - Underlying Studies'!$C$7:$C$218,0),1),"-")</f>
        <v>-</v>
      </c>
    </row>
    <row r="13" spans="2:32" x14ac:dyDescent="0.6">
      <c r="B13" t="s">
        <v>198</v>
      </c>
      <c r="C13" s="10">
        <f>IF(H13="-","-",MIN(H13:AF13))</f>
        <v>0.1</v>
      </c>
      <c r="D13" s="9">
        <f t="shared" si="3"/>
        <v>1.066655650754794</v>
      </c>
      <c r="E13" s="9">
        <f>IF(H13="-","-",MAX(H13:AF13))</f>
        <v>3.4449999999999998</v>
      </c>
      <c r="F13" s="6">
        <f>D13/28.5-100%</f>
        <v>-0.96257348593842829</v>
      </c>
      <c r="G13" s="6">
        <f>C13/28.5-100%</f>
        <v>-0.99649122807017543</v>
      </c>
      <c r="H13" s="1" cm="1">
        <f t="array" ref="H13">IFERROR(INDEX('Fig. 3 - Underlying Studies'!$G$7:$G$218/('Fig. 3 - Underlying Studies'!$E$7:$E$218/100),MATCH($B13&amp;H$6,'Fig. 3 - Underlying Studies'!$B$7:$B$218&amp;'Fig. 3 - Underlying Studies'!$C$7:$C$218,0),1),"-")</f>
        <v>1.1534883720930234</v>
      </c>
      <c r="I13" s="1" cm="1">
        <f t="array" ref="I13">IFERROR(INDEX('Fig. 3 - Underlying Studies'!$G$7:$G$218/('Fig. 3 - Underlying Studies'!$E$7:$E$218/100),MATCH($B13&amp;I$6,'Fig. 3 - Underlying Studies'!$B$7:$B$218&amp;'Fig. 3 - Underlying Studies'!$C$7:$C$218,0),1),"-")</f>
        <v>1.1488372093023258</v>
      </c>
      <c r="J13" s="1" cm="1">
        <f t="array" ref="J13">IFERROR(INDEX('Fig. 3 - Underlying Studies'!$G$7:$G$218/('Fig. 3 - Underlying Studies'!$E$7:$E$218/100),MATCH($B13&amp;J$6,'Fig. 3 - Underlying Studies'!$B$7:$B$218&amp;'Fig. 3 - Underlying Studies'!$C$7:$C$218,0),1),"-")</f>
        <v>1.1209302325581396</v>
      </c>
      <c r="K13" s="1" cm="1">
        <f t="array" ref="K13">IFERROR(INDEX('Fig. 3 - Underlying Studies'!$G$7:$G$218/('Fig. 3 - Underlying Studies'!$E$7:$E$218/100),MATCH($B13&amp;K$6,'Fig. 3 - Underlying Studies'!$B$7:$B$218&amp;'Fig. 3 - Underlying Studies'!$C$7:$C$218,0),1),"-")</f>
        <v>0.1</v>
      </c>
      <c r="L13" s="1" cm="1">
        <f t="array" ref="L13">IFERROR(INDEX('Fig. 3 - Underlying Studies'!$G$7:$G$218/('Fig. 3 - Underlying Studies'!$E$7:$E$218/100),MATCH($B13&amp;L$6,'Fig. 3 - Underlying Studies'!$B$7:$B$218&amp;'Fig. 3 - Underlying Studies'!$C$7:$C$218,0),1),"-")</f>
        <v>0.12105263157894738</v>
      </c>
      <c r="M13" s="1" cm="1">
        <f t="array" ref="M13">IFERROR(INDEX('Fig. 3 - Underlying Studies'!$G$7:$G$218/('Fig. 3 - Underlying Studies'!$E$7:$E$218/100),MATCH($B13&amp;M$6,'Fig. 3 - Underlying Studies'!$B$7:$B$218&amp;'Fig. 3 - Underlying Studies'!$C$7:$C$218,0),1),"-")</f>
        <v>0.12105263157894738</v>
      </c>
      <c r="N13" s="1" cm="1">
        <f t="array" ref="N13">IFERROR(INDEX('Fig. 3 - Underlying Studies'!$G$7:$G$218/('Fig. 3 - Underlying Studies'!$E$7:$E$218/100),MATCH($B13&amp;N$6,'Fig. 3 - Underlying Studies'!$B$7:$B$218&amp;'Fig. 3 - Underlying Studies'!$C$7:$C$218,0),1),"-")</f>
        <v>0.24210526315789477</v>
      </c>
      <c r="O13" s="1" cm="1">
        <f t="array" ref="O13">IFERROR(INDEX('Fig. 3 - Underlying Studies'!$G$7:$G$218/('Fig. 3 - Underlying Studies'!$E$7:$E$218/100),MATCH($B13&amp;O$6,'Fig. 3 - Underlying Studies'!$B$7:$B$218&amp;'Fig. 3 - Underlying Studies'!$C$7:$C$218,0),1),"-")</f>
        <v>1.368421052631579</v>
      </c>
      <c r="P13" s="1" cm="1">
        <f t="array" ref="P13">IFERROR(INDEX('Fig. 3 - Underlying Studies'!$G$7:$G$218/('Fig. 3 - Underlying Studies'!$E$7:$E$218/100),MATCH($B13&amp;P$6,'Fig. 3 - Underlying Studies'!$B$7:$B$218&amp;'Fig. 3 - Underlying Studies'!$C$7:$C$218,0),1),"-")</f>
        <v>1.4842105263157894</v>
      </c>
      <c r="Q13" s="1" cm="1">
        <f t="array" ref="Q13">IFERROR(INDEX('Fig. 3 - Underlying Studies'!$G$7:$G$218/('Fig. 3 - Underlying Studies'!$E$7:$E$218/100),MATCH($B13&amp;Q$6,'Fig. 3 - Underlying Studies'!$B$7:$B$218&amp;'Fig. 3 - Underlying Studies'!$C$7:$C$218,0),1),"-")</f>
        <v>0.24210526315789477</v>
      </c>
      <c r="R13" s="1" cm="1">
        <f t="array" ref="R13">IFERROR(INDEX('Fig. 3 - Underlying Studies'!$G$7:$G$218/('Fig. 3 - Underlying Studies'!$E$7:$E$218/100),MATCH($B13&amp;R$6,'Fig. 3 - Underlying Studies'!$B$7:$B$218&amp;'Fig. 3 - Underlying Studies'!$C$7:$C$218,0),1),"-")</f>
        <v>1.368421052631579</v>
      </c>
      <c r="S13" s="1" cm="1">
        <f t="array" ref="S13">IFERROR(INDEX('Fig. 3 - Underlying Studies'!$G$7:$G$218/('Fig. 3 - Underlying Studies'!$E$7:$E$218/100),MATCH($B13&amp;S$6,'Fig. 3 - Underlying Studies'!$B$7:$B$218&amp;'Fig. 3 - Underlying Studies'!$C$7:$C$218,0),1),"-")</f>
        <v>1.4842105263157894</v>
      </c>
      <c r="T13" s="1" cm="1">
        <f t="array" ref="T13">IFERROR(INDEX('Fig. 3 - Underlying Studies'!$G$7:$G$218/('Fig. 3 - Underlying Studies'!$E$7:$E$218/100),MATCH($B13&amp;T$6,'Fig. 3 - Underlying Studies'!$B$7:$B$218&amp;'Fig. 3 - Underlying Studies'!$C$7:$C$218,0),1),"-")</f>
        <v>3.4449999999999998</v>
      </c>
      <c r="U13" s="1" cm="1">
        <f t="array" ref="U13">IFERROR(INDEX('Fig. 3 - Underlying Studies'!$G$7:$G$218/('Fig. 3 - Underlying Studies'!$E$7:$E$218/100),MATCH($B13&amp;U$6,'Fig. 3 - Underlying Studies'!$B$7:$B$218&amp;'Fig. 3 - Underlying Studies'!$C$7:$C$218,0),1),"-")</f>
        <v>1.68</v>
      </c>
      <c r="V13" s="1" cm="1">
        <f t="array" ref="V13">IFERROR(INDEX('Fig. 3 - Underlying Studies'!$G$7:$G$218/('Fig. 3 - Underlying Studies'!$E$7:$E$218/100),MATCH($B13&amp;V$6,'Fig. 3 - Underlying Studies'!$B$7:$B$218&amp;'Fig. 3 - Underlying Studies'!$C$7:$C$218,0),1),"-")</f>
        <v>0.92</v>
      </c>
      <c r="W13" s="1" t="str" cm="1">
        <f t="array" ref="W13">IFERROR(INDEX('Fig. 3 - Underlying Studies'!$G$7:$G$218/('Fig. 3 - Underlying Studies'!$E$7:$E$218/100),MATCH($B13&amp;W$6,'Fig. 3 - Underlying Studies'!$B$7:$B$218&amp;'Fig. 3 - Underlying Studies'!$C$7:$C$218,0),1),"-")</f>
        <v>-</v>
      </c>
      <c r="X13" s="1" t="str" cm="1">
        <f t="array" ref="X13">IFERROR(INDEX('Fig. 3 - Underlying Studies'!$G$7:$G$218/('Fig. 3 - Underlying Studies'!$E$7:$E$218/100),MATCH($B13&amp;X$6,'Fig. 3 - Underlying Studies'!$B$7:$B$218&amp;'Fig. 3 - Underlying Studies'!$C$7:$C$218,0),1),"-")</f>
        <v>-</v>
      </c>
      <c r="Y13" s="1" t="str" cm="1">
        <f t="array" ref="Y13">IFERROR(INDEX('Fig. 3 - Underlying Studies'!$G$7:$G$218/('Fig. 3 - Underlying Studies'!$E$7:$E$218/100),MATCH($B13&amp;Y$6,'Fig. 3 - Underlying Studies'!$B$7:$B$218&amp;'Fig. 3 - Underlying Studies'!$C$7:$C$218,0),1),"-")</f>
        <v>-</v>
      </c>
      <c r="Z13" s="1" t="str" cm="1">
        <f t="array" ref="Z13">IFERROR(INDEX('Fig. 3 - Underlying Studies'!$G$7:$G$218/('Fig. 3 - Underlying Studies'!$E$7:$E$218/100),MATCH($B13&amp;Z$6,'Fig. 3 - Underlying Studies'!$B$7:$B$218&amp;'Fig. 3 - Underlying Studies'!$C$7:$C$218,0),1),"-")</f>
        <v>-</v>
      </c>
      <c r="AA13" s="1" t="str" cm="1">
        <f t="array" ref="AA13">IFERROR(INDEX('Fig. 3 - Underlying Studies'!$G$7:$G$218/('Fig. 3 - Underlying Studies'!$E$7:$E$218/100),MATCH($B13&amp;AA$6,'Fig. 3 - Underlying Studies'!$B$7:$B$218&amp;'Fig. 3 - Underlying Studies'!$C$7:$C$218,0),1),"-")</f>
        <v>-</v>
      </c>
      <c r="AB13" s="1" t="str" cm="1">
        <f t="array" ref="AB13">IFERROR(INDEX('Fig. 3 - Underlying Studies'!$G$7:$G$218/('Fig. 3 - Underlying Studies'!$E$7:$E$218/100),MATCH($B13&amp;AB$6,'Fig. 3 - Underlying Studies'!$B$7:$B$218&amp;'Fig. 3 - Underlying Studies'!$C$7:$C$218,0),1),"-")</f>
        <v>-</v>
      </c>
      <c r="AC13" s="1" t="str" cm="1">
        <f t="array" ref="AC13">IFERROR(INDEX('Fig. 3 - Underlying Studies'!$G$7:$G$218/('Fig. 3 - Underlying Studies'!$E$7:$E$218/100),MATCH($B13&amp;AC$6,'Fig. 3 - Underlying Studies'!$B$7:$B$218&amp;'Fig. 3 - Underlying Studies'!$C$7:$C$218,0),1),"-")</f>
        <v>-</v>
      </c>
      <c r="AD13" s="1" t="str" cm="1">
        <f t="array" ref="AD13">IFERROR(INDEX('Fig. 3 - Underlying Studies'!$G$7:$G$218/('Fig. 3 - Underlying Studies'!$E$7:$E$218/100),MATCH($B13&amp;AD$6,'Fig. 3 - Underlying Studies'!$B$7:$B$218&amp;'Fig. 3 - Underlying Studies'!$C$7:$C$218,0),1),"-")</f>
        <v>-</v>
      </c>
      <c r="AE13" s="1" t="str" cm="1">
        <f t="array" ref="AE13">IFERROR(INDEX('Fig. 3 - Underlying Studies'!$G$7:$G$218/('Fig. 3 - Underlying Studies'!$E$7:$E$218/100),MATCH($B13&amp;AE$6,'Fig. 3 - Underlying Studies'!$B$7:$B$218&amp;'Fig. 3 - Underlying Studies'!$C$7:$C$218,0),1),"-")</f>
        <v>-</v>
      </c>
      <c r="AF13" s="1" t="str" cm="1">
        <f t="array" ref="AF13">IFERROR(INDEX('Fig. 3 - Underlying Studies'!$G$7:$G$218/('Fig. 3 - Underlying Studies'!$E$7:$E$218/100),MATCH($B13&amp;AF$6,'Fig. 3 - Underlying Studies'!$B$7:$B$218&amp;'Fig. 3 - Underlying Studies'!$C$7:$C$218,0),1),"-")</f>
        <v>-</v>
      </c>
    </row>
    <row r="14" spans="2:32" x14ac:dyDescent="0.6">
      <c r="B14" t="s">
        <v>179</v>
      </c>
      <c r="C14" s="10">
        <f t="shared" ref="C14" si="6">IF(H14="-","-",MIN(H14:AF14))</f>
        <v>0.11000000000000001</v>
      </c>
      <c r="D14" s="10">
        <f t="shared" si="3"/>
        <v>1.3274107731997624</v>
      </c>
      <c r="E14" s="9">
        <f t="shared" ref="E14" si="7">IF(H14="-","-",MAX(H14:AF14))</f>
        <v>2.238</v>
      </c>
      <c r="F14" s="6">
        <f t="shared" ref="F14" si="8">D14/28.5-100%</f>
        <v>-0.95342418339649959</v>
      </c>
      <c r="G14" s="6">
        <f t="shared" ref="G14" si="9">C14/28.5-100%</f>
        <v>-0.99614035087719299</v>
      </c>
      <c r="H14" s="1" cm="1">
        <f t="array" ref="H14">IFERROR(INDEX('Fig. 3 - Underlying Studies'!$G$7:$G$218/('Fig. 3 - Underlying Studies'!$E$7:$E$218/100),MATCH($B14&amp;H$6,'Fig. 3 - Underlying Studies'!$B$7:$B$218&amp;'Fig. 3 - Underlying Studies'!$C$7:$C$218,0),1),"-")</f>
        <v>1.8</v>
      </c>
      <c r="I14" s="1" cm="1">
        <f t="array" ref="I14">IFERROR(INDEX('Fig. 3 - Underlying Studies'!$G$7:$G$218/('Fig. 3 - Underlying Studies'!$E$7:$E$218/100),MATCH($B14&amp;I$6,'Fig. 3 - Underlying Studies'!$B$7:$B$218&amp;'Fig. 3 - Underlying Studies'!$C$7:$C$218,0),1),"-")</f>
        <v>0.63076923076923075</v>
      </c>
      <c r="J14" s="1" cm="1">
        <f t="array" ref="J14">IFERROR(INDEX('Fig. 3 - Underlying Studies'!$G$7:$G$218/('Fig. 3 - Underlying Studies'!$E$7:$E$218/100),MATCH($B14&amp;J$6,'Fig. 3 - Underlying Studies'!$B$7:$B$218&amp;'Fig. 3 - Underlying Studies'!$C$7:$C$218,0),1),"-")</f>
        <v>2.238</v>
      </c>
      <c r="K14" s="1" cm="1">
        <f t="array" ref="K14">IFERROR(INDEX('Fig. 3 - Underlying Studies'!$G$7:$G$218/('Fig. 3 - Underlying Studies'!$E$7:$E$218/100),MATCH($B14&amp;K$6,'Fig. 3 - Underlying Studies'!$B$7:$B$218&amp;'Fig. 3 - Underlying Studies'!$C$7:$C$218,0),1),"-")</f>
        <v>1.6414395149624401</v>
      </c>
      <c r="L14" s="1" cm="1">
        <f t="array" ref="L14">IFERROR(INDEX('Fig. 3 - Underlying Studies'!$G$7:$G$218/('Fig. 3 - Underlying Studies'!$E$7:$E$218/100),MATCH($B14&amp;L$6,'Fig. 3 - Underlying Studies'!$B$7:$B$218&amp;'Fig. 3 - Underlying Studies'!$C$7:$C$218,0),1),"-")</f>
        <v>1.1716666666666666</v>
      </c>
      <c r="M14" s="1" cm="1">
        <f t="array" ref="M14">IFERROR(INDEX('Fig. 3 - Underlying Studies'!$G$7:$G$218/('Fig. 3 - Underlying Studies'!$E$7:$E$218/100),MATCH($B14&amp;M$6,'Fig. 3 - Underlying Studies'!$B$7:$B$218&amp;'Fig. 3 - Underlying Studies'!$C$7:$C$218,0),1),"-")</f>
        <v>1.7</v>
      </c>
      <c r="N14" s="1" cm="1">
        <f t="array" ref="N14">IFERROR(INDEX('Fig. 3 - Underlying Studies'!$G$7:$G$218/('Fig. 3 - Underlying Studies'!$E$7:$E$218/100),MATCH($B14&amp;N$6,'Fig. 3 - Underlying Studies'!$B$7:$B$218&amp;'Fig. 3 - Underlying Studies'!$C$7:$C$218,0),1),"-")</f>
        <v>0.11000000000000001</v>
      </c>
      <c r="O14" s="1" t="str" cm="1">
        <f t="array" ref="O14">IFERROR(INDEX('Fig. 3 - Underlying Studies'!$G$7:$G$218/('Fig. 3 - Underlying Studies'!$E$7:$E$218/100),MATCH($B14&amp;O$6,'Fig. 3 - Underlying Studies'!$B$7:$B$218&amp;'Fig. 3 - Underlying Studies'!$C$7:$C$218,0),1),"-")</f>
        <v>-</v>
      </c>
      <c r="P14" s="1" t="str" cm="1">
        <f t="array" ref="P14">IFERROR(INDEX('Fig. 3 - Underlying Studies'!$G$7:$G$218/('Fig. 3 - Underlying Studies'!$E$7:$E$218/100),MATCH($B14&amp;P$6,'Fig. 3 - Underlying Studies'!$B$7:$B$218&amp;'Fig. 3 - Underlying Studies'!$C$7:$C$218,0),1),"-")</f>
        <v>-</v>
      </c>
      <c r="Q14" s="1" t="str" cm="1">
        <f t="array" ref="Q14">IFERROR(INDEX('Fig. 3 - Underlying Studies'!$G$7:$G$218/('Fig. 3 - Underlying Studies'!$E$7:$E$218/100),MATCH($B14&amp;Q$6,'Fig. 3 - Underlying Studies'!$B$7:$B$218&amp;'Fig. 3 - Underlying Studies'!$C$7:$C$218,0),1),"-")</f>
        <v>-</v>
      </c>
      <c r="R14" s="1" t="str" cm="1">
        <f t="array" ref="R14">IFERROR(INDEX('Fig. 3 - Underlying Studies'!$G$7:$G$218/('Fig. 3 - Underlying Studies'!$E$7:$E$218/100),MATCH($B14&amp;R$6,'Fig. 3 - Underlying Studies'!$B$7:$B$218&amp;'Fig. 3 - Underlying Studies'!$C$7:$C$218,0),1),"-")</f>
        <v>-</v>
      </c>
      <c r="S14" s="1" t="str" cm="1">
        <f t="array" ref="S14">IFERROR(INDEX('Fig. 3 - Underlying Studies'!$G$7:$G$218/('Fig. 3 - Underlying Studies'!$E$7:$E$218/100),MATCH($B14&amp;S$6,'Fig. 3 - Underlying Studies'!$B$7:$B$218&amp;'Fig. 3 - Underlying Studies'!$C$7:$C$218,0),1),"-")</f>
        <v>-</v>
      </c>
      <c r="T14" s="1" t="str" cm="1">
        <f t="array" ref="T14">IFERROR(INDEX('Fig. 3 - Underlying Studies'!$G$7:$G$218/('Fig. 3 - Underlying Studies'!$E$7:$E$218/100),MATCH($B14&amp;T$6,'Fig. 3 - Underlying Studies'!$B$7:$B$218&amp;'Fig. 3 - Underlying Studies'!$C$7:$C$218,0),1),"-")</f>
        <v>-</v>
      </c>
      <c r="U14" s="1" t="str" cm="1">
        <f t="array" ref="U14">IFERROR(INDEX('Fig. 3 - Underlying Studies'!$G$7:$G$218/('Fig. 3 - Underlying Studies'!$E$7:$E$218/100),MATCH($B14&amp;U$6,'Fig. 3 - Underlying Studies'!$B$7:$B$218&amp;'Fig. 3 - Underlying Studies'!$C$7:$C$218,0),1),"-")</f>
        <v>-</v>
      </c>
      <c r="V14" s="1" t="str" cm="1">
        <f t="array" ref="V14">IFERROR(INDEX('Fig. 3 - Underlying Studies'!$G$7:$G$218/('Fig. 3 - Underlying Studies'!$E$7:$E$218/100),MATCH($B14&amp;V$6,'Fig. 3 - Underlying Studies'!$B$7:$B$218&amp;'Fig. 3 - Underlying Studies'!$C$7:$C$218,0),1),"-")</f>
        <v>-</v>
      </c>
      <c r="W14" s="1" t="str" cm="1">
        <f t="array" ref="W14">IFERROR(INDEX('Fig. 3 - Underlying Studies'!$G$7:$G$218/('Fig. 3 - Underlying Studies'!$E$7:$E$218/100),MATCH($B14&amp;W$6,'Fig. 3 - Underlying Studies'!$B$7:$B$218&amp;'Fig. 3 - Underlying Studies'!$C$7:$C$218,0),1),"-")</f>
        <v>-</v>
      </c>
      <c r="X14" s="1" t="str" cm="1">
        <f t="array" ref="X14">IFERROR(INDEX('Fig. 3 - Underlying Studies'!$G$7:$G$218/('Fig. 3 - Underlying Studies'!$E$7:$E$218/100),MATCH($B14&amp;X$6,'Fig. 3 - Underlying Studies'!$B$7:$B$218&amp;'Fig. 3 - Underlying Studies'!$C$7:$C$218,0),1),"-")</f>
        <v>-</v>
      </c>
      <c r="Y14" s="1" t="str" cm="1">
        <f t="array" ref="Y14">IFERROR(INDEX('Fig. 3 - Underlying Studies'!$G$7:$G$218/('Fig. 3 - Underlying Studies'!$E$7:$E$218/100),MATCH($B14&amp;Y$6,'Fig. 3 - Underlying Studies'!$B$7:$B$218&amp;'Fig. 3 - Underlying Studies'!$C$7:$C$218,0),1),"-")</f>
        <v>-</v>
      </c>
      <c r="Z14" s="1" t="str" cm="1">
        <f t="array" ref="Z14">IFERROR(INDEX('Fig. 3 - Underlying Studies'!$G$7:$G$218/('Fig. 3 - Underlying Studies'!$E$7:$E$218/100),MATCH($B14&amp;Z$6,'Fig. 3 - Underlying Studies'!$B$7:$B$218&amp;'Fig. 3 - Underlying Studies'!$C$7:$C$218,0),1),"-")</f>
        <v>-</v>
      </c>
      <c r="AA14" s="1" t="str" cm="1">
        <f t="array" ref="AA14">IFERROR(INDEX('Fig. 3 - Underlying Studies'!$G$7:$G$218/('Fig. 3 - Underlying Studies'!$E$7:$E$218/100),MATCH($B14&amp;AA$6,'Fig. 3 - Underlying Studies'!$B$7:$B$218&amp;'Fig. 3 - Underlying Studies'!$C$7:$C$218,0),1),"-")</f>
        <v>-</v>
      </c>
      <c r="AB14" s="1" t="str" cm="1">
        <f t="array" ref="AB14">IFERROR(INDEX('Fig. 3 - Underlying Studies'!$G$7:$G$218/('Fig. 3 - Underlying Studies'!$E$7:$E$218/100),MATCH($B14&amp;AB$6,'Fig. 3 - Underlying Studies'!$B$7:$B$218&amp;'Fig. 3 - Underlying Studies'!$C$7:$C$218,0),1),"-")</f>
        <v>-</v>
      </c>
      <c r="AC14" s="1" t="str" cm="1">
        <f t="array" ref="AC14">IFERROR(INDEX('Fig. 3 - Underlying Studies'!$G$7:$G$218/('Fig. 3 - Underlying Studies'!$E$7:$E$218/100),MATCH($B14&amp;AC$6,'Fig. 3 - Underlying Studies'!$B$7:$B$218&amp;'Fig. 3 - Underlying Studies'!$C$7:$C$218,0),1),"-")</f>
        <v>-</v>
      </c>
      <c r="AD14" s="1" t="str" cm="1">
        <f t="array" ref="AD14">IFERROR(INDEX('Fig. 3 - Underlying Studies'!$G$7:$G$218/('Fig. 3 - Underlying Studies'!$E$7:$E$218/100),MATCH($B14&amp;AD$6,'Fig. 3 - Underlying Studies'!$B$7:$B$218&amp;'Fig. 3 - Underlying Studies'!$C$7:$C$218,0),1),"-")</f>
        <v>-</v>
      </c>
      <c r="AE14" s="1" t="str" cm="1">
        <f t="array" ref="AE14">IFERROR(INDEX('Fig. 3 - Underlying Studies'!$G$7:$G$218/('Fig. 3 - Underlying Studies'!$E$7:$E$218/100),MATCH($B14&amp;AE$6,'Fig. 3 - Underlying Studies'!$B$7:$B$218&amp;'Fig. 3 - Underlying Studies'!$C$7:$C$218,0),1),"-")</f>
        <v>-</v>
      </c>
      <c r="AF14" s="1" t="str" cm="1">
        <f t="array" ref="AF14">IFERROR(INDEX('Fig. 3 - Underlying Studies'!$G$7:$G$218/('Fig. 3 - Underlying Studies'!$E$7:$E$218/100),MATCH($B14&amp;AF$6,'Fig. 3 - Underlying Studies'!$B$7:$B$218&amp;'Fig. 3 - Underlying Studies'!$C$7:$C$218,0),1),"-")</f>
        <v>-</v>
      </c>
    </row>
    <row r="15" spans="2:32" x14ac:dyDescent="0.6">
      <c r="B15" t="s">
        <v>169</v>
      </c>
      <c r="C15" s="7">
        <f>1.77/0.658/(10*36%)</f>
        <v>0.74721377912867282</v>
      </c>
      <c r="D15" s="1">
        <f>3.52/0.658/(10*36%)</f>
        <v>1.485984464707869</v>
      </c>
      <c r="E15" s="1">
        <f>4.94/0.658/(10*36%)</f>
        <v>2.0854441067207028</v>
      </c>
      <c r="F15" s="6">
        <f>D15/28.5-100%</f>
        <v>-0.9478601942207765</v>
      </c>
      <c r="G15" s="6">
        <f>C15/28.5-100%</f>
        <v>-0.97378197266215183</v>
      </c>
      <c r="H15" t="s">
        <v>15</v>
      </c>
      <c r="I15" t="s">
        <v>15</v>
      </c>
      <c r="J15" t="s">
        <v>15</v>
      </c>
      <c r="K15" t="s">
        <v>15</v>
      </c>
      <c r="L15" t="s">
        <v>15</v>
      </c>
      <c r="M15" t="s">
        <v>15</v>
      </c>
      <c r="N15" t="s">
        <v>15</v>
      </c>
      <c r="O15" t="s">
        <v>15</v>
      </c>
      <c r="P15" t="s">
        <v>15</v>
      </c>
      <c r="Q15" t="s">
        <v>15</v>
      </c>
      <c r="R15" t="s">
        <v>15</v>
      </c>
      <c r="S15" t="s">
        <v>15</v>
      </c>
      <c r="T15" t="s">
        <v>15</v>
      </c>
      <c r="U15" t="s">
        <v>15</v>
      </c>
      <c r="V15" t="s">
        <v>15</v>
      </c>
      <c r="W15" t="s">
        <v>15</v>
      </c>
      <c r="X15" t="s">
        <v>15</v>
      </c>
      <c r="Y15" t="s">
        <v>15</v>
      </c>
      <c r="Z15" t="s">
        <v>15</v>
      </c>
      <c r="AA15" t="s">
        <v>15</v>
      </c>
      <c r="AB15" t="s">
        <v>15</v>
      </c>
      <c r="AC15" t="s">
        <v>15</v>
      </c>
      <c r="AD15" t="s">
        <v>15</v>
      </c>
      <c r="AE15" t="s">
        <v>15</v>
      </c>
      <c r="AF15" t="s">
        <v>15</v>
      </c>
    </row>
    <row r="16" spans="2:32" x14ac:dyDescent="0.6">
      <c r="B16" t="s">
        <v>11</v>
      </c>
      <c r="C16" s="7">
        <v>0.41299932295192954</v>
      </c>
      <c r="D16" s="1">
        <v>2.0108327691266079</v>
      </c>
      <c r="E16" s="1">
        <v>3.5138794854434665</v>
      </c>
      <c r="F16" s="6">
        <f t="shared" si="5"/>
        <v>-0.92944446424117166</v>
      </c>
      <c r="G16" s="6">
        <f t="shared" si="1"/>
        <v>-0.98550879568589722</v>
      </c>
      <c r="H16" t="s">
        <v>15</v>
      </c>
      <c r="I16" t="s">
        <v>15</v>
      </c>
      <c r="J16" t="s">
        <v>15</v>
      </c>
      <c r="K16" t="s">
        <v>15</v>
      </c>
      <c r="L16" t="s">
        <v>15</v>
      </c>
      <c r="M16" t="s">
        <v>15</v>
      </c>
      <c r="N16" t="s">
        <v>15</v>
      </c>
      <c r="O16" t="s">
        <v>15</v>
      </c>
      <c r="P16" t="s">
        <v>15</v>
      </c>
      <c r="Q16" t="s">
        <v>15</v>
      </c>
      <c r="R16" t="s">
        <v>15</v>
      </c>
      <c r="S16" t="s">
        <v>15</v>
      </c>
      <c r="T16" t="s">
        <v>15</v>
      </c>
      <c r="U16" t="s">
        <v>15</v>
      </c>
      <c r="V16" t="s">
        <v>15</v>
      </c>
      <c r="W16" t="s">
        <v>15</v>
      </c>
      <c r="X16" t="s">
        <v>15</v>
      </c>
      <c r="Y16" t="s">
        <v>15</v>
      </c>
      <c r="Z16" t="s">
        <v>15</v>
      </c>
      <c r="AA16" t="s">
        <v>15</v>
      </c>
      <c r="AB16" t="s">
        <v>15</v>
      </c>
      <c r="AC16" t="s">
        <v>15</v>
      </c>
      <c r="AD16" t="s">
        <v>15</v>
      </c>
      <c r="AE16" t="s">
        <v>15</v>
      </c>
      <c r="AF16" t="s">
        <v>15</v>
      </c>
    </row>
    <row r="17" spans="2:32" x14ac:dyDescent="0.6">
      <c r="B17" t="s">
        <v>2</v>
      </c>
      <c r="C17" s="1">
        <v>1.2466246624662467</v>
      </c>
      <c r="D17" s="1">
        <v>3.3573357335733576</v>
      </c>
      <c r="E17" s="1">
        <v>6.3861386138613856</v>
      </c>
      <c r="F17" s="6">
        <f t="shared" si="5"/>
        <v>-0.8821987461904085</v>
      </c>
      <c r="G17" s="6">
        <f t="shared" si="1"/>
        <v>-0.95625878377311413</v>
      </c>
      <c r="H17" t="s">
        <v>15</v>
      </c>
      <c r="I17" t="s">
        <v>15</v>
      </c>
      <c r="J17" t="s">
        <v>15</v>
      </c>
      <c r="K17" t="s">
        <v>15</v>
      </c>
      <c r="L17" t="s">
        <v>15</v>
      </c>
      <c r="M17" t="s">
        <v>15</v>
      </c>
      <c r="N17" t="s">
        <v>15</v>
      </c>
      <c r="O17" t="s">
        <v>15</v>
      </c>
      <c r="P17" t="s">
        <v>15</v>
      </c>
      <c r="Q17" t="s">
        <v>15</v>
      </c>
      <c r="R17" t="s">
        <v>15</v>
      </c>
      <c r="S17" t="s">
        <v>15</v>
      </c>
      <c r="T17" t="s">
        <v>15</v>
      </c>
      <c r="U17" t="s">
        <v>15</v>
      </c>
      <c r="V17" t="s">
        <v>15</v>
      </c>
      <c r="W17" t="s">
        <v>15</v>
      </c>
      <c r="X17" t="s">
        <v>15</v>
      </c>
      <c r="Y17" t="s">
        <v>15</v>
      </c>
      <c r="Z17" t="s">
        <v>15</v>
      </c>
      <c r="AA17" t="s">
        <v>15</v>
      </c>
      <c r="AB17" t="s">
        <v>15</v>
      </c>
      <c r="AC17" t="s">
        <v>15</v>
      </c>
      <c r="AD17" t="s">
        <v>15</v>
      </c>
      <c r="AE17" t="s">
        <v>15</v>
      </c>
      <c r="AF17" t="s">
        <v>15</v>
      </c>
    </row>
    <row r="18" spans="2:32" x14ac:dyDescent="0.6">
      <c r="B18" t="s">
        <v>4</v>
      </c>
      <c r="C18" s="1">
        <v>1.7838044308632544</v>
      </c>
      <c r="D18" s="1">
        <v>3.4797555385790679</v>
      </c>
      <c r="E18" s="1">
        <v>5.8747135217723461</v>
      </c>
      <c r="F18" s="6">
        <f t="shared" si="5"/>
        <v>-0.87790331443582215</v>
      </c>
      <c r="G18" s="6">
        <f t="shared" si="1"/>
        <v>-0.93741037084690337</v>
      </c>
      <c r="H18" t="s">
        <v>15</v>
      </c>
      <c r="I18" t="s">
        <v>15</v>
      </c>
      <c r="J18" t="s">
        <v>15</v>
      </c>
      <c r="K18" t="s">
        <v>15</v>
      </c>
      <c r="L18" t="s">
        <v>15</v>
      </c>
      <c r="M18" t="s">
        <v>15</v>
      </c>
      <c r="N18" t="s">
        <v>15</v>
      </c>
      <c r="O18" t="s">
        <v>15</v>
      </c>
      <c r="P18" t="s">
        <v>15</v>
      </c>
      <c r="Q18" t="s">
        <v>15</v>
      </c>
      <c r="R18" t="s">
        <v>15</v>
      </c>
      <c r="S18" t="s">
        <v>15</v>
      </c>
      <c r="T18" t="s">
        <v>15</v>
      </c>
      <c r="U18" t="s">
        <v>15</v>
      </c>
      <c r="V18" t="s">
        <v>15</v>
      </c>
      <c r="W18" t="s">
        <v>15</v>
      </c>
      <c r="X18" t="s">
        <v>15</v>
      </c>
      <c r="Y18" t="s">
        <v>15</v>
      </c>
      <c r="Z18" t="s">
        <v>15</v>
      </c>
      <c r="AA18" t="s">
        <v>15</v>
      </c>
      <c r="AB18" t="s">
        <v>15</v>
      </c>
      <c r="AC18" t="s">
        <v>15</v>
      </c>
      <c r="AD18" t="s">
        <v>15</v>
      </c>
      <c r="AE18" t="s">
        <v>15</v>
      </c>
      <c r="AF18" t="s">
        <v>15</v>
      </c>
    </row>
    <row r="19" spans="2:32" x14ac:dyDescent="0.6">
      <c r="B19" t="s">
        <v>10</v>
      </c>
      <c r="C19" s="1">
        <v>0.35957026967770223</v>
      </c>
      <c r="D19" s="1">
        <v>3.6877877658408247</v>
      </c>
      <c r="E19" s="1">
        <v>4.6042534531900898</v>
      </c>
      <c r="F19" s="6">
        <f t="shared" si="5"/>
        <v>-0.87060393804067282</v>
      </c>
      <c r="G19" s="6">
        <f t="shared" si="1"/>
        <v>-0.98738349930955427</v>
      </c>
      <c r="H19" t="s">
        <v>15</v>
      </c>
      <c r="I19" t="s">
        <v>15</v>
      </c>
      <c r="J19" t="s">
        <v>15</v>
      </c>
      <c r="K19" t="s">
        <v>15</v>
      </c>
      <c r="L19" t="s">
        <v>15</v>
      </c>
      <c r="M19" t="s">
        <v>15</v>
      </c>
      <c r="N19" t="s">
        <v>15</v>
      </c>
      <c r="O19" t="s">
        <v>15</v>
      </c>
      <c r="P19" t="s">
        <v>15</v>
      </c>
      <c r="Q19" t="s">
        <v>15</v>
      </c>
      <c r="R19" t="s">
        <v>15</v>
      </c>
      <c r="S19" t="s">
        <v>15</v>
      </c>
      <c r="T19" t="s">
        <v>15</v>
      </c>
      <c r="U19" t="s">
        <v>15</v>
      </c>
      <c r="V19" t="s">
        <v>15</v>
      </c>
      <c r="W19" t="s">
        <v>15</v>
      </c>
      <c r="X19" t="s">
        <v>15</v>
      </c>
      <c r="Y19" t="s">
        <v>15</v>
      </c>
      <c r="Z19" t="s">
        <v>15</v>
      </c>
      <c r="AA19" t="s">
        <v>15</v>
      </c>
      <c r="AB19" t="s">
        <v>15</v>
      </c>
      <c r="AC19" t="s">
        <v>15</v>
      </c>
      <c r="AD19" t="s">
        <v>15</v>
      </c>
      <c r="AE19" t="s">
        <v>15</v>
      </c>
      <c r="AF19" t="s">
        <v>15</v>
      </c>
    </row>
    <row r="20" spans="2:32" x14ac:dyDescent="0.6">
      <c r="B20" t="s">
        <v>9</v>
      </c>
      <c r="C20" s="1">
        <v>3.9473684210526319</v>
      </c>
      <c r="D20" s="1">
        <v>5.6506849315068495</v>
      </c>
      <c r="E20" s="1">
        <v>7.9217736121124727</v>
      </c>
      <c r="F20" s="6">
        <f t="shared" si="5"/>
        <v>-0.80173035328046138</v>
      </c>
      <c r="G20" s="6">
        <f>C20/28.5-100%</f>
        <v>-0.86149584487534625</v>
      </c>
      <c r="H20" t="s">
        <v>15</v>
      </c>
      <c r="I20" t="s">
        <v>15</v>
      </c>
      <c r="J20" t="s">
        <v>15</v>
      </c>
      <c r="K20" t="s">
        <v>15</v>
      </c>
      <c r="L20" t="s">
        <v>15</v>
      </c>
      <c r="M20" t="s">
        <v>15</v>
      </c>
      <c r="N20" t="s">
        <v>15</v>
      </c>
      <c r="O20" t="s">
        <v>15</v>
      </c>
      <c r="P20" t="s">
        <v>15</v>
      </c>
      <c r="Q20" t="s">
        <v>15</v>
      </c>
      <c r="R20" t="s">
        <v>15</v>
      </c>
      <c r="S20" t="s">
        <v>15</v>
      </c>
      <c r="T20" t="s">
        <v>15</v>
      </c>
      <c r="U20" t="s">
        <v>15</v>
      </c>
      <c r="V20" t="s">
        <v>15</v>
      </c>
      <c r="W20" t="s">
        <v>15</v>
      </c>
      <c r="X20" t="s">
        <v>15</v>
      </c>
      <c r="Y20" t="s">
        <v>15</v>
      </c>
      <c r="Z20" t="s">
        <v>15</v>
      </c>
      <c r="AA20" t="s">
        <v>15</v>
      </c>
      <c r="AB20" t="s">
        <v>15</v>
      </c>
      <c r="AC20" t="s">
        <v>15</v>
      </c>
      <c r="AD20" t="s">
        <v>15</v>
      </c>
      <c r="AE20" t="s">
        <v>15</v>
      </c>
      <c r="AF20" t="s">
        <v>15</v>
      </c>
    </row>
    <row r="21" spans="2:32" x14ac:dyDescent="0.6">
      <c r="B21" t="s">
        <v>7</v>
      </c>
      <c r="C21" s="1">
        <v>3.8394919168591226</v>
      </c>
      <c r="D21" s="1">
        <v>7.0554272517321017</v>
      </c>
      <c r="E21" s="1">
        <v>9.2494226327944578</v>
      </c>
      <c r="F21" s="6">
        <f t="shared" si="5"/>
        <v>-0.75244114906203152</v>
      </c>
      <c r="G21" s="6">
        <f t="shared" ref="G21:G27" si="10">C21/28.5-100%</f>
        <v>-0.86528098537336406</v>
      </c>
      <c r="H21" t="s">
        <v>15</v>
      </c>
      <c r="I21" t="s">
        <v>15</v>
      </c>
      <c r="J21" t="s">
        <v>15</v>
      </c>
      <c r="K21" t="s">
        <v>15</v>
      </c>
      <c r="L21" t="s">
        <v>15</v>
      </c>
      <c r="M21" t="s">
        <v>15</v>
      </c>
      <c r="N21" t="s">
        <v>15</v>
      </c>
      <c r="O21" t="s">
        <v>15</v>
      </c>
      <c r="P21" t="s">
        <v>15</v>
      </c>
      <c r="Q21" t="s">
        <v>15</v>
      </c>
      <c r="R21" t="s">
        <v>15</v>
      </c>
      <c r="S21" t="s">
        <v>15</v>
      </c>
      <c r="T21" t="s">
        <v>15</v>
      </c>
      <c r="U21" t="s">
        <v>15</v>
      </c>
      <c r="V21" t="s">
        <v>15</v>
      </c>
      <c r="W21" t="s">
        <v>15</v>
      </c>
      <c r="X21" t="s">
        <v>15</v>
      </c>
      <c r="Y21" t="s">
        <v>15</v>
      </c>
      <c r="Z21" t="s">
        <v>15</v>
      </c>
      <c r="AA21" t="s">
        <v>15</v>
      </c>
      <c r="AB21" t="s">
        <v>15</v>
      </c>
      <c r="AC21" t="s">
        <v>15</v>
      </c>
      <c r="AD21" t="s">
        <v>15</v>
      </c>
      <c r="AE21" t="s">
        <v>15</v>
      </c>
      <c r="AF21" t="s">
        <v>15</v>
      </c>
    </row>
    <row r="22" spans="2:32" x14ac:dyDescent="0.6">
      <c r="B22" t="s">
        <v>1</v>
      </c>
      <c r="C22" s="1">
        <v>4.638019617001401</v>
      </c>
      <c r="D22" s="1">
        <v>7.2723026623073332</v>
      </c>
      <c r="E22" s="1">
        <v>19.266697804764128</v>
      </c>
      <c r="F22" s="6">
        <f>D22/28.5-100%</f>
        <v>-0.74483148553307599</v>
      </c>
      <c r="G22" s="6">
        <f>C22/28.5-100%</f>
        <v>-0.83726246957889816</v>
      </c>
      <c r="H22" t="s">
        <v>15</v>
      </c>
      <c r="I22" t="s">
        <v>15</v>
      </c>
      <c r="J22" t="s">
        <v>15</v>
      </c>
      <c r="K22" t="s">
        <v>15</v>
      </c>
      <c r="L22" t="s">
        <v>15</v>
      </c>
      <c r="M22" t="s">
        <v>15</v>
      </c>
      <c r="N22" t="s">
        <v>15</v>
      </c>
      <c r="O22" t="s">
        <v>15</v>
      </c>
      <c r="P22" t="s">
        <v>15</v>
      </c>
      <c r="Q22" t="s">
        <v>15</v>
      </c>
      <c r="R22" t="s">
        <v>15</v>
      </c>
      <c r="S22" t="s">
        <v>15</v>
      </c>
      <c r="T22" t="s">
        <v>15</v>
      </c>
      <c r="U22" t="s">
        <v>15</v>
      </c>
      <c r="V22" t="s">
        <v>15</v>
      </c>
      <c r="W22" t="s">
        <v>15</v>
      </c>
      <c r="X22" t="s">
        <v>15</v>
      </c>
      <c r="Y22" t="s">
        <v>15</v>
      </c>
      <c r="Z22" t="s">
        <v>15</v>
      </c>
      <c r="AA22" t="s">
        <v>15</v>
      </c>
      <c r="AB22" t="s">
        <v>15</v>
      </c>
      <c r="AC22" t="s">
        <v>15</v>
      </c>
      <c r="AD22" t="s">
        <v>15</v>
      </c>
      <c r="AE22" t="s">
        <v>15</v>
      </c>
      <c r="AF22" t="s">
        <v>15</v>
      </c>
    </row>
    <row r="23" spans="2:32" x14ac:dyDescent="0.6">
      <c r="B23" t="s">
        <v>3</v>
      </c>
      <c r="C23" s="1">
        <v>2.7495407225964485</v>
      </c>
      <c r="D23" s="1">
        <v>7.9363135333741583</v>
      </c>
      <c r="E23" s="1">
        <v>16.282914880587875</v>
      </c>
      <c r="F23" s="6">
        <f t="shared" si="5"/>
        <v>-0.72153285847809978</v>
      </c>
      <c r="G23" s="6">
        <f t="shared" si="10"/>
        <v>-0.9035248869264404</v>
      </c>
      <c r="H23" t="s">
        <v>15</v>
      </c>
      <c r="I23" t="s">
        <v>15</v>
      </c>
      <c r="J23" t="s">
        <v>15</v>
      </c>
      <c r="K23" t="s">
        <v>15</v>
      </c>
      <c r="L23" t="s">
        <v>15</v>
      </c>
      <c r="M23" t="s">
        <v>15</v>
      </c>
      <c r="N23" t="s">
        <v>15</v>
      </c>
      <c r="O23" t="s">
        <v>15</v>
      </c>
      <c r="P23" t="s">
        <v>15</v>
      </c>
      <c r="Q23" t="s">
        <v>15</v>
      </c>
      <c r="R23" t="s">
        <v>15</v>
      </c>
      <c r="S23" t="s">
        <v>15</v>
      </c>
      <c r="T23" t="s">
        <v>15</v>
      </c>
      <c r="U23" t="s">
        <v>15</v>
      </c>
      <c r="V23" t="s">
        <v>15</v>
      </c>
      <c r="W23" t="s">
        <v>15</v>
      </c>
      <c r="X23" t="s">
        <v>15</v>
      </c>
      <c r="Y23" t="s">
        <v>15</v>
      </c>
      <c r="Z23" t="s">
        <v>15</v>
      </c>
      <c r="AA23" t="s">
        <v>15</v>
      </c>
      <c r="AB23" t="s">
        <v>15</v>
      </c>
      <c r="AC23" t="s">
        <v>15</v>
      </c>
      <c r="AD23" t="s">
        <v>15</v>
      </c>
      <c r="AE23" t="s">
        <v>15</v>
      </c>
      <c r="AF23" t="s">
        <v>15</v>
      </c>
    </row>
    <row r="24" spans="2:32" x14ac:dyDescent="0.6">
      <c r="B24" t="s">
        <v>6</v>
      </c>
      <c r="C24" s="1">
        <v>4.7960444993819529</v>
      </c>
      <c r="D24" s="1">
        <v>10.72929542645241</v>
      </c>
      <c r="E24" s="1">
        <v>19.227441285537701</v>
      </c>
      <c r="F24" s="6">
        <f t="shared" si="5"/>
        <v>-0.62353349380868739</v>
      </c>
      <c r="G24" s="6">
        <f t="shared" si="10"/>
        <v>-0.83171773686379113</v>
      </c>
      <c r="H24" t="s">
        <v>15</v>
      </c>
      <c r="I24" t="s">
        <v>15</v>
      </c>
      <c r="J24" t="s">
        <v>15</v>
      </c>
      <c r="K24" t="s">
        <v>15</v>
      </c>
      <c r="L24" t="s">
        <v>15</v>
      </c>
      <c r="M24" t="s">
        <v>15</v>
      </c>
      <c r="N24" t="s">
        <v>15</v>
      </c>
      <c r="O24" t="s">
        <v>15</v>
      </c>
      <c r="P24" t="s">
        <v>15</v>
      </c>
      <c r="Q24" t="s">
        <v>15</v>
      </c>
      <c r="R24" t="s">
        <v>15</v>
      </c>
      <c r="S24" t="s">
        <v>15</v>
      </c>
      <c r="T24" t="s">
        <v>15</v>
      </c>
      <c r="U24" t="s">
        <v>15</v>
      </c>
      <c r="V24" t="s">
        <v>15</v>
      </c>
      <c r="W24" t="s">
        <v>15</v>
      </c>
      <c r="X24" t="s">
        <v>15</v>
      </c>
      <c r="Y24" t="s">
        <v>15</v>
      </c>
      <c r="Z24" t="s">
        <v>15</v>
      </c>
      <c r="AA24" t="s">
        <v>15</v>
      </c>
      <c r="AB24" t="s">
        <v>15</v>
      </c>
      <c r="AC24" t="s">
        <v>15</v>
      </c>
      <c r="AD24" t="s">
        <v>15</v>
      </c>
      <c r="AE24" t="s">
        <v>15</v>
      </c>
      <c r="AF24" t="s">
        <v>15</v>
      </c>
    </row>
    <row r="25" spans="2:32" x14ac:dyDescent="0.6">
      <c r="B25" t="s">
        <v>122</v>
      </c>
      <c r="C25" s="1">
        <v>7.289766970618035</v>
      </c>
      <c r="D25" s="1">
        <v>21.904761904761905</v>
      </c>
      <c r="E25" s="1">
        <v>32.4822695035461</v>
      </c>
      <c r="F25" s="6">
        <f t="shared" si="5"/>
        <v>-0.2314118629908104</v>
      </c>
      <c r="G25" s="6">
        <f t="shared" si="10"/>
        <v>-0.74421870278533209</v>
      </c>
      <c r="H25" t="s">
        <v>15</v>
      </c>
      <c r="I25" t="s">
        <v>15</v>
      </c>
      <c r="J25" t="s">
        <v>15</v>
      </c>
      <c r="K25" t="s">
        <v>15</v>
      </c>
      <c r="L25" t="s">
        <v>15</v>
      </c>
      <c r="M25" t="s">
        <v>15</v>
      </c>
      <c r="N25" t="s">
        <v>15</v>
      </c>
      <c r="O25" t="s">
        <v>15</v>
      </c>
      <c r="P25" t="s">
        <v>15</v>
      </c>
      <c r="Q25" t="s">
        <v>15</v>
      </c>
      <c r="R25" t="s">
        <v>15</v>
      </c>
      <c r="S25" t="s">
        <v>15</v>
      </c>
      <c r="T25" t="s">
        <v>15</v>
      </c>
      <c r="U25" t="s">
        <v>15</v>
      </c>
      <c r="V25" t="s">
        <v>15</v>
      </c>
      <c r="W25" t="s">
        <v>15</v>
      </c>
      <c r="X25" t="s">
        <v>15</v>
      </c>
      <c r="Y25" t="s">
        <v>15</v>
      </c>
      <c r="Z25" t="s">
        <v>15</v>
      </c>
      <c r="AA25" t="s">
        <v>15</v>
      </c>
      <c r="AB25" t="s">
        <v>15</v>
      </c>
      <c r="AC25" t="s">
        <v>15</v>
      </c>
      <c r="AD25" t="s">
        <v>15</v>
      </c>
      <c r="AE25" t="s">
        <v>15</v>
      </c>
      <c r="AF25" t="s">
        <v>15</v>
      </c>
    </row>
    <row r="26" spans="2:32" x14ac:dyDescent="0.6">
      <c r="B26" t="s">
        <v>8</v>
      </c>
      <c r="C26" s="1">
        <v>4.32518115942029</v>
      </c>
      <c r="D26" s="1">
        <v>39.759963768115945</v>
      </c>
      <c r="E26" s="1">
        <v>108.33786231884058</v>
      </c>
      <c r="F26" s="6">
        <f t="shared" si="5"/>
        <v>0.39508644800406834</v>
      </c>
      <c r="G26" s="6">
        <f t="shared" si="10"/>
        <v>-0.84823925756420038</v>
      </c>
      <c r="H26" t="s">
        <v>15</v>
      </c>
      <c r="I26" t="s">
        <v>15</v>
      </c>
      <c r="J26" t="s">
        <v>15</v>
      </c>
      <c r="K26" t="s">
        <v>15</v>
      </c>
      <c r="L26" t="s">
        <v>15</v>
      </c>
      <c r="M26" t="s">
        <v>15</v>
      </c>
      <c r="N26" t="s">
        <v>15</v>
      </c>
      <c r="O26" t="s">
        <v>15</v>
      </c>
      <c r="P26" t="s">
        <v>15</v>
      </c>
      <c r="Q26" t="s">
        <v>15</v>
      </c>
      <c r="R26" t="s">
        <v>15</v>
      </c>
      <c r="S26" t="s">
        <v>15</v>
      </c>
      <c r="T26" t="s">
        <v>15</v>
      </c>
      <c r="U26" t="s">
        <v>15</v>
      </c>
      <c r="V26" t="s">
        <v>15</v>
      </c>
      <c r="W26" t="s">
        <v>15</v>
      </c>
      <c r="X26" t="s">
        <v>15</v>
      </c>
      <c r="Y26" t="s">
        <v>15</v>
      </c>
      <c r="Z26" t="s">
        <v>15</v>
      </c>
      <c r="AA26" t="s">
        <v>15</v>
      </c>
      <c r="AB26" t="s">
        <v>15</v>
      </c>
      <c r="AC26" t="s">
        <v>15</v>
      </c>
      <c r="AD26" t="s">
        <v>15</v>
      </c>
      <c r="AE26" t="s">
        <v>15</v>
      </c>
      <c r="AF26" t="s">
        <v>15</v>
      </c>
    </row>
    <row r="27" spans="2:32" x14ac:dyDescent="0.6">
      <c r="B27" t="s">
        <v>123</v>
      </c>
      <c r="C27" s="1">
        <v>41.544633901705119</v>
      </c>
      <c r="D27" s="1">
        <v>163.59578736208624</v>
      </c>
      <c r="E27" s="1">
        <v>368.65095285857575</v>
      </c>
      <c r="F27" s="6">
        <f t="shared" si="5"/>
        <v>4.7402030653363596</v>
      </c>
      <c r="G27" s="6">
        <f t="shared" si="10"/>
        <v>0.45770645269140764</v>
      </c>
      <c r="H27" t="s">
        <v>15</v>
      </c>
      <c r="I27" t="s">
        <v>15</v>
      </c>
      <c r="J27" t="s">
        <v>15</v>
      </c>
      <c r="K27" t="s">
        <v>15</v>
      </c>
      <c r="L27" t="s">
        <v>15</v>
      </c>
      <c r="M27" t="s">
        <v>15</v>
      </c>
      <c r="N27" t="s">
        <v>15</v>
      </c>
      <c r="O27" t="s">
        <v>15</v>
      </c>
      <c r="P27" t="s">
        <v>15</v>
      </c>
      <c r="Q27" t="s">
        <v>15</v>
      </c>
      <c r="R27" t="s">
        <v>15</v>
      </c>
      <c r="S27" t="s">
        <v>15</v>
      </c>
      <c r="T27" t="s">
        <v>15</v>
      </c>
      <c r="U27" t="s">
        <v>15</v>
      </c>
      <c r="V27" t="s">
        <v>15</v>
      </c>
      <c r="W27" t="s">
        <v>15</v>
      </c>
      <c r="X27" t="s">
        <v>15</v>
      </c>
      <c r="Y27" t="s">
        <v>15</v>
      </c>
      <c r="Z27" t="s">
        <v>15</v>
      </c>
      <c r="AA27" t="s">
        <v>15</v>
      </c>
      <c r="AB27" t="s">
        <v>15</v>
      </c>
      <c r="AC27" t="s">
        <v>15</v>
      </c>
      <c r="AD27" t="s">
        <v>15</v>
      </c>
      <c r="AE27" t="s">
        <v>15</v>
      </c>
      <c r="AF27" t="s">
        <v>15</v>
      </c>
    </row>
    <row r="28" spans="2:32" x14ac:dyDescent="0.6">
      <c r="B28" t="s">
        <v>5</v>
      </c>
      <c r="C28" s="1">
        <v>30.014992503748129</v>
      </c>
      <c r="D28" s="1">
        <v>184.81259370314845</v>
      </c>
      <c r="E28" s="1">
        <v>221.05947026486757</v>
      </c>
      <c r="F28" s="6">
        <f>D28/28.5-100%</f>
        <v>5.4846524106367873</v>
      </c>
      <c r="G28" s="6">
        <f>C28/28.5-100%</f>
        <v>5.3157631710460729E-2</v>
      </c>
      <c r="H28" t="s">
        <v>15</v>
      </c>
      <c r="I28" t="s">
        <v>15</v>
      </c>
      <c r="J28" t="s">
        <v>15</v>
      </c>
      <c r="K28" t="s">
        <v>15</v>
      </c>
      <c r="L28" t="s">
        <v>15</v>
      </c>
      <c r="M28" t="s">
        <v>15</v>
      </c>
      <c r="N28" t="s">
        <v>15</v>
      </c>
      <c r="O28" t="s">
        <v>15</v>
      </c>
      <c r="P28" t="s">
        <v>15</v>
      </c>
      <c r="Q28" t="s">
        <v>15</v>
      </c>
      <c r="R28" t="s">
        <v>15</v>
      </c>
      <c r="S28" t="s">
        <v>15</v>
      </c>
      <c r="T28" t="s">
        <v>15</v>
      </c>
      <c r="U28" t="s">
        <v>15</v>
      </c>
      <c r="V28" t="s">
        <v>15</v>
      </c>
      <c r="W28" t="s">
        <v>15</v>
      </c>
      <c r="X28" t="s">
        <v>15</v>
      </c>
      <c r="Y28" t="s">
        <v>15</v>
      </c>
      <c r="Z28" t="s">
        <v>15</v>
      </c>
      <c r="AA28" t="s">
        <v>15</v>
      </c>
      <c r="AB28" t="s">
        <v>15</v>
      </c>
      <c r="AC28" t="s">
        <v>15</v>
      </c>
      <c r="AD28" t="s">
        <v>15</v>
      </c>
      <c r="AE28" t="s">
        <v>15</v>
      </c>
      <c r="AF28" t="s">
        <v>15</v>
      </c>
    </row>
    <row r="29" spans="2:32" x14ac:dyDescent="0.6">
      <c r="C29" s="1"/>
      <c r="D29" s="1"/>
      <c r="E29" s="1"/>
      <c r="F29" s="1"/>
      <c r="G29" s="1"/>
    </row>
    <row r="30" spans="2:32" x14ac:dyDescent="0.6">
      <c r="C30" s="1"/>
      <c r="D30" s="1"/>
      <c r="E30" s="1"/>
      <c r="F30" s="1"/>
      <c r="G30" s="1"/>
    </row>
    <row r="31" spans="2:32" x14ac:dyDescent="0.6">
      <c r="C31" s="1"/>
      <c r="D31" s="1"/>
      <c r="E31" s="1"/>
      <c r="F31" s="1"/>
      <c r="G31" s="1"/>
    </row>
    <row r="32" spans="2:32" x14ac:dyDescent="0.6">
      <c r="C32" s="1"/>
      <c r="D32" s="1"/>
      <c r="E32" s="1"/>
      <c r="F32" s="1"/>
      <c r="G32" s="1"/>
    </row>
    <row r="33" spans="3:7" x14ac:dyDescent="0.6">
      <c r="C33" s="1"/>
      <c r="D33" s="1"/>
      <c r="E33" s="1"/>
      <c r="F33" s="1"/>
      <c r="G33" s="1"/>
    </row>
    <row r="34" spans="3:7" x14ac:dyDescent="0.6">
      <c r="C34" s="1"/>
      <c r="D34" s="1"/>
      <c r="E34" s="1"/>
      <c r="F34" s="1"/>
      <c r="G34" s="1"/>
    </row>
    <row r="35" spans="3:7" x14ac:dyDescent="0.6">
      <c r="C35" s="1"/>
      <c r="D35" s="1"/>
      <c r="E35" s="1"/>
      <c r="F35" s="1"/>
      <c r="G35" s="1"/>
    </row>
    <row r="36" spans="3:7" x14ac:dyDescent="0.6">
      <c r="C36" s="1"/>
      <c r="D36" s="1"/>
      <c r="E36" s="1"/>
      <c r="F36" s="1"/>
      <c r="G36" s="1"/>
    </row>
    <row r="37" spans="3:7" x14ac:dyDescent="0.6">
      <c r="C37" s="1"/>
      <c r="D37" s="1"/>
      <c r="E37" s="1"/>
      <c r="F37" s="1"/>
      <c r="G37" s="1"/>
    </row>
    <row r="38" spans="3:7" x14ac:dyDescent="0.6">
      <c r="C38" s="1"/>
      <c r="D38" s="1"/>
      <c r="E38" s="1"/>
      <c r="F38" s="1"/>
      <c r="G38" s="1"/>
    </row>
    <row r="39" spans="3:7" x14ac:dyDescent="0.6">
      <c r="C39" s="1"/>
      <c r="D39" s="1"/>
      <c r="E39" s="1"/>
      <c r="F39" s="1"/>
      <c r="G39" s="1"/>
    </row>
    <row r="40" spans="3:7" x14ac:dyDescent="0.6">
      <c r="C40" s="1"/>
      <c r="D40" s="1"/>
      <c r="E40" s="1"/>
      <c r="F40" s="1"/>
      <c r="G40" s="1"/>
    </row>
  </sheetData>
  <autoFilter ref="B6:AF28" xr:uid="{681376A9-303F-4550-A11B-CBBD7000E4E7}">
    <sortState xmlns:xlrd2="http://schemas.microsoft.com/office/spreadsheetml/2017/richdata2" ref="B7:AF28">
      <sortCondition ref="D6:D28"/>
    </sortState>
  </autoFilter>
  <mergeCells count="3">
    <mergeCell ref="C5:E5"/>
    <mergeCell ref="H5:AF5"/>
    <mergeCell ref="F5:G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40F2F-03AB-4E33-A20D-9B1849AEBF23}">
  <dimension ref="B2:L90"/>
  <sheetViews>
    <sheetView showGridLines="0" workbookViewId="0">
      <selection activeCell="A2" sqref="A2"/>
    </sheetView>
  </sheetViews>
  <sheetFormatPr defaultRowHeight="14.2" x14ac:dyDescent="0.6"/>
  <cols>
    <col min="1" max="1" width="3.09765625" customWidth="1"/>
    <col min="2" max="2" width="21.44921875" customWidth="1"/>
    <col min="3" max="3" width="7.59765625" customWidth="1"/>
    <col min="4" max="4" width="13.84765625" customWidth="1"/>
    <col min="5" max="6" width="8.296875" customWidth="1"/>
    <col min="7" max="7" width="11.796875" customWidth="1"/>
    <col min="8" max="8" width="14.6484375" customWidth="1"/>
    <col min="9" max="9" width="11.296875" customWidth="1"/>
    <col min="10" max="10" width="23.3984375" customWidth="1"/>
  </cols>
  <sheetData>
    <row r="2" spans="2:12" x14ac:dyDescent="0.6">
      <c r="B2" s="2" t="s">
        <v>200</v>
      </c>
    </row>
    <row r="3" spans="2:12" x14ac:dyDescent="0.6">
      <c r="B3" s="16" t="s">
        <v>384</v>
      </c>
      <c r="C3" s="15"/>
      <c r="D3" s="15"/>
      <c r="E3" s="15"/>
      <c r="F3" s="15"/>
      <c r="G3" s="15"/>
      <c r="H3" s="15"/>
      <c r="I3" s="15"/>
      <c r="J3" s="15"/>
      <c r="K3" s="15"/>
      <c r="L3" s="15"/>
    </row>
    <row r="4" spans="2:12" ht="24" customHeight="1" x14ac:dyDescent="0.6">
      <c r="B4" s="56" t="s">
        <v>308</v>
      </c>
      <c r="C4" s="56"/>
      <c r="D4" s="56"/>
      <c r="E4" s="56"/>
      <c r="F4" s="56"/>
      <c r="G4" s="56"/>
      <c r="H4" s="56"/>
      <c r="I4" s="56"/>
      <c r="J4" s="56"/>
      <c r="K4" s="56"/>
      <c r="L4" s="56"/>
    </row>
    <row r="6" spans="2:12" ht="42.55" x14ac:dyDescent="0.6">
      <c r="B6" s="18" t="s">
        <v>0</v>
      </c>
      <c r="C6" s="18" t="s">
        <v>58</v>
      </c>
      <c r="D6" s="18" t="s">
        <v>33</v>
      </c>
      <c r="E6" s="18" t="s">
        <v>17</v>
      </c>
      <c r="F6" s="18" t="s">
        <v>18</v>
      </c>
      <c r="G6" s="18" t="s">
        <v>19</v>
      </c>
      <c r="H6" s="18" t="s">
        <v>47</v>
      </c>
      <c r="I6" s="18" t="s">
        <v>20</v>
      </c>
      <c r="J6" s="18" t="s">
        <v>57</v>
      </c>
      <c r="K6" s="18" t="s">
        <v>22</v>
      </c>
      <c r="L6" s="18" t="s">
        <v>21</v>
      </c>
    </row>
    <row r="7" spans="2:12" x14ac:dyDescent="0.6">
      <c r="B7" t="s">
        <v>14</v>
      </c>
      <c r="C7">
        <f>COUNTIFS($B$6:B7,B7)</f>
        <v>1</v>
      </c>
      <c r="D7" t="s">
        <v>66</v>
      </c>
      <c r="E7">
        <f>AVERAGE(18%,25%)*1000</f>
        <v>215</v>
      </c>
      <c r="F7" t="s">
        <v>15</v>
      </c>
      <c r="G7" s="3">
        <v>2.48</v>
      </c>
      <c r="H7" s="3" t="s">
        <v>48</v>
      </c>
      <c r="I7" t="s">
        <v>27</v>
      </c>
      <c r="J7" t="s">
        <v>56</v>
      </c>
      <c r="K7" t="s">
        <v>23</v>
      </c>
      <c r="L7" t="s">
        <v>26</v>
      </c>
    </row>
    <row r="8" spans="2:12" x14ac:dyDescent="0.6">
      <c r="B8" t="s">
        <v>14</v>
      </c>
      <c r="C8">
        <f>COUNTIFS($B$6:B8,B8)</f>
        <v>2</v>
      </c>
      <c r="D8" t="s">
        <v>66</v>
      </c>
      <c r="E8">
        <f t="shared" ref="E8:E9" si="0">AVERAGE(18%,25%)*1000</f>
        <v>215</v>
      </c>
      <c r="F8" t="s">
        <v>15</v>
      </c>
      <c r="G8" s="3">
        <v>2.4700000000000002</v>
      </c>
      <c r="H8" s="3" t="s">
        <v>48</v>
      </c>
      <c r="I8" t="s">
        <v>27</v>
      </c>
      <c r="J8" t="s">
        <v>56</v>
      </c>
      <c r="K8" t="s">
        <v>24</v>
      </c>
      <c r="L8" t="s">
        <v>26</v>
      </c>
    </row>
    <row r="9" spans="2:12" x14ac:dyDescent="0.6">
      <c r="B9" t="s">
        <v>14</v>
      </c>
      <c r="C9">
        <f>COUNTIFS($B$6:B9,B9)</f>
        <v>3</v>
      </c>
      <c r="D9" t="s">
        <v>66</v>
      </c>
      <c r="E9">
        <f t="shared" si="0"/>
        <v>215</v>
      </c>
      <c r="F9" t="s">
        <v>15</v>
      </c>
      <c r="G9" s="3">
        <v>2.41</v>
      </c>
      <c r="H9" s="3" t="s">
        <v>48</v>
      </c>
      <c r="I9" t="s">
        <v>27</v>
      </c>
      <c r="J9" t="s">
        <v>56</v>
      </c>
      <c r="K9" t="s">
        <v>25</v>
      </c>
      <c r="L9" t="s">
        <v>26</v>
      </c>
    </row>
    <row r="10" spans="2:12" x14ac:dyDescent="0.6">
      <c r="B10" t="s">
        <v>14</v>
      </c>
      <c r="C10">
        <f>COUNTIFS($B$6:B10,B10)</f>
        <v>4</v>
      </c>
      <c r="D10" t="s">
        <v>64</v>
      </c>
      <c r="E10">
        <f>19%*1000</f>
        <v>190</v>
      </c>
      <c r="F10" t="s">
        <v>15</v>
      </c>
      <c r="G10" s="3">
        <v>0.19</v>
      </c>
      <c r="H10" s="3" t="s">
        <v>49</v>
      </c>
      <c r="I10" t="s">
        <v>27</v>
      </c>
      <c r="J10" t="s">
        <v>29</v>
      </c>
      <c r="K10" t="s">
        <v>30</v>
      </c>
      <c r="L10" t="s">
        <v>34</v>
      </c>
    </row>
    <row r="11" spans="2:12" x14ac:dyDescent="0.6">
      <c r="B11" t="s">
        <v>14</v>
      </c>
      <c r="C11">
        <f>COUNTIFS($B$6:B11,B11)</f>
        <v>5</v>
      </c>
      <c r="D11" t="s">
        <v>64</v>
      </c>
      <c r="E11">
        <f>19%*1000</f>
        <v>190</v>
      </c>
      <c r="F11" t="s">
        <v>15</v>
      </c>
      <c r="G11" s="3">
        <v>0.23</v>
      </c>
      <c r="H11" s="3" t="s">
        <v>49</v>
      </c>
      <c r="I11" t="s">
        <v>27</v>
      </c>
      <c r="J11" t="s">
        <v>29</v>
      </c>
      <c r="K11" t="s">
        <v>31</v>
      </c>
      <c r="L11" t="s">
        <v>34</v>
      </c>
    </row>
    <row r="12" spans="2:12" x14ac:dyDescent="0.6">
      <c r="B12" t="s">
        <v>14</v>
      </c>
      <c r="C12">
        <f>COUNTIFS($B$6:B12,B12)</f>
        <v>6</v>
      </c>
      <c r="D12" t="s">
        <v>64</v>
      </c>
      <c r="E12">
        <f>19%*1000</f>
        <v>190</v>
      </c>
      <c r="F12" t="s">
        <v>15</v>
      </c>
      <c r="G12" s="3">
        <v>0.23</v>
      </c>
      <c r="H12" s="3" t="s">
        <v>49</v>
      </c>
      <c r="I12" t="s">
        <v>27</v>
      </c>
      <c r="J12" t="s">
        <v>29</v>
      </c>
      <c r="K12" t="s">
        <v>32</v>
      </c>
      <c r="L12" t="s">
        <v>34</v>
      </c>
    </row>
    <row r="13" spans="2:12" x14ac:dyDescent="0.6">
      <c r="B13" t="s">
        <v>14</v>
      </c>
      <c r="C13">
        <f>COUNTIFS($B$6:B13,B13)</f>
        <v>7</v>
      </c>
      <c r="D13" t="s">
        <v>65</v>
      </c>
      <c r="E13">
        <f>19%*1000</f>
        <v>190</v>
      </c>
      <c r="F13" t="s">
        <v>15</v>
      </c>
      <c r="G13" s="3">
        <v>0.46</v>
      </c>
      <c r="H13" s="3" t="s">
        <v>49</v>
      </c>
      <c r="I13" t="s">
        <v>27</v>
      </c>
      <c r="J13" t="s">
        <v>29</v>
      </c>
      <c r="K13" t="s">
        <v>35</v>
      </c>
      <c r="L13" t="s">
        <v>41</v>
      </c>
    </row>
    <row r="14" spans="2:12" x14ac:dyDescent="0.6">
      <c r="B14" t="s">
        <v>14</v>
      </c>
      <c r="C14">
        <f>COUNTIFS($B$6:B14,B14)</f>
        <v>8</v>
      </c>
      <c r="D14" t="s">
        <v>65</v>
      </c>
      <c r="E14">
        <f t="shared" ref="E14:E18" si="1">19%*1000</f>
        <v>190</v>
      </c>
      <c r="F14" t="s">
        <v>15</v>
      </c>
      <c r="G14" s="3">
        <v>2.6</v>
      </c>
      <c r="H14" s="3" t="s">
        <v>49</v>
      </c>
      <c r="I14" t="s">
        <v>27</v>
      </c>
      <c r="J14" t="s">
        <v>29</v>
      </c>
      <c r="K14" t="s">
        <v>36</v>
      </c>
      <c r="L14" t="s">
        <v>41</v>
      </c>
    </row>
    <row r="15" spans="2:12" x14ac:dyDescent="0.6">
      <c r="B15" t="s">
        <v>14</v>
      </c>
      <c r="C15">
        <f>COUNTIFS($B$6:B15,B15)</f>
        <v>9</v>
      </c>
      <c r="D15" t="s">
        <v>65</v>
      </c>
      <c r="E15">
        <f t="shared" si="1"/>
        <v>190</v>
      </c>
      <c r="F15" t="s">
        <v>15</v>
      </c>
      <c r="G15" s="3">
        <v>2.82</v>
      </c>
      <c r="H15" s="3" t="s">
        <v>49</v>
      </c>
      <c r="I15" t="s">
        <v>27</v>
      </c>
      <c r="J15" t="s">
        <v>29</v>
      </c>
      <c r="K15" t="s">
        <v>37</v>
      </c>
      <c r="L15" t="s">
        <v>41</v>
      </c>
    </row>
    <row r="16" spans="2:12" x14ac:dyDescent="0.6">
      <c r="B16" t="s">
        <v>14</v>
      </c>
      <c r="C16">
        <f>COUNTIFS($B$6:B16,B16)</f>
        <v>10</v>
      </c>
      <c r="D16" t="s">
        <v>65</v>
      </c>
      <c r="E16">
        <f t="shared" si="1"/>
        <v>190</v>
      </c>
      <c r="F16" t="s">
        <v>15</v>
      </c>
      <c r="G16" s="3">
        <v>0.46</v>
      </c>
      <c r="H16" s="3" t="s">
        <v>49</v>
      </c>
      <c r="I16" t="s">
        <v>27</v>
      </c>
      <c r="J16" t="s">
        <v>29</v>
      </c>
      <c r="K16" t="s">
        <v>38</v>
      </c>
      <c r="L16" t="s">
        <v>41</v>
      </c>
    </row>
    <row r="17" spans="2:12" x14ac:dyDescent="0.6">
      <c r="B17" t="s">
        <v>14</v>
      </c>
      <c r="C17">
        <f>COUNTIFS($B$6:B17,B17)</f>
        <v>11</v>
      </c>
      <c r="D17" t="s">
        <v>65</v>
      </c>
      <c r="E17">
        <f t="shared" si="1"/>
        <v>190</v>
      </c>
      <c r="F17" t="s">
        <v>15</v>
      </c>
      <c r="G17" s="3">
        <v>2.6</v>
      </c>
      <c r="H17" s="3" t="s">
        <v>49</v>
      </c>
      <c r="I17" t="s">
        <v>27</v>
      </c>
      <c r="J17" t="s">
        <v>29</v>
      </c>
      <c r="K17" t="s">
        <v>39</v>
      </c>
      <c r="L17" t="s">
        <v>41</v>
      </c>
    </row>
    <row r="18" spans="2:12" x14ac:dyDescent="0.6">
      <c r="B18" t="s">
        <v>14</v>
      </c>
      <c r="C18">
        <f>COUNTIFS($B$6:B18,B18)</f>
        <v>12</v>
      </c>
      <c r="D18" t="s">
        <v>65</v>
      </c>
      <c r="E18">
        <f t="shared" si="1"/>
        <v>190</v>
      </c>
      <c r="F18" t="s">
        <v>15</v>
      </c>
      <c r="G18" s="3">
        <v>2.82</v>
      </c>
      <c r="H18" s="3" t="s">
        <v>49</v>
      </c>
      <c r="I18" t="s">
        <v>27</v>
      </c>
      <c r="J18" t="s">
        <v>29</v>
      </c>
      <c r="K18" t="s">
        <v>40</v>
      </c>
      <c r="L18" t="s">
        <v>41</v>
      </c>
    </row>
    <row r="19" spans="2:12" x14ac:dyDescent="0.6">
      <c r="B19" t="s">
        <v>14</v>
      </c>
      <c r="C19">
        <f>COUNTIFS($B$6:B19,B19)</f>
        <v>13</v>
      </c>
      <c r="D19" t="s">
        <v>45</v>
      </c>
      <c r="E19">
        <f>20%*1000</f>
        <v>200</v>
      </c>
      <c r="F19" t="s">
        <v>15</v>
      </c>
      <c r="G19" s="3">
        <v>6.89</v>
      </c>
      <c r="H19" s="3" t="s">
        <v>48</v>
      </c>
      <c r="I19" t="s">
        <v>27</v>
      </c>
      <c r="J19" t="s">
        <v>56</v>
      </c>
      <c r="K19" t="s">
        <v>42</v>
      </c>
      <c r="L19" t="s">
        <v>46</v>
      </c>
    </row>
    <row r="20" spans="2:12" x14ac:dyDescent="0.6">
      <c r="B20" t="s">
        <v>14</v>
      </c>
      <c r="C20">
        <f>COUNTIFS($B$6:B20,B20)</f>
        <v>14</v>
      </c>
      <c r="D20" t="s">
        <v>45</v>
      </c>
      <c r="E20">
        <f>20%*1000</f>
        <v>200</v>
      </c>
      <c r="F20" t="s">
        <v>15</v>
      </c>
      <c r="G20" s="3">
        <v>3.36</v>
      </c>
      <c r="H20" s="3" t="s">
        <v>48</v>
      </c>
      <c r="I20" t="s">
        <v>27</v>
      </c>
      <c r="J20" t="s">
        <v>56</v>
      </c>
      <c r="K20" t="s">
        <v>43</v>
      </c>
      <c r="L20" t="s">
        <v>46</v>
      </c>
    </row>
    <row r="21" spans="2:12" x14ac:dyDescent="0.6">
      <c r="B21" t="s">
        <v>14</v>
      </c>
      <c r="C21">
        <f>COUNTIFS($B$6:B21,B21)</f>
        <v>15</v>
      </c>
      <c r="D21" t="s">
        <v>45</v>
      </c>
      <c r="E21">
        <f>20%*1000</f>
        <v>200</v>
      </c>
      <c r="F21" t="s">
        <v>15</v>
      </c>
      <c r="G21" s="3">
        <v>1.84</v>
      </c>
      <c r="H21" s="3" t="s">
        <v>48</v>
      </c>
      <c r="I21" t="s">
        <v>27</v>
      </c>
      <c r="J21" t="s">
        <v>56</v>
      </c>
      <c r="K21" t="s">
        <v>44</v>
      </c>
      <c r="L21" t="s">
        <v>46</v>
      </c>
    </row>
    <row r="22" spans="2:12" x14ac:dyDescent="0.6">
      <c r="B22" t="s">
        <v>171</v>
      </c>
      <c r="C22">
        <f>COUNTIFS($B$6:B22,B22)</f>
        <v>1</v>
      </c>
      <c r="D22" t="s">
        <v>67</v>
      </c>
      <c r="E22">
        <f>92%*1000</f>
        <v>920</v>
      </c>
      <c r="F22" t="s">
        <v>15</v>
      </c>
      <c r="G22" s="3">
        <v>4.5112921000000004</v>
      </c>
      <c r="H22" s="3" t="s">
        <v>48</v>
      </c>
      <c r="I22" t="s">
        <v>55</v>
      </c>
      <c r="J22" t="s">
        <v>56</v>
      </c>
      <c r="K22" t="s">
        <v>51</v>
      </c>
      <c r="L22" t="s">
        <v>50</v>
      </c>
    </row>
    <row r="23" spans="2:12" x14ac:dyDescent="0.6">
      <c r="B23" t="s">
        <v>171</v>
      </c>
      <c r="C23">
        <f>COUNTIFS($B$6:B23,B23)</f>
        <v>2</v>
      </c>
      <c r="D23" t="s">
        <v>67</v>
      </c>
      <c r="E23">
        <f t="shared" ref="E23:E25" si="2">92%*1000</f>
        <v>920</v>
      </c>
      <c r="F23" t="s">
        <v>15</v>
      </c>
      <c r="G23" s="3">
        <v>4.1422381000000001</v>
      </c>
      <c r="H23" s="3" t="s">
        <v>48</v>
      </c>
      <c r="I23" t="s">
        <v>55</v>
      </c>
      <c r="J23" t="s">
        <v>56</v>
      </c>
      <c r="K23" t="s">
        <v>52</v>
      </c>
      <c r="L23" t="s">
        <v>50</v>
      </c>
    </row>
    <row r="24" spans="2:12" x14ac:dyDescent="0.6">
      <c r="B24" t="s">
        <v>171</v>
      </c>
      <c r="C24">
        <f>COUNTIFS($B$6:B24,B24)</f>
        <v>3</v>
      </c>
      <c r="D24" t="s">
        <v>67</v>
      </c>
      <c r="E24">
        <f t="shared" si="2"/>
        <v>920</v>
      </c>
      <c r="F24" t="s">
        <v>15</v>
      </c>
      <c r="G24" s="3">
        <v>4.2450621999999996</v>
      </c>
      <c r="H24" s="3" t="s">
        <v>48</v>
      </c>
      <c r="I24" t="s">
        <v>55</v>
      </c>
      <c r="J24" t="s">
        <v>56</v>
      </c>
      <c r="K24" t="s">
        <v>53</v>
      </c>
      <c r="L24" t="s">
        <v>50</v>
      </c>
    </row>
    <row r="25" spans="2:12" x14ac:dyDescent="0.6">
      <c r="B25" t="s">
        <v>171</v>
      </c>
      <c r="C25">
        <f>COUNTIFS($B$6:B25,B25)</f>
        <v>4</v>
      </c>
      <c r="D25" t="s">
        <v>67</v>
      </c>
      <c r="E25">
        <f t="shared" si="2"/>
        <v>920</v>
      </c>
      <c r="F25" t="s">
        <v>15</v>
      </c>
      <c r="G25" s="3">
        <v>4.4254283000000001</v>
      </c>
      <c r="H25" s="3" t="s">
        <v>48</v>
      </c>
      <c r="I25" t="s">
        <v>55</v>
      </c>
      <c r="J25" t="s">
        <v>56</v>
      </c>
      <c r="K25" t="s">
        <v>54</v>
      </c>
      <c r="L25" t="s">
        <v>50</v>
      </c>
    </row>
    <row r="26" spans="2:12" x14ac:dyDescent="0.6">
      <c r="B26" t="s">
        <v>172</v>
      </c>
      <c r="C26">
        <f>COUNTIFS($B$6:B26,B26)</f>
        <v>1</v>
      </c>
      <c r="D26" t="s">
        <v>129</v>
      </c>
      <c r="E26">
        <v>1000</v>
      </c>
      <c r="F26" t="s">
        <v>15</v>
      </c>
      <c r="G26" s="3">
        <v>3.74110366168129</v>
      </c>
      <c r="H26" s="3" t="s">
        <v>48</v>
      </c>
      <c r="I26" t="s">
        <v>140</v>
      </c>
      <c r="J26" t="s">
        <v>56</v>
      </c>
      <c r="K26" t="s">
        <v>141</v>
      </c>
      <c r="L26" t="s">
        <v>147</v>
      </c>
    </row>
    <row r="27" spans="2:12" x14ac:dyDescent="0.6">
      <c r="B27" t="s">
        <v>172</v>
      </c>
      <c r="C27">
        <f>COUNTIFS($B$6:B27,B27)</f>
        <v>2</v>
      </c>
      <c r="D27" t="s">
        <v>129</v>
      </c>
      <c r="E27">
        <v>1000</v>
      </c>
      <c r="F27" t="s">
        <v>15</v>
      </c>
      <c r="G27" s="3">
        <v>3.6822349966666899</v>
      </c>
      <c r="H27" s="3" t="s">
        <v>48</v>
      </c>
      <c r="I27" t="s">
        <v>140</v>
      </c>
      <c r="J27" t="s">
        <v>56</v>
      </c>
      <c r="K27" t="s">
        <v>142</v>
      </c>
      <c r="L27" t="s">
        <v>147</v>
      </c>
    </row>
    <row r="28" spans="2:12" x14ac:dyDescent="0.6">
      <c r="B28" t="s">
        <v>172</v>
      </c>
      <c r="C28">
        <f>COUNTIFS($B$6:B28,B28)</f>
        <v>3</v>
      </c>
      <c r="D28" t="s">
        <v>146</v>
      </c>
      <c r="E28">
        <v>1000</v>
      </c>
      <c r="F28" t="s">
        <v>15</v>
      </c>
      <c r="G28" s="3">
        <f>9.3298969072165*3.74110366168129/2.11340206185567</f>
        <v>16.515603969861314</v>
      </c>
      <c r="H28" s="3" t="s">
        <v>48</v>
      </c>
      <c r="I28" t="s">
        <v>140</v>
      </c>
      <c r="J28" t="s">
        <v>56</v>
      </c>
      <c r="K28" t="s">
        <v>143</v>
      </c>
      <c r="L28" t="s">
        <v>147</v>
      </c>
    </row>
    <row r="29" spans="2:12" x14ac:dyDescent="0.6">
      <c r="B29" t="s">
        <v>172</v>
      </c>
      <c r="C29">
        <f>COUNTIFS($B$6:B29,B29)</f>
        <v>4</v>
      </c>
      <c r="D29" t="s">
        <v>145</v>
      </c>
      <c r="E29">
        <v>1000</v>
      </c>
      <c r="F29" t="s">
        <v>15</v>
      </c>
      <c r="G29" s="3">
        <f>3.45360824742268*3.74110366168129/2.11340206185567</f>
        <v>6.1135108617718634</v>
      </c>
      <c r="H29" s="3" t="s">
        <v>48</v>
      </c>
      <c r="I29" t="s">
        <v>140</v>
      </c>
      <c r="J29" t="s">
        <v>56</v>
      </c>
      <c r="K29" t="s">
        <v>144</v>
      </c>
      <c r="L29" t="s">
        <v>147</v>
      </c>
    </row>
    <row r="30" spans="2:12" x14ac:dyDescent="0.6">
      <c r="B30" t="s">
        <v>172</v>
      </c>
      <c r="C30">
        <f>COUNTIFS($B$6:B30,B30)</f>
        <v>5</v>
      </c>
      <c r="D30" t="s">
        <v>138</v>
      </c>
      <c r="E30">
        <f>67.6%*1000</f>
        <v>675.99999999999989</v>
      </c>
      <c r="F30" t="s">
        <v>15</v>
      </c>
      <c r="G30" s="3">
        <v>1.26</v>
      </c>
      <c r="H30" s="3" t="s">
        <v>48</v>
      </c>
      <c r="I30" t="s">
        <v>130</v>
      </c>
      <c r="J30" t="s">
        <v>69</v>
      </c>
      <c r="K30" t="s">
        <v>15</v>
      </c>
      <c r="L30" t="s">
        <v>133</v>
      </c>
    </row>
    <row r="31" spans="2:12" x14ac:dyDescent="0.6">
      <c r="B31" t="s">
        <v>172</v>
      </c>
      <c r="C31">
        <f>COUNTIFS($B$6:B31,B31)</f>
        <v>6</v>
      </c>
      <c r="D31" t="s">
        <v>192</v>
      </c>
      <c r="E31" s="4">
        <f>AVERAGE(23.58%,34%,42%)*1000</f>
        <v>331.93333333333334</v>
      </c>
      <c r="G31" s="3">
        <v>0.05</v>
      </c>
      <c r="H31" s="3" t="s">
        <v>48</v>
      </c>
      <c r="I31" t="s">
        <v>191</v>
      </c>
      <c r="J31" t="s">
        <v>56</v>
      </c>
      <c r="K31" t="s">
        <v>15</v>
      </c>
      <c r="L31" t="s">
        <v>193</v>
      </c>
    </row>
    <row r="32" spans="2:12" x14ac:dyDescent="0.6">
      <c r="B32" t="s">
        <v>178</v>
      </c>
      <c r="C32">
        <f>COUNTIFS($B$6:B32,B32)</f>
        <v>1</v>
      </c>
      <c r="D32" t="s">
        <v>73</v>
      </c>
      <c r="E32">
        <f>17%*1000</f>
        <v>170</v>
      </c>
      <c r="F32" t="s">
        <v>15</v>
      </c>
      <c r="G32" s="3">
        <v>0.47699999999999998</v>
      </c>
      <c r="H32" s="3" t="s">
        <v>63</v>
      </c>
      <c r="I32" t="s">
        <v>76</v>
      </c>
      <c r="J32" t="s">
        <v>56</v>
      </c>
      <c r="K32" t="s">
        <v>59</v>
      </c>
      <c r="L32" t="s">
        <v>68</v>
      </c>
    </row>
    <row r="33" spans="2:12" x14ac:dyDescent="0.6">
      <c r="B33" t="s">
        <v>178</v>
      </c>
      <c r="C33">
        <f>COUNTIFS($B$6:B33,B33)</f>
        <v>2</v>
      </c>
      <c r="D33" t="s">
        <v>73</v>
      </c>
      <c r="E33">
        <f t="shared" ref="E33:E35" si="3">17%*1000</f>
        <v>170</v>
      </c>
      <c r="F33" t="s">
        <v>15</v>
      </c>
      <c r="G33" s="3">
        <v>0.36</v>
      </c>
      <c r="H33" s="3" t="s">
        <v>63</v>
      </c>
      <c r="I33" t="s">
        <v>76</v>
      </c>
      <c r="J33" t="s">
        <v>56</v>
      </c>
      <c r="K33" t="s">
        <v>60</v>
      </c>
      <c r="L33" t="s">
        <v>68</v>
      </c>
    </row>
    <row r="34" spans="2:12" x14ac:dyDescent="0.6">
      <c r="B34" t="s">
        <v>178</v>
      </c>
      <c r="C34">
        <f>COUNTIFS($B$6:B34,B34)</f>
        <v>3</v>
      </c>
      <c r="D34" t="s">
        <v>73</v>
      </c>
      <c r="E34">
        <f t="shared" si="3"/>
        <v>170</v>
      </c>
      <c r="F34" t="s">
        <v>15</v>
      </c>
      <c r="G34" s="3">
        <v>2.8000000000000001E-2</v>
      </c>
      <c r="H34" s="3" t="s">
        <v>63</v>
      </c>
      <c r="I34" t="s">
        <v>76</v>
      </c>
      <c r="J34" t="s">
        <v>56</v>
      </c>
      <c r="K34" t="s">
        <v>61</v>
      </c>
      <c r="L34" t="s">
        <v>68</v>
      </c>
    </row>
    <row r="35" spans="2:12" x14ac:dyDescent="0.6">
      <c r="B35" t="s">
        <v>178</v>
      </c>
      <c r="C35">
        <f>COUNTIFS($B$6:B35,B35)</f>
        <v>4</v>
      </c>
      <c r="D35" t="s">
        <v>73</v>
      </c>
      <c r="E35">
        <f t="shared" si="3"/>
        <v>170</v>
      </c>
      <c r="F35" t="s">
        <v>15</v>
      </c>
      <c r="G35" s="3">
        <v>5.6000000000000001E-2</v>
      </c>
      <c r="H35" s="3" t="s">
        <v>63</v>
      </c>
      <c r="I35" t="s">
        <v>76</v>
      </c>
      <c r="J35" t="s">
        <v>56</v>
      </c>
      <c r="K35" t="s">
        <v>62</v>
      </c>
      <c r="L35" t="s">
        <v>68</v>
      </c>
    </row>
    <row r="36" spans="2:12" x14ac:dyDescent="0.6">
      <c r="B36" t="s">
        <v>178</v>
      </c>
      <c r="C36">
        <f>COUNTIFS($B$6:B36,B36)</f>
        <v>5</v>
      </c>
      <c r="D36" t="s">
        <v>73</v>
      </c>
      <c r="E36">
        <v>1000</v>
      </c>
      <c r="F36" t="s">
        <v>15</v>
      </c>
      <c r="G36" s="3">
        <v>0.05</v>
      </c>
      <c r="H36" s="3" t="s">
        <v>82</v>
      </c>
      <c r="I36" t="s">
        <v>77</v>
      </c>
      <c r="J36" t="s">
        <v>56</v>
      </c>
      <c r="K36" t="s">
        <v>15</v>
      </c>
      <c r="L36" t="s">
        <v>72</v>
      </c>
    </row>
    <row r="37" spans="2:12" x14ac:dyDescent="0.6">
      <c r="B37" t="s">
        <v>178</v>
      </c>
      <c r="C37">
        <f>COUNTIFS($B$6:B37,B37)</f>
        <v>6</v>
      </c>
      <c r="D37" t="s">
        <v>74</v>
      </c>
      <c r="E37" s="4">
        <f>47.9*10</f>
        <v>479</v>
      </c>
      <c r="F37" t="s">
        <v>15</v>
      </c>
      <c r="G37" s="3">
        <f>32/1000</f>
        <v>3.2000000000000001E-2</v>
      </c>
      <c r="H37" s="3" t="s">
        <v>49</v>
      </c>
      <c r="I37" t="s">
        <v>78</v>
      </c>
      <c r="J37" t="s">
        <v>69</v>
      </c>
      <c r="K37" t="s">
        <v>15</v>
      </c>
      <c r="L37" t="s">
        <v>70</v>
      </c>
    </row>
    <row r="38" spans="2:12" x14ac:dyDescent="0.6">
      <c r="B38" t="s">
        <v>178</v>
      </c>
      <c r="C38">
        <f>COUNTIFS($B$6:B38,B38)</f>
        <v>7</v>
      </c>
      <c r="D38" t="s">
        <v>176</v>
      </c>
      <c r="E38">
        <f>60%*1000</f>
        <v>600</v>
      </c>
      <c r="F38" t="s">
        <v>15</v>
      </c>
      <c r="G38" s="3">
        <v>3.2000000000000002E-3</v>
      </c>
      <c r="H38" s="3" t="s">
        <v>48</v>
      </c>
      <c r="I38" t="s">
        <v>130</v>
      </c>
      <c r="J38" t="s">
        <v>69</v>
      </c>
      <c r="K38" t="s">
        <v>15</v>
      </c>
      <c r="L38" t="s">
        <v>133</v>
      </c>
    </row>
    <row r="39" spans="2:12" x14ac:dyDescent="0.6">
      <c r="B39" t="s">
        <v>179</v>
      </c>
      <c r="C39">
        <f>COUNTIFS($B$6:B39,B39)</f>
        <v>1</v>
      </c>
      <c r="D39" t="s">
        <v>75</v>
      </c>
      <c r="E39">
        <v>1000</v>
      </c>
      <c r="F39" t="s">
        <v>15</v>
      </c>
      <c r="G39" s="3">
        <v>18</v>
      </c>
      <c r="H39" s="3" t="s">
        <v>49</v>
      </c>
      <c r="I39" t="s">
        <v>79</v>
      </c>
      <c r="J39" t="s">
        <v>56</v>
      </c>
      <c r="K39" t="s">
        <v>15</v>
      </c>
      <c r="L39" t="s">
        <v>71</v>
      </c>
    </row>
    <row r="40" spans="2:12" x14ac:dyDescent="0.6">
      <c r="B40" t="s">
        <v>179</v>
      </c>
      <c r="C40">
        <f>COUNTIFS($B$6:B40,B40)</f>
        <v>2</v>
      </c>
      <c r="D40" t="s">
        <v>81</v>
      </c>
      <c r="E40">
        <f>65%*1000</f>
        <v>650</v>
      </c>
      <c r="F40" t="s">
        <v>15</v>
      </c>
      <c r="G40" s="3">
        <v>4.0999999999999996</v>
      </c>
      <c r="H40" s="3" t="s">
        <v>82</v>
      </c>
      <c r="I40" t="s">
        <v>80</v>
      </c>
      <c r="J40" t="s">
        <v>56</v>
      </c>
      <c r="K40" t="s">
        <v>15</v>
      </c>
      <c r="L40" t="s">
        <v>83</v>
      </c>
    </row>
    <row r="41" spans="2:12" x14ac:dyDescent="0.6">
      <c r="B41" t="s">
        <v>179</v>
      </c>
      <c r="C41">
        <f>COUNTIFS($B$6:B41,B41)</f>
        <v>3</v>
      </c>
      <c r="D41" t="s">
        <v>84</v>
      </c>
      <c r="E41">
        <v>1000</v>
      </c>
      <c r="F41" t="s">
        <v>15</v>
      </c>
      <c r="G41" s="3">
        <v>22.38</v>
      </c>
      <c r="H41" s="3" t="s">
        <v>48</v>
      </c>
      <c r="I41" t="s">
        <v>77</v>
      </c>
      <c r="J41" t="s">
        <v>56</v>
      </c>
      <c r="K41" t="s">
        <v>15</v>
      </c>
      <c r="L41" t="s">
        <v>85</v>
      </c>
    </row>
    <row r="42" spans="2:12" x14ac:dyDescent="0.6">
      <c r="B42" t="s">
        <v>179</v>
      </c>
      <c r="C42">
        <f>COUNTIFS($B$6:B42,B42)</f>
        <v>4</v>
      </c>
      <c r="D42" t="s">
        <v>131</v>
      </c>
      <c r="E42">
        <v>1000</v>
      </c>
      <c r="F42" t="s">
        <v>15</v>
      </c>
      <c r="G42" s="3">
        <v>16.414395149624401</v>
      </c>
      <c r="H42" s="3" t="s">
        <v>48</v>
      </c>
      <c r="I42" t="s">
        <v>77</v>
      </c>
      <c r="J42" t="s">
        <v>69</v>
      </c>
      <c r="K42" t="s">
        <v>15</v>
      </c>
      <c r="L42" t="s">
        <v>132</v>
      </c>
    </row>
    <row r="43" spans="2:12" x14ac:dyDescent="0.6">
      <c r="B43" t="s">
        <v>179</v>
      </c>
      <c r="C43">
        <f>COUNTIFS($B$6:B43,B43)</f>
        <v>5</v>
      </c>
      <c r="D43" t="s">
        <v>177</v>
      </c>
      <c r="E43">
        <f>60%*1000</f>
        <v>600</v>
      </c>
      <c r="F43" t="s">
        <v>15</v>
      </c>
      <c r="G43" s="3">
        <v>7.03</v>
      </c>
      <c r="H43" s="3" t="s">
        <v>48</v>
      </c>
      <c r="I43" t="s">
        <v>130</v>
      </c>
      <c r="J43" t="s">
        <v>69</v>
      </c>
      <c r="K43" t="s">
        <v>15</v>
      </c>
      <c r="L43" t="s">
        <v>133</v>
      </c>
    </row>
    <row r="44" spans="2:12" x14ac:dyDescent="0.6">
      <c r="B44" t="s">
        <v>179</v>
      </c>
      <c r="C44">
        <f>COUNTIFS($B$6:B44,B44)</f>
        <v>6</v>
      </c>
      <c r="D44" t="s">
        <v>181</v>
      </c>
      <c r="E44">
        <v>1000</v>
      </c>
      <c r="F44" t="s">
        <v>15</v>
      </c>
      <c r="G44" s="3">
        <v>17</v>
      </c>
      <c r="H44" s="3" t="s">
        <v>182</v>
      </c>
      <c r="I44" t="s">
        <v>77</v>
      </c>
      <c r="J44" t="s">
        <v>69</v>
      </c>
      <c r="K44" t="s">
        <v>184</v>
      </c>
      <c r="L44" t="s">
        <v>185</v>
      </c>
    </row>
    <row r="45" spans="2:12" x14ac:dyDescent="0.6">
      <c r="B45" t="s">
        <v>179</v>
      </c>
      <c r="C45">
        <f>COUNTIFS($B$6:B45,B45)</f>
        <v>7</v>
      </c>
      <c r="D45" t="s">
        <v>181</v>
      </c>
      <c r="E45">
        <v>1000</v>
      </c>
      <c r="F45" t="s">
        <v>15</v>
      </c>
      <c r="G45" s="3">
        <v>1.1000000000000001</v>
      </c>
      <c r="H45" s="3" t="s">
        <v>182</v>
      </c>
      <c r="I45" t="s">
        <v>77</v>
      </c>
      <c r="J45" t="s">
        <v>69</v>
      </c>
      <c r="K45" t="s">
        <v>183</v>
      </c>
      <c r="L45" t="s">
        <v>185</v>
      </c>
    </row>
    <row r="46" spans="2:12" x14ac:dyDescent="0.6">
      <c r="B46" t="s">
        <v>180</v>
      </c>
      <c r="C46">
        <f>COUNTIFS($B$6:B46,B46)</f>
        <v>1</v>
      </c>
      <c r="D46" t="s">
        <v>189</v>
      </c>
      <c r="E46">
        <f>65%*1000</f>
        <v>650</v>
      </c>
      <c r="F46" t="s">
        <v>15</v>
      </c>
      <c r="G46" s="3">
        <f>1239/1000</f>
        <v>1.2390000000000001</v>
      </c>
      <c r="H46" s="3" t="s">
        <v>187</v>
      </c>
      <c r="I46" t="s">
        <v>188</v>
      </c>
      <c r="J46" t="s">
        <v>56</v>
      </c>
      <c r="K46" t="s">
        <v>15</v>
      </c>
      <c r="L46" t="s">
        <v>190</v>
      </c>
    </row>
    <row r="47" spans="2:12" x14ac:dyDescent="0.6">
      <c r="B47" t="s">
        <v>180</v>
      </c>
      <c r="C47">
        <f>COUNTIFS($B$6:B47,B47)</f>
        <v>2</v>
      </c>
      <c r="D47" t="s">
        <v>139</v>
      </c>
      <c r="E47">
        <f>52.4%*1000</f>
        <v>524</v>
      </c>
      <c r="F47" t="s">
        <v>15</v>
      </c>
      <c r="G47" s="3">
        <f>1.06</f>
        <v>1.06</v>
      </c>
      <c r="H47" s="3" t="s">
        <v>48</v>
      </c>
      <c r="I47" t="s">
        <v>130</v>
      </c>
      <c r="J47" t="s">
        <v>69</v>
      </c>
      <c r="K47" t="s">
        <v>15</v>
      </c>
      <c r="L47" t="s">
        <v>133</v>
      </c>
    </row>
    <row r="48" spans="2:12" x14ac:dyDescent="0.6">
      <c r="B48" t="s">
        <v>16</v>
      </c>
      <c r="C48">
        <f>COUNTIFS($B$6:B48,B48)</f>
        <v>1</v>
      </c>
      <c r="D48" t="s">
        <v>88</v>
      </c>
      <c r="E48">
        <f>1000*96%*55%</f>
        <v>528</v>
      </c>
      <c r="F48" t="s">
        <v>15</v>
      </c>
      <c r="G48">
        <v>4.8</v>
      </c>
      <c r="H48" s="3" t="s">
        <v>87</v>
      </c>
      <c r="I48" t="s">
        <v>86</v>
      </c>
      <c r="J48" t="s">
        <v>56</v>
      </c>
      <c r="K48" t="s">
        <v>15</v>
      </c>
      <c r="L48" t="s">
        <v>93</v>
      </c>
    </row>
    <row r="49" spans="2:12" x14ac:dyDescent="0.6">
      <c r="B49" t="s">
        <v>16</v>
      </c>
      <c r="C49">
        <f>COUNTIFS($B$6:B49,B49)</f>
        <v>2</v>
      </c>
      <c r="D49" t="s">
        <v>89</v>
      </c>
      <c r="E49">
        <f t="shared" ref="E49:E52" si="4">1000*96%*55%</f>
        <v>528</v>
      </c>
      <c r="F49" t="s">
        <v>15</v>
      </c>
      <c r="G49">
        <v>1.9</v>
      </c>
      <c r="H49" s="3" t="s">
        <v>87</v>
      </c>
      <c r="I49" t="s">
        <v>86</v>
      </c>
      <c r="J49" t="s">
        <v>56</v>
      </c>
      <c r="K49" t="s">
        <v>15</v>
      </c>
      <c r="L49" t="s">
        <v>93</v>
      </c>
    </row>
    <row r="50" spans="2:12" x14ac:dyDescent="0.6">
      <c r="B50" t="s">
        <v>16</v>
      </c>
      <c r="C50">
        <f>COUNTIFS($B$6:B50,B50)</f>
        <v>3</v>
      </c>
      <c r="D50" t="s">
        <v>90</v>
      </c>
      <c r="E50">
        <f t="shared" si="4"/>
        <v>528</v>
      </c>
      <c r="F50" t="s">
        <v>15</v>
      </c>
      <c r="G50">
        <v>5.4</v>
      </c>
      <c r="H50" s="3" t="s">
        <v>87</v>
      </c>
      <c r="I50" t="s">
        <v>86</v>
      </c>
      <c r="J50" t="s">
        <v>56</v>
      </c>
      <c r="K50" t="s">
        <v>15</v>
      </c>
      <c r="L50" t="s">
        <v>93</v>
      </c>
    </row>
    <row r="51" spans="2:12" x14ac:dyDescent="0.6">
      <c r="B51" t="s">
        <v>16</v>
      </c>
      <c r="C51">
        <f>COUNTIFS($B$6:B51,B51)</f>
        <v>4</v>
      </c>
      <c r="D51" t="s">
        <v>91</v>
      </c>
      <c r="E51">
        <f t="shared" si="4"/>
        <v>528</v>
      </c>
      <c r="F51" t="s">
        <v>15</v>
      </c>
      <c r="G51">
        <v>1.7</v>
      </c>
      <c r="H51" s="3" t="s">
        <v>87</v>
      </c>
      <c r="I51" t="s">
        <v>86</v>
      </c>
      <c r="J51" t="s">
        <v>56</v>
      </c>
      <c r="K51" t="s">
        <v>15</v>
      </c>
      <c r="L51" t="s">
        <v>93</v>
      </c>
    </row>
    <row r="52" spans="2:12" x14ac:dyDescent="0.6">
      <c r="B52" t="s">
        <v>16</v>
      </c>
      <c r="C52">
        <f>COUNTIFS($B$6:B52,B52)</f>
        <v>5</v>
      </c>
      <c r="D52" t="s">
        <v>92</v>
      </c>
      <c r="E52">
        <f t="shared" si="4"/>
        <v>528</v>
      </c>
      <c r="F52" t="s">
        <v>15</v>
      </c>
      <c r="G52">
        <v>4.3</v>
      </c>
      <c r="H52" s="3" t="s">
        <v>87</v>
      </c>
      <c r="I52" t="s">
        <v>86</v>
      </c>
      <c r="J52" t="s">
        <v>56</v>
      </c>
      <c r="K52" t="s">
        <v>15</v>
      </c>
      <c r="L52" t="s">
        <v>93</v>
      </c>
    </row>
    <row r="53" spans="2:12" x14ac:dyDescent="0.6">
      <c r="B53" t="s">
        <v>16</v>
      </c>
      <c r="C53">
        <f>COUNTIFS($B$6:B53,B53)</f>
        <v>6</v>
      </c>
      <c r="D53" t="s">
        <v>100</v>
      </c>
      <c r="E53">
        <f>AVERAGE(400,415,450,475)</f>
        <v>435</v>
      </c>
      <c r="F53" t="s">
        <v>15</v>
      </c>
      <c r="G53">
        <f>0.09+0.02</f>
        <v>0.11</v>
      </c>
      <c r="H53" s="3" t="s">
        <v>48</v>
      </c>
      <c r="I53" t="s">
        <v>94</v>
      </c>
      <c r="J53" t="s">
        <v>56</v>
      </c>
      <c r="K53" t="s">
        <v>95</v>
      </c>
      <c r="L53" t="s">
        <v>101</v>
      </c>
    </row>
    <row r="54" spans="2:12" x14ac:dyDescent="0.6">
      <c r="B54" t="s">
        <v>16</v>
      </c>
      <c r="C54">
        <f>COUNTIFS($B$6:B54,B54)</f>
        <v>7</v>
      </c>
      <c r="D54" t="s">
        <v>100</v>
      </c>
      <c r="E54">
        <f t="shared" ref="E54:E57" si="5">AVERAGE(400,415,450,475)</f>
        <v>435</v>
      </c>
      <c r="F54" t="s">
        <v>15</v>
      </c>
      <c r="G54">
        <f>0.07+0.02</f>
        <v>9.0000000000000011E-2</v>
      </c>
      <c r="H54" s="3" t="s">
        <v>48</v>
      </c>
      <c r="I54" t="s">
        <v>94</v>
      </c>
      <c r="J54" t="s">
        <v>56</v>
      </c>
      <c r="K54" t="s">
        <v>96</v>
      </c>
      <c r="L54" t="s">
        <v>101</v>
      </c>
    </row>
    <row r="55" spans="2:12" x14ac:dyDescent="0.6">
      <c r="B55" t="s">
        <v>16</v>
      </c>
      <c r="C55">
        <f>COUNTIFS($B$6:B55,B55)</f>
        <v>8</v>
      </c>
      <c r="D55" t="s">
        <v>100</v>
      </c>
      <c r="E55">
        <f t="shared" si="5"/>
        <v>435</v>
      </c>
      <c r="F55" t="s">
        <v>15</v>
      </c>
      <c r="G55" s="3">
        <f>0.07+0.0162</f>
        <v>8.6199999999999999E-2</v>
      </c>
      <c r="H55" s="3" t="s">
        <v>48</v>
      </c>
      <c r="I55" t="s">
        <v>94</v>
      </c>
      <c r="J55" t="s">
        <v>56</v>
      </c>
      <c r="K55" t="s">
        <v>97</v>
      </c>
      <c r="L55" t="s">
        <v>101</v>
      </c>
    </row>
    <row r="56" spans="2:12" x14ac:dyDescent="0.6">
      <c r="B56" t="s">
        <v>16</v>
      </c>
      <c r="C56">
        <f>COUNTIFS($B$6:B56,B56)</f>
        <v>9</v>
      </c>
      <c r="D56" t="s">
        <v>100</v>
      </c>
      <c r="E56">
        <f t="shared" si="5"/>
        <v>435</v>
      </c>
      <c r="F56" t="s">
        <v>15</v>
      </c>
      <c r="G56" s="3">
        <f>0.05+0.0119</f>
        <v>6.1900000000000004E-2</v>
      </c>
      <c r="H56" s="3" t="s">
        <v>48</v>
      </c>
      <c r="I56" t="s">
        <v>94</v>
      </c>
      <c r="J56" t="s">
        <v>56</v>
      </c>
      <c r="K56" t="s">
        <v>98</v>
      </c>
      <c r="L56" t="s">
        <v>101</v>
      </c>
    </row>
    <row r="57" spans="2:12" x14ac:dyDescent="0.6">
      <c r="B57" t="s">
        <v>16</v>
      </c>
      <c r="C57">
        <f>COUNTIFS($B$6:B57,B57)</f>
        <v>10</v>
      </c>
      <c r="D57" t="s">
        <v>100</v>
      </c>
      <c r="E57">
        <f t="shared" si="5"/>
        <v>435</v>
      </c>
      <c r="F57" t="s">
        <v>15</v>
      </c>
      <c r="G57" s="3">
        <f>0.02+0.0072</f>
        <v>2.7200000000000002E-2</v>
      </c>
      <c r="H57" s="3" t="s">
        <v>48</v>
      </c>
      <c r="I57" t="s">
        <v>94</v>
      </c>
      <c r="J57" t="s">
        <v>56</v>
      </c>
      <c r="K57" t="s">
        <v>99</v>
      </c>
      <c r="L57" t="s">
        <v>101</v>
      </c>
    </row>
    <row r="58" spans="2:12" x14ac:dyDescent="0.6">
      <c r="B58" t="s">
        <v>16</v>
      </c>
      <c r="C58">
        <f>COUNTIFS($B$6:B58,B58)</f>
        <v>11</v>
      </c>
      <c r="D58" t="s">
        <v>102</v>
      </c>
      <c r="E58">
        <f>30%*1000</f>
        <v>300</v>
      </c>
      <c r="F58" t="s">
        <v>15</v>
      </c>
      <c r="G58">
        <v>0.20899999999999999</v>
      </c>
      <c r="H58" s="3" t="s">
        <v>49</v>
      </c>
      <c r="I58" t="s">
        <v>103</v>
      </c>
      <c r="J58" t="s">
        <v>56</v>
      </c>
      <c r="K58" t="s">
        <v>104</v>
      </c>
      <c r="L58" t="s">
        <v>120</v>
      </c>
    </row>
    <row r="59" spans="2:12" x14ac:dyDescent="0.6">
      <c r="B59" t="s">
        <v>16</v>
      </c>
      <c r="C59">
        <f>COUNTIFS($B$6:B59,B59)</f>
        <v>12</v>
      </c>
      <c r="D59" t="s">
        <v>102</v>
      </c>
      <c r="E59">
        <f t="shared" ref="E59:E69" si="6">30%*1000</f>
        <v>300</v>
      </c>
      <c r="F59" t="s">
        <v>15</v>
      </c>
      <c r="G59">
        <v>0.187</v>
      </c>
      <c r="H59" s="3" t="s">
        <v>49</v>
      </c>
      <c r="I59" t="s">
        <v>103</v>
      </c>
      <c r="J59" t="s">
        <v>56</v>
      </c>
      <c r="K59" t="s">
        <v>105</v>
      </c>
      <c r="L59" t="s">
        <v>120</v>
      </c>
    </row>
    <row r="60" spans="2:12" x14ac:dyDescent="0.6">
      <c r="B60" t="s">
        <v>16</v>
      </c>
      <c r="C60">
        <f>COUNTIFS($B$6:B60,B60)</f>
        <v>13</v>
      </c>
      <c r="D60" t="s">
        <v>102</v>
      </c>
      <c r="E60">
        <f t="shared" si="6"/>
        <v>300</v>
      </c>
      <c r="F60" t="s">
        <v>15</v>
      </c>
      <c r="G60">
        <v>0.16900000000000001</v>
      </c>
      <c r="H60" s="3" t="s">
        <v>49</v>
      </c>
      <c r="I60" t="s">
        <v>103</v>
      </c>
      <c r="J60" t="s">
        <v>56</v>
      </c>
      <c r="K60" t="s">
        <v>106</v>
      </c>
      <c r="L60" t="s">
        <v>120</v>
      </c>
    </row>
    <row r="61" spans="2:12" x14ac:dyDescent="0.6">
      <c r="B61" t="s">
        <v>16</v>
      </c>
      <c r="C61">
        <f>COUNTIFS($B$6:B61,B61)</f>
        <v>14</v>
      </c>
      <c r="D61" t="s">
        <v>102</v>
      </c>
      <c r="E61">
        <f t="shared" si="6"/>
        <v>300</v>
      </c>
      <c r="F61" t="s">
        <v>15</v>
      </c>
      <c r="G61">
        <v>0.20899999999999999</v>
      </c>
      <c r="H61" s="3" t="s">
        <v>49</v>
      </c>
      <c r="I61" t="s">
        <v>103</v>
      </c>
      <c r="J61" t="s">
        <v>56</v>
      </c>
      <c r="K61" t="s">
        <v>107</v>
      </c>
      <c r="L61" t="s">
        <v>120</v>
      </c>
    </row>
    <row r="62" spans="2:12" x14ac:dyDescent="0.6">
      <c r="B62" t="s">
        <v>16</v>
      </c>
      <c r="C62">
        <f>COUNTIFS($B$6:B62,B62)</f>
        <v>15</v>
      </c>
      <c r="D62" t="s">
        <v>102</v>
      </c>
      <c r="E62">
        <f t="shared" si="6"/>
        <v>300</v>
      </c>
      <c r="F62" t="s">
        <v>15</v>
      </c>
      <c r="G62">
        <v>0.187</v>
      </c>
      <c r="H62" s="3" t="s">
        <v>49</v>
      </c>
      <c r="I62" t="s">
        <v>103</v>
      </c>
      <c r="J62" t="s">
        <v>56</v>
      </c>
      <c r="K62" t="s">
        <v>108</v>
      </c>
      <c r="L62" t="s">
        <v>120</v>
      </c>
    </row>
    <row r="63" spans="2:12" x14ac:dyDescent="0.6">
      <c r="B63" t="s">
        <v>16</v>
      </c>
      <c r="C63">
        <f>COUNTIFS($B$6:B63,B63)</f>
        <v>16</v>
      </c>
      <c r="D63" t="s">
        <v>102</v>
      </c>
      <c r="E63">
        <f t="shared" si="6"/>
        <v>300</v>
      </c>
      <c r="F63" t="s">
        <v>15</v>
      </c>
      <c r="G63">
        <v>0.16900000000000001</v>
      </c>
      <c r="H63" s="3" t="s">
        <v>49</v>
      </c>
      <c r="I63" t="s">
        <v>103</v>
      </c>
      <c r="J63" t="s">
        <v>56</v>
      </c>
      <c r="K63" t="s">
        <v>109</v>
      </c>
      <c r="L63" t="s">
        <v>120</v>
      </c>
    </row>
    <row r="64" spans="2:12" x14ac:dyDescent="0.6">
      <c r="B64" t="s">
        <v>16</v>
      </c>
      <c r="C64">
        <f>COUNTIFS($B$6:B64,B64)</f>
        <v>17</v>
      </c>
      <c r="D64" t="s">
        <v>102</v>
      </c>
      <c r="E64">
        <f t="shared" si="6"/>
        <v>300</v>
      </c>
      <c r="F64" t="s">
        <v>15</v>
      </c>
      <c r="G64">
        <v>0.20899999999999999</v>
      </c>
      <c r="H64" s="3" t="s">
        <v>49</v>
      </c>
      <c r="I64" t="s">
        <v>103</v>
      </c>
      <c r="J64" t="s">
        <v>56</v>
      </c>
      <c r="K64" t="s">
        <v>110</v>
      </c>
      <c r="L64" t="s">
        <v>120</v>
      </c>
    </row>
    <row r="65" spans="2:12" x14ac:dyDescent="0.6">
      <c r="B65" t="s">
        <v>16</v>
      </c>
      <c r="C65">
        <f>COUNTIFS($B$6:B65,B65)</f>
        <v>18</v>
      </c>
      <c r="D65" t="s">
        <v>102</v>
      </c>
      <c r="E65">
        <f t="shared" si="6"/>
        <v>300</v>
      </c>
      <c r="F65" t="s">
        <v>15</v>
      </c>
      <c r="G65">
        <v>0.187</v>
      </c>
      <c r="H65" s="3" t="s">
        <v>49</v>
      </c>
      <c r="I65" t="s">
        <v>103</v>
      </c>
      <c r="J65" t="s">
        <v>56</v>
      </c>
      <c r="K65" t="s">
        <v>111</v>
      </c>
      <c r="L65" t="s">
        <v>120</v>
      </c>
    </row>
    <row r="66" spans="2:12" x14ac:dyDescent="0.6">
      <c r="B66" t="s">
        <v>16</v>
      </c>
      <c r="C66">
        <f>COUNTIFS($B$6:B66,B66)</f>
        <v>19</v>
      </c>
      <c r="D66" t="s">
        <v>102</v>
      </c>
      <c r="E66">
        <f t="shared" si="6"/>
        <v>300</v>
      </c>
      <c r="F66" t="s">
        <v>15</v>
      </c>
      <c r="G66">
        <v>0.16900000000000001</v>
      </c>
      <c r="H66" s="3" t="s">
        <v>49</v>
      </c>
      <c r="I66" t="s">
        <v>103</v>
      </c>
      <c r="J66" t="s">
        <v>56</v>
      </c>
      <c r="K66" t="s">
        <v>112</v>
      </c>
      <c r="L66" t="s">
        <v>120</v>
      </c>
    </row>
    <row r="67" spans="2:12" x14ac:dyDescent="0.6">
      <c r="B67" t="s">
        <v>16</v>
      </c>
      <c r="C67">
        <f>COUNTIFS($B$6:B67,B67)</f>
        <v>20</v>
      </c>
      <c r="D67" t="s">
        <v>102</v>
      </c>
      <c r="E67">
        <f t="shared" si="6"/>
        <v>300</v>
      </c>
      <c r="F67" t="s">
        <v>15</v>
      </c>
      <c r="G67">
        <v>0.216</v>
      </c>
      <c r="H67" s="3" t="s">
        <v>49</v>
      </c>
      <c r="I67" t="s">
        <v>103</v>
      </c>
      <c r="J67" t="s">
        <v>56</v>
      </c>
      <c r="K67" t="s">
        <v>113</v>
      </c>
      <c r="L67" t="s">
        <v>120</v>
      </c>
    </row>
    <row r="68" spans="2:12" x14ac:dyDescent="0.6">
      <c r="B68" t="s">
        <v>16</v>
      </c>
      <c r="C68">
        <f>COUNTIFS($B$6:B68,B68)</f>
        <v>21</v>
      </c>
      <c r="D68" t="s">
        <v>102</v>
      </c>
      <c r="E68">
        <f t="shared" si="6"/>
        <v>300</v>
      </c>
      <c r="F68" t="s">
        <v>15</v>
      </c>
      <c r="G68">
        <v>0.193</v>
      </c>
      <c r="H68" s="3" t="s">
        <v>49</v>
      </c>
      <c r="I68" t="s">
        <v>103</v>
      </c>
      <c r="J68" t="s">
        <v>56</v>
      </c>
      <c r="K68" t="s">
        <v>114</v>
      </c>
      <c r="L68" t="s">
        <v>120</v>
      </c>
    </row>
    <row r="69" spans="2:12" x14ac:dyDescent="0.6">
      <c r="B69" t="s">
        <v>16</v>
      </c>
      <c r="C69">
        <f>COUNTIFS($B$6:B69,B69)</f>
        <v>22</v>
      </c>
      <c r="D69" t="s">
        <v>102</v>
      </c>
      <c r="E69">
        <f t="shared" si="6"/>
        <v>300</v>
      </c>
      <c r="F69" t="s">
        <v>15</v>
      </c>
      <c r="G69">
        <v>0.17399999999999999</v>
      </c>
      <c r="H69" s="3" t="s">
        <v>49</v>
      </c>
      <c r="I69" t="s">
        <v>103</v>
      </c>
      <c r="J69" t="s">
        <v>56</v>
      </c>
      <c r="K69" t="s">
        <v>115</v>
      </c>
      <c r="L69" t="s">
        <v>120</v>
      </c>
    </row>
    <row r="70" spans="2:12" x14ac:dyDescent="0.6">
      <c r="B70" t="s">
        <v>16</v>
      </c>
      <c r="C70">
        <f>COUNTIFS($B$6:B70,B70)</f>
        <v>23</v>
      </c>
      <c r="D70" t="s">
        <v>119</v>
      </c>
      <c r="E70">
        <f>36.4%*1000</f>
        <v>364</v>
      </c>
      <c r="F70" t="s">
        <v>15</v>
      </c>
      <c r="G70">
        <v>0.20399999999999999</v>
      </c>
      <c r="H70" s="3" t="s">
        <v>49</v>
      </c>
      <c r="I70" t="s">
        <v>103</v>
      </c>
      <c r="J70" t="s">
        <v>56</v>
      </c>
      <c r="K70" t="s">
        <v>116</v>
      </c>
      <c r="L70" t="s">
        <v>120</v>
      </c>
    </row>
    <row r="71" spans="2:12" x14ac:dyDescent="0.6">
      <c r="B71" t="s">
        <v>16</v>
      </c>
      <c r="C71">
        <f>COUNTIFS($B$6:B71,B71)</f>
        <v>24</v>
      </c>
      <c r="D71" t="s">
        <v>119</v>
      </c>
      <c r="E71">
        <f>36.4%*1000</f>
        <v>364</v>
      </c>
      <c r="F71" t="s">
        <v>15</v>
      </c>
      <c r="G71">
        <v>0.182</v>
      </c>
      <c r="H71" s="3" t="s">
        <v>49</v>
      </c>
      <c r="I71" t="s">
        <v>103</v>
      </c>
      <c r="J71" t="s">
        <v>56</v>
      </c>
      <c r="K71" t="s">
        <v>117</v>
      </c>
      <c r="L71" t="s">
        <v>120</v>
      </c>
    </row>
    <row r="72" spans="2:12" x14ac:dyDescent="0.6">
      <c r="B72" t="s">
        <v>16</v>
      </c>
      <c r="C72">
        <f>COUNTIFS($B$6:B72,B72)</f>
        <v>25</v>
      </c>
      <c r="D72" t="s">
        <v>119</v>
      </c>
      <c r="E72">
        <f>36.4%*1000</f>
        <v>364</v>
      </c>
      <c r="F72" t="s">
        <v>15</v>
      </c>
      <c r="G72">
        <v>0.16500000000000001</v>
      </c>
      <c r="H72" s="3" t="s">
        <v>49</v>
      </c>
      <c r="I72" t="s">
        <v>103</v>
      </c>
      <c r="J72" t="s">
        <v>56</v>
      </c>
      <c r="K72" t="s">
        <v>118</v>
      </c>
      <c r="L72" t="s">
        <v>120</v>
      </c>
    </row>
    <row r="73" spans="2:12" x14ac:dyDescent="0.6">
      <c r="B73" t="s">
        <v>16</v>
      </c>
      <c r="C73">
        <f>COUNTIFS($B$6:B73,B73)</f>
        <v>26</v>
      </c>
      <c r="D73" t="s">
        <v>186</v>
      </c>
      <c r="E73">
        <v>1000</v>
      </c>
      <c r="F73" t="s">
        <v>15</v>
      </c>
      <c r="G73" s="5">
        <v>1.09234828496042</v>
      </c>
      <c r="H73" s="3" t="s">
        <v>48</v>
      </c>
      <c r="I73" t="s">
        <v>149</v>
      </c>
      <c r="J73" t="s">
        <v>69</v>
      </c>
      <c r="K73" t="s">
        <v>15</v>
      </c>
      <c r="L73" t="s">
        <v>132</v>
      </c>
    </row>
    <row r="74" spans="2:12" x14ac:dyDescent="0.6">
      <c r="B74" t="s">
        <v>16</v>
      </c>
      <c r="C74">
        <f>COUNTIFS($B$6:B74,B74)</f>
        <v>27</v>
      </c>
      <c r="D74" t="s">
        <v>134</v>
      </c>
      <c r="E74">
        <f>58%*1000</f>
        <v>580</v>
      </c>
      <c r="F74" t="s">
        <v>15</v>
      </c>
      <c r="G74">
        <v>3.4000000000000002E-2</v>
      </c>
      <c r="H74" s="3" t="s">
        <v>48</v>
      </c>
      <c r="I74" t="s">
        <v>130</v>
      </c>
      <c r="J74" t="s">
        <v>69</v>
      </c>
      <c r="K74" t="s">
        <v>15</v>
      </c>
      <c r="L74" t="s">
        <v>133</v>
      </c>
    </row>
    <row r="75" spans="2:12" x14ac:dyDescent="0.6">
      <c r="B75" t="s">
        <v>16</v>
      </c>
      <c r="C75">
        <f>COUNTIFS($B$6:B75,B75)</f>
        <v>28</v>
      </c>
      <c r="D75" t="s">
        <v>135</v>
      </c>
      <c r="E75">
        <f>23.1%*1000</f>
        <v>231</v>
      </c>
      <c r="F75" t="s">
        <v>15</v>
      </c>
      <c r="G75">
        <v>2.1000000000000001E-2</v>
      </c>
      <c r="H75" s="3" t="s">
        <v>48</v>
      </c>
      <c r="I75" t="s">
        <v>130</v>
      </c>
      <c r="J75" t="s">
        <v>69</v>
      </c>
      <c r="K75" t="s">
        <v>15</v>
      </c>
      <c r="L75" t="s">
        <v>133</v>
      </c>
    </row>
    <row r="76" spans="2:12" x14ac:dyDescent="0.6">
      <c r="B76" t="s">
        <v>16</v>
      </c>
      <c r="C76">
        <f>COUNTIFS($B$6:B76,B76)</f>
        <v>29</v>
      </c>
      <c r="D76" t="s">
        <v>136</v>
      </c>
      <c r="E76">
        <f>30.1%*1000</f>
        <v>301</v>
      </c>
      <c r="F76" t="s">
        <v>15</v>
      </c>
      <c r="G76">
        <v>4.0000000000000001E-3</v>
      </c>
      <c r="H76" s="3" t="s">
        <v>48</v>
      </c>
      <c r="I76" t="s">
        <v>130</v>
      </c>
      <c r="J76" t="s">
        <v>69</v>
      </c>
      <c r="K76" t="s">
        <v>15</v>
      </c>
      <c r="L76" t="s">
        <v>133</v>
      </c>
    </row>
    <row r="77" spans="2:12" ht="16.399999999999999" x14ac:dyDescent="0.8">
      <c r="B77" t="s">
        <v>195</v>
      </c>
      <c r="C77">
        <f>COUNTIFS($B$6:B77,B77)</f>
        <v>1</v>
      </c>
      <c r="D77" t="s">
        <v>124</v>
      </c>
      <c r="E77">
        <f>65%*1000</f>
        <v>650</v>
      </c>
      <c r="F77" t="s">
        <v>15</v>
      </c>
      <c r="G77" s="3">
        <v>2.511771</v>
      </c>
      <c r="H77" s="3" t="s">
        <v>49</v>
      </c>
      <c r="I77" t="s">
        <v>127</v>
      </c>
      <c r="J77" t="s">
        <v>56</v>
      </c>
      <c r="K77" t="s">
        <v>126</v>
      </c>
      <c r="L77" t="s">
        <v>128</v>
      </c>
    </row>
    <row r="78" spans="2:12" ht="16.399999999999999" x14ac:dyDescent="0.8">
      <c r="B78" t="s">
        <v>195</v>
      </c>
      <c r="C78">
        <f>COUNTIFS($B$6:B78,B78)</f>
        <v>2</v>
      </c>
      <c r="D78" t="s">
        <v>124</v>
      </c>
      <c r="E78">
        <f>65%*1000</f>
        <v>650</v>
      </c>
      <c r="F78" t="s">
        <v>15</v>
      </c>
      <c r="G78" s="3">
        <v>0.33744499999999999</v>
      </c>
      <c r="H78" s="3" t="s">
        <v>49</v>
      </c>
      <c r="I78" t="s">
        <v>127</v>
      </c>
      <c r="J78" t="s">
        <v>56</v>
      </c>
      <c r="K78" t="s">
        <v>125</v>
      </c>
      <c r="L78" t="s">
        <v>128</v>
      </c>
    </row>
    <row r="79" spans="2:12" ht="16.399999999999999" x14ac:dyDescent="0.8">
      <c r="B79" t="s">
        <v>195</v>
      </c>
      <c r="C79">
        <f>COUNTIFS($B$6:B79,B79)</f>
        <v>3</v>
      </c>
      <c r="D79" t="s">
        <v>157</v>
      </c>
      <c r="E79">
        <v>1000</v>
      </c>
      <c r="F79" t="s">
        <v>15</v>
      </c>
      <c r="G79" s="3">
        <v>0.22730142313142501</v>
      </c>
      <c r="H79" s="3" t="s">
        <v>49</v>
      </c>
      <c r="I79" t="s">
        <v>149</v>
      </c>
      <c r="J79" t="s">
        <v>56</v>
      </c>
      <c r="K79" t="s">
        <v>150</v>
      </c>
      <c r="L79" t="s">
        <v>161</v>
      </c>
    </row>
    <row r="80" spans="2:12" ht="16.399999999999999" x14ac:dyDescent="0.8">
      <c r="B80" t="s">
        <v>195</v>
      </c>
      <c r="C80">
        <f>COUNTIFS($B$6:B80,B80)</f>
        <v>4</v>
      </c>
      <c r="D80" t="s">
        <v>157</v>
      </c>
      <c r="E80">
        <v>1000</v>
      </c>
      <c r="F80" t="s">
        <v>15</v>
      </c>
      <c r="G80" s="3">
        <v>0.47009677830983598</v>
      </c>
      <c r="H80" s="3" t="s">
        <v>49</v>
      </c>
      <c r="I80" t="s">
        <v>149</v>
      </c>
      <c r="J80" t="s">
        <v>56</v>
      </c>
      <c r="K80" t="s">
        <v>151</v>
      </c>
      <c r="L80" t="s">
        <v>161</v>
      </c>
    </row>
    <row r="81" spans="2:12" ht="16.399999999999999" x14ac:dyDescent="0.8">
      <c r="B81" t="s">
        <v>195</v>
      </c>
      <c r="C81">
        <f>COUNTIFS($B$6:B81,B81)</f>
        <v>5</v>
      </c>
      <c r="D81" t="s">
        <v>157</v>
      </c>
      <c r="E81">
        <v>1000</v>
      </c>
      <c r="F81" t="s">
        <v>15</v>
      </c>
      <c r="G81" s="3">
        <v>0.145180896861588</v>
      </c>
      <c r="H81" s="3" t="s">
        <v>49</v>
      </c>
      <c r="I81" t="s">
        <v>149</v>
      </c>
      <c r="J81" t="s">
        <v>56</v>
      </c>
      <c r="K81" t="s">
        <v>152</v>
      </c>
      <c r="L81" t="s">
        <v>161</v>
      </c>
    </row>
    <row r="82" spans="2:12" ht="16.399999999999999" x14ac:dyDescent="0.8">
      <c r="B82" t="s">
        <v>195</v>
      </c>
      <c r="C82">
        <f>COUNTIFS($B$6:B82,B82)</f>
        <v>6</v>
      </c>
      <c r="D82" t="s">
        <v>157</v>
      </c>
      <c r="E82">
        <v>1000</v>
      </c>
      <c r="F82" t="s">
        <v>15</v>
      </c>
      <c r="G82" s="3">
        <v>0.190097852878157</v>
      </c>
      <c r="H82" s="3" t="s">
        <v>49</v>
      </c>
      <c r="I82" t="s">
        <v>149</v>
      </c>
      <c r="J82" t="s">
        <v>56</v>
      </c>
      <c r="K82" t="s">
        <v>153</v>
      </c>
      <c r="L82" t="s">
        <v>161</v>
      </c>
    </row>
    <row r="83" spans="2:12" ht="16.399999999999999" x14ac:dyDescent="0.8">
      <c r="B83" t="s">
        <v>195</v>
      </c>
      <c r="C83">
        <f>COUNTIFS($B$6:B83,B83)</f>
        <v>7</v>
      </c>
      <c r="D83" t="s">
        <v>157</v>
      </c>
      <c r="E83">
        <v>1000</v>
      </c>
      <c r="F83" t="s">
        <v>15</v>
      </c>
      <c r="G83" s="3">
        <v>0.182915035225682</v>
      </c>
      <c r="H83" s="3" t="s">
        <v>49</v>
      </c>
      <c r="I83" t="s">
        <v>149</v>
      </c>
      <c r="J83" t="s">
        <v>56</v>
      </c>
      <c r="K83" t="s">
        <v>154</v>
      </c>
      <c r="L83" t="s">
        <v>161</v>
      </c>
    </row>
    <row r="84" spans="2:12" ht="16.399999999999999" x14ac:dyDescent="0.8">
      <c r="B84" t="s">
        <v>195</v>
      </c>
      <c r="C84">
        <f>COUNTIFS($B$6:B84,B84)</f>
        <v>8</v>
      </c>
      <c r="D84" t="s">
        <v>157</v>
      </c>
      <c r="E84">
        <v>1000</v>
      </c>
      <c r="F84" t="s">
        <v>15</v>
      </c>
      <c r="G84" s="3">
        <v>0.22084393909883901</v>
      </c>
      <c r="H84" s="3" t="s">
        <v>49</v>
      </c>
      <c r="I84" t="s">
        <v>149</v>
      </c>
      <c r="J84" t="s">
        <v>56</v>
      </c>
      <c r="K84" t="s">
        <v>155</v>
      </c>
      <c r="L84" t="s">
        <v>161</v>
      </c>
    </row>
    <row r="85" spans="2:12" ht="16.399999999999999" x14ac:dyDescent="0.8">
      <c r="B85" t="s">
        <v>195</v>
      </c>
      <c r="C85">
        <f>COUNTIFS($B$6:B85,B85)</f>
        <v>9</v>
      </c>
      <c r="D85" t="s">
        <v>157</v>
      </c>
      <c r="E85">
        <v>1000</v>
      </c>
      <c r="F85" t="s">
        <v>15</v>
      </c>
      <c r="G85" s="3">
        <v>0.19106160634532299</v>
      </c>
      <c r="H85" s="3" t="s">
        <v>49</v>
      </c>
      <c r="I85" t="s">
        <v>149</v>
      </c>
      <c r="J85" t="s">
        <v>56</v>
      </c>
      <c r="K85" t="s">
        <v>156</v>
      </c>
      <c r="L85" t="s">
        <v>161</v>
      </c>
    </row>
    <row r="86" spans="2:12" ht="16.399999999999999" x14ac:dyDescent="0.8">
      <c r="B86" t="s">
        <v>195</v>
      </c>
      <c r="C86">
        <f>COUNTIFS($B$6:B86,B86)</f>
        <v>10</v>
      </c>
      <c r="D86" t="s">
        <v>162</v>
      </c>
      <c r="E86">
        <v>1000</v>
      </c>
      <c r="F86" t="s">
        <v>15</v>
      </c>
      <c r="G86" s="3">
        <f>AVERAGE(0.01,0.018)+AVERAGE(0.16,0.23)+AVERAGE(0.0065,0.0091)</f>
        <v>0.21680000000000002</v>
      </c>
      <c r="H86" s="3" t="s">
        <v>49</v>
      </c>
      <c r="I86" t="s">
        <v>149</v>
      </c>
      <c r="J86" t="s">
        <v>56</v>
      </c>
      <c r="K86" t="s">
        <v>163</v>
      </c>
      <c r="L86" t="s">
        <v>165</v>
      </c>
    </row>
    <row r="87" spans="2:12" ht="16.399999999999999" x14ac:dyDescent="0.8">
      <c r="B87" t="s">
        <v>195</v>
      </c>
      <c r="C87">
        <f>COUNTIFS($B$6:B87,B87)</f>
        <v>11</v>
      </c>
      <c r="D87" t="s">
        <v>162</v>
      </c>
      <c r="E87">
        <v>1000</v>
      </c>
      <c r="F87" t="s">
        <v>15</v>
      </c>
      <c r="G87" s="3">
        <f>AVERAGE(0,0.0026)+AVERAGE(0,0.033)+AVERAGE(0,0.0013)</f>
        <v>1.8450000000000001E-2</v>
      </c>
      <c r="H87" s="3" t="s">
        <v>49</v>
      </c>
      <c r="I87" t="s">
        <v>149</v>
      </c>
      <c r="J87" t="s">
        <v>56</v>
      </c>
      <c r="K87" t="s">
        <v>164</v>
      </c>
      <c r="L87" t="s">
        <v>165</v>
      </c>
    </row>
    <row r="88" spans="2:12" ht="16.399999999999999" x14ac:dyDescent="0.8">
      <c r="B88" t="s">
        <v>194</v>
      </c>
      <c r="C88">
        <f>COUNTIFS($B$6:B88,B88)</f>
        <v>1</v>
      </c>
      <c r="D88" t="s">
        <v>137</v>
      </c>
      <c r="E88">
        <f>72.9%*1000</f>
        <v>729.00000000000011</v>
      </c>
      <c r="F88" t="s">
        <v>15</v>
      </c>
      <c r="G88" s="3">
        <v>2.5999999999999999E-2</v>
      </c>
      <c r="H88" s="3" t="s">
        <v>48</v>
      </c>
      <c r="I88" t="s">
        <v>130</v>
      </c>
      <c r="J88" t="s">
        <v>69</v>
      </c>
      <c r="K88" t="s">
        <v>15</v>
      </c>
      <c r="L88" t="s">
        <v>133</v>
      </c>
    </row>
    <row r="89" spans="2:12" ht="16.399999999999999" x14ac:dyDescent="0.8">
      <c r="B89" t="s">
        <v>194</v>
      </c>
      <c r="C89">
        <f>COUNTIFS($B$6:B89,B89)</f>
        <v>2</v>
      </c>
      <c r="D89" t="s">
        <v>158</v>
      </c>
      <c r="E89">
        <v>1000</v>
      </c>
      <c r="F89" t="s">
        <v>15</v>
      </c>
      <c r="G89" s="3">
        <v>5.1999999999999998E-2</v>
      </c>
      <c r="H89" s="3" t="s">
        <v>49</v>
      </c>
      <c r="I89" t="s">
        <v>140</v>
      </c>
      <c r="J89" t="s">
        <v>159</v>
      </c>
      <c r="K89" t="s">
        <v>15</v>
      </c>
      <c r="L89" t="s">
        <v>160</v>
      </c>
    </row>
    <row r="90" spans="2:12" x14ac:dyDescent="0.6">
      <c r="B90" t="s">
        <v>166</v>
      </c>
      <c r="C90">
        <f>COUNTIFS($B$6:B90,B90)</f>
        <v>1</v>
      </c>
      <c r="D90" t="s">
        <v>167</v>
      </c>
      <c r="E90">
        <f>1000*72%</f>
        <v>720</v>
      </c>
      <c r="F90" t="s">
        <v>15</v>
      </c>
      <c r="G90" s="3">
        <f>(225+2500*25+62.5*16)/50000000</f>
        <v>1.2745E-3</v>
      </c>
      <c r="H90" s="3" t="s">
        <v>49</v>
      </c>
      <c r="I90" t="s">
        <v>130</v>
      </c>
      <c r="J90" t="s">
        <v>168</v>
      </c>
      <c r="K90" t="s">
        <v>15</v>
      </c>
      <c r="L90" t="s">
        <v>148</v>
      </c>
    </row>
  </sheetData>
  <autoFilter ref="B6:L6" xr:uid="{B7E40F2F-03AB-4E33-A20D-9B1849AEBF23}"/>
  <mergeCells count="1">
    <mergeCell ref="B4:L4"/>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Fig. 1a - Textiles</vt:lpstr>
      <vt:lpstr>Fig. 1b - Caffeine</vt:lpstr>
      <vt:lpstr>Fig. 1c - Vanillin</vt:lpstr>
      <vt:lpstr>Fig. 2 - Cult. Meat Cost Curve</vt:lpstr>
      <vt:lpstr>Fig. 2 - Meat Cost Curve</vt:lpstr>
      <vt:lpstr>Fig. 3 - Summary</vt:lpstr>
      <vt:lpstr>Fig. 3 - Underlying Studies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Poore</dc:creator>
  <cp:lastModifiedBy>Joseph Poore</cp:lastModifiedBy>
  <dcterms:created xsi:type="dcterms:W3CDTF">2024-02-05T20:31:18Z</dcterms:created>
  <dcterms:modified xsi:type="dcterms:W3CDTF">2024-06-17T11:01:55Z</dcterms:modified>
</cp:coreProperties>
</file>