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7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4.xml" ContentType="application/vnd.openxmlformats-officedocument.drawing+xml"/>
  <Override PartName="/xl/comments7.xml" ContentType="application/vnd.openxmlformats-officedocument.spreadsheetml.comment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270" windowHeight="11850" tabRatio="666"/>
  </bookViews>
  <sheets>
    <sheet name="Interface" sheetId="3" r:id="rId1"/>
    <sheet name="cells" sheetId="7" r:id="rId2"/>
    <sheet name="simulation" sheetId="2" r:id="rId3"/>
    <sheet name="model parameters" sheetId="1" r:id="rId4"/>
    <sheet name="costtable" sheetId="19" r:id="rId5"/>
    <sheet name="utiltable" sheetId="18" r:id="rId6"/>
    <sheet name="lifetable" sheetId="4" r:id="rId7"/>
    <sheet name="Results" sheetId="6" r:id="rId8"/>
    <sheet name="population sizes" sheetId="8" r:id="rId9"/>
    <sheet name="pop 2014" sheetId="17" r:id="rId10"/>
    <sheet name="Calc QOF Rates" sheetId="15" r:id="rId11"/>
    <sheet name="CVD prev and nonfatal effects" sheetId="9" r:id="rId12"/>
    <sheet name="2way" sheetId="10" r:id="rId13"/>
    <sheet name="2way_base" sheetId="12" r:id="rId14"/>
    <sheet name="PSA" sheetId="13" r:id="rId15"/>
  </sheets>
  <functionGroups builtInGroupCount="17"/>
  <definedNames>
    <definedName name="Age">simulation!$C$10:$C$110</definedName>
    <definedName name="Ageyr">'model parameters'!$D$5</definedName>
    <definedName name="cCVDacute">'model parameters'!$D$19</definedName>
    <definedName name="cCVDchronic">'model parameters'!$D$20</definedName>
    <definedName name="CostMult">'model parameters'!$D$18</definedName>
    <definedName name="delta_40_74">'Calc QOF Rates'!$AE$16</definedName>
    <definedName name="delta_CVD">'Calc QOF Rates'!$AE$23</definedName>
    <definedName name="delta_death">simulation!$Y$10:$Y$110</definedName>
    <definedName name="delta_prevalence">simulation!$Z$10:$Z$110</definedName>
    <definedName name="DiscRate">'model parameters'!$D$9</definedName>
    <definedName name="fCVDmort">'model parameters'!$D$14</definedName>
    <definedName name="GUI_cCVDacute">Interface!$B$36</definedName>
    <definedName name="GUI_cCVDchronic">Interface!$B$39</definedName>
    <definedName name="GUI_costmult">Interface!$B$28</definedName>
    <definedName name="GUI_mortLCL">Interface!$B$15</definedName>
    <definedName name="GUI_mortUCL">Interface!$D$15</definedName>
    <definedName name="GUI_nfCVD">Interface!$B$31</definedName>
    <definedName name="GUI_QOFcost">Interface!$B$18</definedName>
    <definedName name="GUI_QOFeffect">Interface!$C$13</definedName>
    <definedName name="ICER">Results!$I$5</definedName>
    <definedName name="incr_cost">Results!$H$6</definedName>
    <definedName name="incr_lys">Results!$G$6</definedName>
    <definedName name="LifeTable">lifetable!$W$5:$Z$106</definedName>
    <definedName name="LifeTableQOF">lifetable!$AC$5:$AH$106</definedName>
    <definedName name="maxCells">cells!$C$4</definedName>
    <definedName name="maxtime">Interface!$B$25</definedName>
    <definedName name="mCVDmort">'model parameters'!$D$13</definedName>
    <definedName name="mortLCL">'model parameters'!$D$22</definedName>
    <definedName name="mortUCL">'model parameters'!$D$23</definedName>
    <definedName name="NFCVDMult">'model parameters'!$D$21</definedName>
    <definedName name="NMB">Results!$D$10</definedName>
    <definedName name="nonfatal_fatal">'CVD prev and nonfatal effects'!$Z$14</definedName>
    <definedName name="NonQOF_Ending">simulation!$S$10:$S$110</definedName>
    <definedName name="numCells">cells!$C$3</definedName>
    <definedName name="numInputs">cells!$C$5</definedName>
    <definedName name="numOutputs">cells!$C$6</definedName>
    <definedName name="over40">'population sizes'!$J$42</definedName>
    <definedName name="pCVD">'model parameters'!$D$7</definedName>
    <definedName name="pMale">'model parameters'!$D$6</definedName>
    <definedName name="popsize">'population sizes'!$H$63</definedName>
    <definedName name="PrimaryPrev">'population sizes'!$P$42</definedName>
    <definedName name="PSAprobCETable">PSA!$AK$3:$AM$103</definedName>
    <definedName name="QOF_Ending">simulation!$G$10:$G$110</definedName>
    <definedName name="QOFcost">'model parameters'!$D$10</definedName>
    <definedName name="QOFrate">'model parameters'!$D$11</definedName>
    <definedName name="solver_eng" localSheetId="8" hidden="1">1</definedName>
    <definedName name="solver_lin" localSheetId="8" hidden="1">2</definedName>
    <definedName name="solver_neg" localSheetId="8" hidden="1">1</definedName>
    <definedName name="solver_num" localSheetId="8" hidden="1">0</definedName>
    <definedName name="solver_opt" localSheetId="8" hidden="1">'population sizes'!$D$95</definedName>
    <definedName name="solver_typ" localSheetId="8" hidden="1">1</definedName>
    <definedName name="solver_val" localSheetId="8" hidden="1">0</definedName>
    <definedName name="solver_ver" localSheetId="8" hidden="1">2</definedName>
    <definedName name="TableCostAge">costtable!$B$3:$C$103</definedName>
    <definedName name="TableUtil">utiltable!$B$4:$C$103</definedName>
    <definedName name="uCVD">'model parameters'!$D$12</definedName>
    <definedName name="util">'model parameters'!$D$8</definedName>
    <definedName name="WTP">Interface!$B$55</definedName>
  </definedNames>
  <calcPr calcId="145621"/>
</workbook>
</file>

<file path=xl/calcChain.xml><?xml version="1.0" encoding="utf-8"?>
<calcChain xmlns="http://schemas.openxmlformats.org/spreadsheetml/2006/main">
  <c r="D12" i="1" l="1"/>
  <c r="D14" i="1"/>
  <c r="D13" i="1"/>
  <c r="B39" i="3" l="1"/>
  <c r="B36" i="3"/>
  <c r="AB5" i="19"/>
  <c r="AB4" i="19"/>
  <c r="J4" i="19"/>
  <c r="J3" i="19"/>
  <c r="D20" i="1" l="1"/>
  <c r="D19" i="1"/>
  <c r="K4" i="19" l="1"/>
  <c r="J5" i="19"/>
  <c r="K5" i="19" s="1"/>
  <c r="J6" i="19"/>
  <c r="K6" i="19" s="1"/>
  <c r="J7" i="19"/>
  <c r="K7" i="19" s="1"/>
  <c r="J8" i="19"/>
  <c r="K8" i="19" s="1"/>
  <c r="J9" i="19"/>
  <c r="K9" i="19" s="1"/>
  <c r="J10" i="19"/>
  <c r="K10" i="19" s="1"/>
  <c r="J11" i="19"/>
  <c r="K11" i="19" s="1"/>
  <c r="J12" i="19"/>
  <c r="K12" i="19" s="1"/>
  <c r="J13" i="19"/>
  <c r="K13" i="19" s="1"/>
  <c r="J14" i="19"/>
  <c r="K14" i="19" s="1"/>
  <c r="J15" i="19"/>
  <c r="K15" i="19" s="1"/>
  <c r="J16" i="19"/>
  <c r="K16" i="19" s="1"/>
  <c r="J17" i="19"/>
  <c r="K17" i="19" s="1"/>
  <c r="J18" i="19"/>
  <c r="K18" i="19" s="1"/>
  <c r="J19" i="19"/>
  <c r="K19" i="19" s="1"/>
  <c r="J20" i="19"/>
  <c r="K20" i="19" s="1"/>
  <c r="J21" i="19"/>
  <c r="K21" i="19" s="1"/>
  <c r="J22" i="19"/>
  <c r="K22" i="19" s="1"/>
  <c r="J23" i="19"/>
  <c r="K23" i="19" s="1"/>
  <c r="J24" i="19"/>
  <c r="K24" i="19" s="1"/>
  <c r="J25" i="19"/>
  <c r="K25" i="19" s="1"/>
  <c r="J26" i="19"/>
  <c r="K26" i="19" s="1"/>
  <c r="J27" i="19"/>
  <c r="K27" i="19" s="1"/>
  <c r="J28" i="19"/>
  <c r="K28" i="19" s="1"/>
  <c r="J29" i="19"/>
  <c r="K29" i="19" s="1"/>
  <c r="J30" i="19"/>
  <c r="K30" i="19" s="1"/>
  <c r="J31" i="19"/>
  <c r="K31" i="19" s="1"/>
  <c r="J32" i="19"/>
  <c r="K32" i="19" s="1"/>
  <c r="J33" i="19"/>
  <c r="K33" i="19" s="1"/>
  <c r="J34" i="19"/>
  <c r="K34" i="19" s="1"/>
  <c r="J35" i="19"/>
  <c r="K35" i="19" s="1"/>
  <c r="J36" i="19"/>
  <c r="K36" i="19" s="1"/>
  <c r="J37" i="19"/>
  <c r="K37" i="19" s="1"/>
  <c r="J38" i="19"/>
  <c r="K38" i="19" s="1"/>
  <c r="J39" i="19"/>
  <c r="K39" i="19" s="1"/>
  <c r="J40" i="19"/>
  <c r="K40" i="19" s="1"/>
  <c r="J41" i="19"/>
  <c r="K41" i="19" s="1"/>
  <c r="J42" i="19"/>
  <c r="K42" i="19" s="1"/>
  <c r="J43" i="19"/>
  <c r="K43" i="19" s="1"/>
  <c r="J44" i="19"/>
  <c r="K44" i="19" s="1"/>
  <c r="J45" i="19"/>
  <c r="K45" i="19" s="1"/>
  <c r="J46" i="19"/>
  <c r="K46" i="19" s="1"/>
  <c r="J47" i="19"/>
  <c r="K47" i="19" s="1"/>
  <c r="J48" i="19"/>
  <c r="K48" i="19" s="1"/>
  <c r="J49" i="19"/>
  <c r="K49" i="19" s="1"/>
  <c r="J50" i="19"/>
  <c r="K50" i="19" s="1"/>
  <c r="J51" i="19"/>
  <c r="K51" i="19" s="1"/>
  <c r="J52" i="19"/>
  <c r="K52" i="19" s="1"/>
  <c r="J53" i="19"/>
  <c r="K53" i="19" s="1"/>
  <c r="J54" i="19"/>
  <c r="K54" i="19" s="1"/>
  <c r="J55" i="19"/>
  <c r="K55" i="19" s="1"/>
  <c r="J56" i="19"/>
  <c r="K56" i="19" s="1"/>
  <c r="J57" i="19"/>
  <c r="K57" i="19" s="1"/>
  <c r="J58" i="19"/>
  <c r="K58" i="19" s="1"/>
  <c r="J59" i="19"/>
  <c r="K59" i="19" s="1"/>
  <c r="J60" i="19"/>
  <c r="K60" i="19" s="1"/>
  <c r="J61" i="19"/>
  <c r="K61" i="19" s="1"/>
  <c r="J62" i="19"/>
  <c r="K62" i="19" s="1"/>
  <c r="J63" i="19"/>
  <c r="K63" i="19" s="1"/>
  <c r="J64" i="19"/>
  <c r="K64" i="19" s="1"/>
  <c r="J65" i="19"/>
  <c r="K65" i="19" s="1"/>
  <c r="J66" i="19"/>
  <c r="K66" i="19" s="1"/>
  <c r="J67" i="19"/>
  <c r="K67" i="19" s="1"/>
  <c r="J68" i="19"/>
  <c r="K68" i="19" s="1"/>
  <c r="J69" i="19"/>
  <c r="K69" i="19" s="1"/>
  <c r="J70" i="19"/>
  <c r="K70" i="19" s="1"/>
  <c r="J71" i="19"/>
  <c r="K71" i="19" s="1"/>
  <c r="J72" i="19"/>
  <c r="K72" i="19" s="1"/>
  <c r="J73" i="19"/>
  <c r="K73" i="19" s="1"/>
  <c r="J74" i="19"/>
  <c r="K74" i="19" s="1"/>
  <c r="J75" i="19"/>
  <c r="K75" i="19" s="1"/>
  <c r="J76" i="19"/>
  <c r="K76" i="19" s="1"/>
  <c r="J77" i="19"/>
  <c r="K77" i="19" s="1"/>
  <c r="J78" i="19"/>
  <c r="K78" i="19" s="1"/>
  <c r="J79" i="19"/>
  <c r="K79" i="19" s="1"/>
  <c r="J80" i="19"/>
  <c r="K80" i="19" s="1"/>
  <c r="J81" i="19"/>
  <c r="K81" i="19" s="1"/>
  <c r="J82" i="19"/>
  <c r="K82" i="19" s="1"/>
  <c r="J83" i="19"/>
  <c r="K83" i="19" s="1"/>
  <c r="J84" i="19"/>
  <c r="K84" i="19" s="1"/>
  <c r="J85" i="19"/>
  <c r="K85" i="19" s="1"/>
  <c r="J86" i="19"/>
  <c r="K86" i="19" s="1"/>
  <c r="J87" i="19"/>
  <c r="K87" i="19" s="1"/>
  <c r="J88" i="19"/>
  <c r="K88" i="19" s="1"/>
  <c r="J89" i="19"/>
  <c r="K89" i="19" s="1"/>
  <c r="J90" i="19"/>
  <c r="K90" i="19" s="1"/>
  <c r="J91" i="19"/>
  <c r="K91" i="19" s="1"/>
  <c r="J92" i="19"/>
  <c r="K92" i="19" s="1"/>
  <c r="J93" i="19"/>
  <c r="K93" i="19" s="1"/>
  <c r="J94" i="19"/>
  <c r="K94" i="19" s="1"/>
  <c r="J95" i="19"/>
  <c r="K95" i="19" s="1"/>
  <c r="J96" i="19"/>
  <c r="K96" i="19" s="1"/>
  <c r="J97" i="19"/>
  <c r="K97" i="19" s="1"/>
  <c r="J98" i="19"/>
  <c r="K98" i="19" s="1"/>
  <c r="J99" i="19"/>
  <c r="K99" i="19" s="1"/>
  <c r="J100" i="19"/>
  <c r="K100" i="19" s="1"/>
  <c r="J101" i="19"/>
  <c r="K101" i="19" s="1"/>
  <c r="J102" i="19"/>
  <c r="K102" i="19" s="1"/>
  <c r="J103" i="19"/>
  <c r="K103" i="19" s="1"/>
  <c r="K3" i="19"/>
  <c r="O64" i="13" l="1"/>
  <c r="AN10" i="13" l="1"/>
  <c r="Y6" i="4"/>
  <c r="D17" i="1"/>
  <c r="D15" i="1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79" i="4"/>
  <c r="X80" i="4"/>
  <c r="X81" i="4"/>
  <c r="X82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6" i="4"/>
  <c r="X97" i="4"/>
  <c r="X98" i="4"/>
  <c r="X99" i="4"/>
  <c r="X100" i="4"/>
  <c r="X101" i="4"/>
  <c r="X102" i="4"/>
  <c r="X103" i="4"/>
  <c r="X104" i="4"/>
  <c r="X105" i="4"/>
  <c r="Y5" i="4"/>
  <c r="X5" i="4"/>
  <c r="Y35" i="9"/>
  <c r="Y33" i="9"/>
  <c r="Y12" i="9"/>
  <c r="W8" i="9"/>
  <c r="Z8" i="9" s="1"/>
  <c r="Z14" i="9" s="1"/>
  <c r="H21" i="1" s="1"/>
  <c r="X8" i="9"/>
  <c r="Y8" i="9"/>
  <c r="M20" i="15"/>
  <c r="U20" i="15" s="1"/>
  <c r="M16" i="15"/>
  <c r="U16" i="15" s="1"/>
  <c r="X36" i="9"/>
  <c r="W36" i="9"/>
  <c r="Y32" i="9"/>
  <c r="P18" i="15"/>
  <c r="V18" i="15" s="1"/>
  <c r="M18" i="15"/>
  <c r="U18" i="15" s="1"/>
  <c r="W18" i="15" s="1"/>
  <c r="D21" i="1"/>
  <c r="AC10" i="2" s="1"/>
  <c r="AD10" i="2" s="1"/>
  <c r="C10" i="2"/>
  <c r="AH106" i="4"/>
  <c r="M15" i="15"/>
  <c r="U15" i="15" s="1"/>
  <c r="G10" i="2"/>
  <c r="H10" i="2" s="1"/>
  <c r="S10" i="2"/>
  <c r="T10" i="2" s="1"/>
  <c r="V10" i="2" s="1"/>
  <c r="M10" i="15"/>
  <c r="U10" i="15"/>
  <c r="Y10" i="15" s="1"/>
  <c r="M11" i="15"/>
  <c r="U11" i="15" s="1"/>
  <c r="Y11" i="15" s="1"/>
  <c r="M12" i="15"/>
  <c r="U12" i="15" s="1"/>
  <c r="M13" i="15"/>
  <c r="U13" i="15"/>
  <c r="AA13" i="15" s="1"/>
  <c r="M14" i="15"/>
  <c r="U14" i="15" s="1"/>
  <c r="AA14" i="15" s="1"/>
  <c r="M17" i="15"/>
  <c r="U17" i="15" s="1"/>
  <c r="Y17" i="15" s="1"/>
  <c r="M19" i="15"/>
  <c r="U19" i="15" s="1"/>
  <c r="AA19" i="15" s="1"/>
  <c r="M21" i="15"/>
  <c r="U21" i="15" s="1"/>
  <c r="Y21" i="15" s="1"/>
  <c r="M22" i="15"/>
  <c r="U22" i="15" s="1"/>
  <c r="Y22" i="15" s="1"/>
  <c r="M23" i="15"/>
  <c r="U23" i="15" s="1"/>
  <c r="AA23" i="15" s="1"/>
  <c r="M24" i="15"/>
  <c r="U24" i="15" s="1"/>
  <c r="W24" i="15" s="1"/>
  <c r="M25" i="15"/>
  <c r="U25" i="15" s="1"/>
  <c r="M26" i="15"/>
  <c r="U26" i="15" s="1"/>
  <c r="M27" i="15"/>
  <c r="U27" i="15" s="1"/>
  <c r="M28" i="15"/>
  <c r="U28" i="15" s="1"/>
  <c r="Y28" i="15" s="1"/>
  <c r="M29" i="15"/>
  <c r="U29" i="15" s="1"/>
  <c r="M30" i="15"/>
  <c r="U30" i="15" s="1"/>
  <c r="M31" i="15"/>
  <c r="U31" i="15" s="1"/>
  <c r="M32" i="15"/>
  <c r="U32" i="15" s="1"/>
  <c r="AA32" i="15" s="1"/>
  <c r="M33" i="15"/>
  <c r="U33" i="15" s="1"/>
  <c r="M34" i="15"/>
  <c r="U34" i="15" s="1"/>
  <c r="Y34" i="15" s="1"/>
  <c r="M35" i="15"/>
  <c r="U35" i="15" s="1"/>
  <c r="AA35" i="15" s="1"/>
  <c r="M36" i="15"/>
  <c r="U36" i="15" s="1"/>
  <c r="W36" i="15" s="1"/>
  <c r="M37" i="15"/>
  <c r="U37" i="15" s="1"/>
  <c r="AA37" i="15" s="1"/>
  <c r="M38" i="15"/>
  <c r="U38" i="15" s="1"/>
  <c r="M39" i="15"/>
  <c r="U39" i="15" s="1"/>
  <c r="W39" i="15" s="1"/>
  <c r="M40" i="15"/>
  <c r="U40" i="15" s="1"/>
  <c r="Y40" i="15" s="1"/>
  <c r="M41" i="15"/>
  <c r="U41" i="15"/>
  <c r="Y41" i="15" s="1"/>
  <c r="M42" i="15"/>
  <c r="U42" i="15" s="1"/>
  <c r="M43" i="15"/>
  <c r="U43" i="15" s="1"/>
  <c r="M44" i="15"/>
  <c r="U44" i="15" s="1"/>
  <c r="AA44" i="15" s="1"/>
  <c r="M45" i="15"/>
  <c r="U45" i="15" s="1"/>
  <c r="W45" i="15" s="1"/>
  <c r="M46" i="15"/>
  <c r="U46" i="15" s="1"/>
  <c r="Y46" i="15" s="1"/>
  <c r="M47" i="15"/>
  <c r="U47" i="15" s="1"/>
  <c r="AA47" i="15" s="1"/>
  <c r="M48" i="15"/>
  <c r="U48" i="15" s="1"/>
  <c r="W48" i="15" s="1"/>
  <c r="AE6" i="15"/>
  <c r="M49" i="15"/>
  <c r="U49" i="15" s="1"/>
  <c r="W49" i="15" s="1"/>
  <c r="M50" i="15"/>
  <c r="U50" i="15" s="1"/>
  <c r="M51" i="15"/>
  <c r="U51" i="15" s="1"/>
  <c r="W51" i="15" s="1"/>
  <c r="M52" i="15"/>
  <c r="U52" i="15" s="1"/>
  <c r="W52" i="15" s="1"/>
  <c r="M53" i="15"/>
  <c r="U53" i="15" s="1"/>
  <c r="W53" i="15" s="1"/>
  <c r="M54" i="15"/>
  <c r="U54" i="15"/>
  <c r="M55" i="15"/>
  <c r="U55" i="15" s="1"/>
  <c r="W55" i="15" s="1"/>
  <c r="M56" i="15"/>
  <c r="U56" i="15" s="1"/>
  <c r="M57" i="15"/>
  <c r="U57" i="15" s="1"/>
  <c r="W57" i="15" s="1"/>
  <c r="M58" i="15"/>
  <c r="U58" i="15" s="1"/>
  <c r="M59" i="15"/>
  <c r="U59" i="15" s="1"/>
  <c r="W59" i="15" s="1"/>
  <c r="M60" i="15"/>
  <c r="U60" i="15" s="1"/>
  <c r="M61" i="15"/>
  <c r="U61" i="15" s="1"/>
  <c r="W61" i="15" s="1"/>
  <c r="M62" i="15"/>
  <c r="U62" i="15" s="1"/>
  <c r="M63" i="15"/>
  <c r="U63" i="15" s="1"/>
  <c r="M64" i="15"/>
  <c r="U64" i="15"/>
  <c r="W64" i="15" s="1"/>
  <c r="M65" i="15"/>
  <c r="U65" i="15" s="1"/>
  <c r="W65" i="15" s="1"/>
  <c r="M66" i="15"/>
  <c r="U66" i="15" s="1"/>
  <c r="Y66" i="15" s="1"/>
  <c r="AA66" i="15" s="1"/>
  <c r="M67" i="15"/>
  <c r="U67" i="15" s="1"/>
  <c r="W67" i="15" s="1"/>
  <c r="M68" i="15"/>
  <c r="U68" i="15" s="1"/>
  <c r="W68" i="15" s="1"/>
  <c r="M69" i="15"/>
  <c r="U69" i="15" s="1"/>
  <c r="M70" i="15"/>
  <c r="U70" i="15" s="1"/>
  <c r="M71" i="15"/>
  <c r="U71" i="15" s="1"/>
  <c r="M72" i="15"/>
  <c r="U72" i="15" s="1"/>
  <c r="M73" i="15"/>
  <c r="U73" i="15" s="1"/>
  <c r="W73" i="15" s="1"/>
  <c r="AE7" i="15"/>
  <c r="M74" i="15"/>
  <c r="U74" i="15" s="1"/>
  <c r="M75" i="15"/>
  <c r="U75" i="15" s="1"/>
  <c r="M76" i="15"/>
  <c r="U76" i="15" s="1"/>
  <c r="Y76" i="15" s="1"/>
  <c r="AA76" i="15" s="1"/>
  <c r="M77" i="15"/>
  <c r="U77" i="15" s="1"/>
  <c r="M78" i="15"/>
  <c r="U78" i="15" s="1"/>
  <c r="W78" i="15" s="1"/>
  <c r="M79" i="15"/>
  <c r="U79" i="15" s="1"/>
  <c r="M80" i="15"/>
  <c r="U80" i="15" s="1"/>
  <c r="W80" i="15" s="1"/>
  <c r="M81" i="15"/>
  <c r="U81" i="15" s="1"/>
  <c r="M82" i="15"/>
  <c r="U82" i="15" s="1"/>
  <c r="M83" i="15"/>
  <c r="U83" i="15" s="1"/>
  <c r="P10" i="15"/>
  <c r="V10" i="15" s="1"/>
  <c r="AB10" i="15" s="1"/>
  <c r="P11" i="15"/>
  <c r="V11" i="15"/>
  <c r="P12" i="15"/>
  <c r="V12" i="15" s="1"/>
  <c r="AB12" i="15" s="1"/>
  <c r="P13" i="15"/>
  <c r="V13" i="15" s="1"/>
  <c r="P14" i="15"/>
  <c r="V14" i="15" s="1"/>
  <c r="P15" i="15"/>
  <c r="V15" i="15" s="1"/>
  <c r="P16" i="15"/>
  <c r="V16" i="15"/>
  <c r="Z16" i="15" s="1"/>
  <c r="P17" i="15"/>
  <c r="V17" i="15" s="1"/>
  <c r="AB17" i="15" s="1"/>
  <c r="P19" i="15"/>
  <c r="V19" i="15" s="1"/>
  <c r="X19" i="15" s="1"/>
  <c r="P20" i="15"/>
  <c r="V20" i="15" s="1"/>
  <c r="Z20" i="15" s="1"/>
  <c r="P21" i="15"/>
  <c r="V21" i="15" s="1"/>
  <c r="P22" i="15"/>
  <c r="V22" i="15" s="1"/>
  <c r="P23" i="15"/>
  <c r="V23" i="15" s="1"/>
  <c r="Z23" i="15" s="1"/>
  <c r="P24" i="15"/>
  <c r="V24" i="15" s="1"/>
  <c r="X24" i="15" s="1"/>
  <c r="P25" i="15"/>
  <c r="V25" i="15"/>
  <c r="AB25" i="15" s="1"/>
  <c r="P26" i="15"/>
  <c r="V26" i="15" s="1"/>
  <c r="Z26" i="15" s="1"/>
  <c r="P27" i="15"/>
  <c r="V27" i="15" s="1"/>
  <c r="Z27" i="15" s="1"/>
  <c r="P28" i="15"/>
  <c r="V28" i="15" s="1"/>
  <c r="P29" i="15"/>
  <c r="V29" i="15" s="1"/>
  <c r="P30" i="15"/>
  <c r="V30" i="15" s="1"/>
  <c r="P31" i="15"/>
  <c r="V31" i="15" s="1"/>
  <c r="X31" i="15" s="1"/>
  <c r="P32" i="15"/>
  <c r="V32" i="15" s="1"/>
  <c r="Z32" i="15" s="1"/>
  <c r="P33" i="15"/>
  <c r="V33" i="15" s="1"/>
  <c r="Z33" i="15" s="1"/>
  <c r="P34" i="15"/>
  <c r="V34" i="15" s="1"/>
  <c r="P35" i="15"/>
  <c r="V35" i="15" s="1"/>
  <c r="Z35" i="15" s="1"/>
  <c r="P36" i="15"/>
  <c r="V36" i="15" s="1"/>
  <c r="X36" i="15" s="1"/>
  <c r="P37" i="15"/>
  <c r="V37" i="15" s="1"/>
  <c r="AB37" i="15" s="1"/>
  <c r="P38" i="15"/>
  <c r="V38" i="15" s="1"/>
  <c r="Z38" i="15" s="1"/>
  <c r="P39" i="15"/>
  <c r="V39" i="15" s="1"/>
  <c r="Z39" i="15" s="1"/>
  <c r="P40" i="15"/>
  <c r="V40" i="15" s="1"/>
  <c r="P41" i="15"/>
  <c r="V41" i="15" s="1"/>
  <c r="Z41" i="15" s="1"/>
  <c r="P42" i="15"/>
  <c r="V42" i="15" s="1"/>
  <c r="AB42" i="15" s="1"/>
  <c r="P43" i="15"/>
  <c r="V43" i="15" s="1"/>
  <c r="X43" i="15" s="1"/>
  <c r="P44" i="15"/>
  <c r="V44" i="15" s="1"/>
  <c r="P45" i="15"/>
  <c r="V45" i="15" s="1"/>
  <c r="P46" i="15"/>
  <c r="V46" i="15" s="1"/>
  <c r="P47" i="15"/>
  <c r="V47" i="15" s="1"/>
  <c r="Z47" i="15" s="1"/>
  <c r="P48" i="15"/>
  <c r="V48" i="15" s="1"/>
  <c r="X48" i="15" s="1"/>
  <c r="AF6" i="15"/>
  <c r="P49" i="15"/>
  <c r="V49" i="15" s="1"/>
  <c r="P50" i="15"/>
  <c r="V50" i="15"/>
  <c r="X50" i="15" s="1"/>
  <c r="P51" i="15"/>
  <c r="V51" i="15" s="1"/>
  <c r="Z51" i="15" s="1"/>
  <c r="P52" i="15"/>
  <c r="V52" i="15" s="1"/>
  <c r="X52" i="15" s="1"/>
  <c r="P53" i="15"/>
  <c r="V53" i="15" s="1"/>
  <c r="P54" i="15"/>
  <c r="V54" i="15" s="1"/>
  <c r="X54" i="15" s="1"/>
  <c r="P55" i="15"/>
  <c r="V55" i="15" s="1"/>
  <c r="X55" i="15" s="1"/>
  <c r="P56" i="15"/>
  <c r="V56" i="15" s="1"/>
  <c r="X56" i="15" s="1"/>
  <c r="P57" i="15"/>
  <c r="V57" i="15" s="1"/>
  <c r="X57" i="15" s="1"/>
  <c r="P58" i="15"/>
  <c r="V58" i="15" s="1"/>
  <c r="X58" i="15" s="1"/>
  <c r="P59" i="15"/>
  <c r="V59" i="15" s="1"/>
  <c r="P60" i="15"/>
  <c r="V60" i="15" s="1"/>
  <c r="X60" i="15" s="1"/>
  <c r="P61" i="15"/>
  <c r="V61" i="15" s="1"/>
  <c r="X61" i="15" s="1"/>
  <c r="P62" i="15"/>
  <c r="V62" i="15" s="1"/>
  <c r="X62" i="15" s="1"/>
  <c r="P63" i="15"/>
  <c r="V63" i="15" s="1"/>
  <c r="P64" i="15"/>
  <c r="V64" i="15" s="1"/>
  <c r="X64" i="15" s="1"/>
  <c r="P65" i="15"/>
  <c r="V65" i="15" s="1"/>
  <c r="P66" i="15"/>
  <c r="V66" i="15"/>
  <c r="X66" i="15" s="1"/>
  <c r="P67" i="15"/>
  <c r="V67" i="15" s="1"/>
  <c r="X67" i="15" s="1"/>
  <c r="P68" i="15"/>
  <c r="V68" i="15" s="1"/>
  <c r="P69" i="15"/>
  <c r="V69" i="15" s="1"/>
  <c r="P70" i="15"/>
  <c r="V70" i="15" s="1"/>
  <c r="X70" i="15" s="1"/>
  <c r="P71" i="15"/>
  <c r="V71" i="15" s="1"/>
  <c r="P72" i="15"/>
  <c r="V72" i="15" s="1"/>
  <c r="Z72" i="15" s="1"/>
  <c r="AB72" i="15" s="1"/>
  <c r="P73" i="15"/>
  <c r="V73" i="15" s="1"/>
  <c r="AF7" i="15"/>
  <c r="P74" i="15"/>
  <c r="V74" i="15" s="1"/>
  <c r="P75" i="15"/>
  <c r="V75" i="15" s="1"/>
  <c r="P76" i="15"/>
  <c r="V76" i="15" s="1"/>
  <c r="X76" i="15" s="1"/>
  <c r="P77" i="15"/>
  <c r="V77" i="15" s="1"/>
  <c r="P78" i="15"/>
  <c r="V78" i="15" s="1"/>
  <c r="P79" i="15"/>
  <c r="V79" i="15" s="1"/>
  <c r="P80" i="15"/>
  <c r="V80" i="15" s="1"/>
  <c r="P81" i="15"/>
  <c r="V81" i="15" s="1"/>
  <c r="P82" i="15"/>
  <c r="V82" i="15" s="1"/>
  <c r="P83" i="15"/>
  <c r="V83" i="15" s="1"/>
  <c r="P9" i="15"/>
  <c r="V9" i="15" s="1"/>
  <c r="M9" i="15"/>
  <c r="U9" i="15" s="1"/>
  <c r="AA20" i="15"/>
  <c r="G37" i="8"/>
  <c r="G53" i="8" s="1"/>
  <c r="E25" i="7" s="1"/>
  <c r="H37" i="8"/>
  <c r="H53" i="8"/>
  <c r="I37" i="8"/>
  <c r="I53" i="8" s="1"/>
  <c r="E77" i="7" s="1"/>
  <c r="J37" i="8"/>
  <c r="J53" i="8" s="1"/>
  <c r="E103" i="7" s="1"/>
  <c r="K37" i="8"/>
  <c r="K53" i="8" s="1"/>
  <c r="E129" i="7" s="1"/>
  <c r="L37" i="8"/>
  <c r="L53" i="8" s="1"/>
  <c r="E155" i="7" s="1"/>
  <c r="M37" i="8"/>
  <c r="M53" i="8" s="1"/>
  <c r="E181" i="7" s="1"/>
  <c r="O17" i="8"/>
  <c r="O7" i="8" s="1"/>
  <c r="G7" i="8"/>
  <c r="P17" i="8"/>
  <c r="P7" i="8" s="1"/>
  <c r="J7" i="8"/>
  <c r="G8" i="8"/>
  <c r="H8" i="8" s="1"/>
  <c r="P8" i="8"/>
  <c r="J8" i="8"/>
  <c r="G9" i="8"/>
  <c r="H9" i="8" s="1"/>
  <c r="P9" i="8"/>
  <c r="J9" i="8"/>
  <c r="G10" i="8"/>
  <c r="H10" i="8" s="1"/>
  <c r="P10" i="8"/>
  <c r="J10" i="8"/>
  <c r="G11" i="8"/>
  <c r="H11" i="8" s="1"/>
  <c r="P11" i="8"/>
  <c r="J11" i="8"/>
  <c r="O18" i="8"/>
  <c r="G12" i="8"/>
  <c r="H12" i="8" s="1"/>
  <c r="P18" i="8"/>
  <c r="J12" i="8"/>
  <c r="K12" i="8" s="1"/>
  <c r="G13" i="8"/>
  <c r="J13" i="8"/>
  <c r="K13" i="8" s="1"/>
  <c r="J6" i="8"/>
  <c r="K6" i="8"/>
  <c r="G6" i="8"/>
  <c r="N6" i="8" s="1"/>
  <c r="H81" i="17"/>
  <c r="K81" i="17"/>
  <c r="G81" i="17"/>
  <c r="J81" i="17"/>
  <c r="D49" i="17"/>
  <c r="D48" i="17"/>
  <c r="D46" i="17"/>
  <c r="D45" i="17"/>
  <c r="D43" i="17"/>
  <c r="D42" i="17"/>
  <c r="D40" i="17"/>
  <c r="D39" i="17"/>
  <c r="D37" i="17"/>
  <c r="D36" i="17"/>
  <c r="D34" i="17"/>
  <c r="C34" i="17"/>
  <c r="D33" i="17"/>
  <c r="D31" i="17"/>
  <c r="D30" i="17"/>
  <c r="D28" i="17"/>
  <c r="D27" i="17"/>
  <c r="D25" i="17"/>
  <c r="D24" i="17"/>
  <c r="D22" i="17"/>
  <c r="D21" i="17"/>
  <c r="D19" i="17"/>
  <c r="D18" i="17"/>
  <c r="D16" i="17"/>
  <c r="D15" i="17"/>
  <c r="D9" i="17"/>
  <c r="D10" i="17"/>
  <c r="D12" i="17"/>
  <c r="D13" i="17"/>
  <c r="D7" i="17"/>
  <c r="D6" i="17"/>
  <c r="C6" i="17"/>
  <c r="C7" i="17"/>
  <c r="C9" i="17"/>
  <c r="C10" i="17"/>
  <c r="C12" i="17"/>
  <c r="C13" i="17"/>
  <c r="C15" i="17"/>
  <c r="C16" i="17"/>
  <c r="C18" i="17"/>
  <c r="C19" i="17"/>
  <c r="C21" i="17"/>
  <c r="C22" i="17"/>
  <c r="C24" i="17"/>
  <c r="C25" i="17"/>
  <c r="C27" i="17"/>
  <c r="C28" i="17"/>
  <c r="C30" i="17"/>
  <c r="C31" i="17"/>
  <c r="C33" i="17"/>
  <c r="C36" i="17"/>
  <c r="C37" i="17"/>
  <c r="C39" i="17"/>
  <c r="C40" i="17"/>
  <c r="C42" i="17"/>
  <c r="C43" i="17"/>
  <c r="C45" i="17"/>
  <c r="C46" i="17"/>
  <c r="C48" i="17"/>
  <c r="C49" i="17"/>
  <c r="H6" i="8"/>
  <c r="N8" i="8"/>
  <c r="L11" i="8"/>
  <c r="H13" i="8"/>
  <c r="N13" i="8"/>
  <c r="W28" i="15"/>
  <c r="H15" i="1"/>
  <c r="C8" i="15"/>
  <c r="E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29" i="8"/>
  <c r="G26" i="8" s="1"/>
  <c r="N36" i="8"/>
  <c r="N52" i="8" s="1"/>
  <c r="E196" i="7" s="1"/>
  <c r="O36" i="8"/>
  <c r="O52" i="8" s="1"/>
  <c r="E222" i="7" s="1"/>
  <c r="P36" i="8"/>
  <c r="P52" i="8" s="1"/>
  <c r="E248" i="7" s="1"/>
  <c r="Q36" i="8"/>
  <c r="Q52" i="8" s="1"/>
  <c r="E274" i="7" s="1"/>
  <c r="R36" i="8"/>
  <c r="R52" i="8" s="1"/>
  <c r="E300" i="7" s="1"/>
  <c r="S36" i="8"/>
  <c r="S52" i="8" s="1"/>
  <c r="E326" i="7" s="1"/>
  <c r="T36" i="8"/>
  <c r="T52" i="8" s="1"/>
  <c r="E352" i="7" s="1"/>
  <c r="H16" i="1"/>
  <c r="H90" i="3"/>
  <c r="R4" i="13"/>
  <c r="U4" i="13"/>
  <c r="T4" i="13"/>
  <c r="AH2" i="13"/>
  <c r="AH11" i="13" s="1"/>
  <c r="AH1" i="13"/>
  <c r="AH9" i="13" s="1"/>
  <c r="AQ15" i="13"/>
  <c r="AQ10" i="13" s="1"/>
  <c r="N67" i="13"/>
  <c r="O61" i="13"/>
  <c r="O60" i="13"/>
  <c r="O58" i="13"/>
  <c r="O55" i="13"/>
  <c r="O54" i="13"/>
  <c r="O40" i="13"/>
  <c r="O39" i="13"/>
  <c r="O38" i="13"/>
  <c r="O37" i="13"/>
  <c r="O36" i="13"/>
  <c r="O14" i="13"/>
  <c r="N14" i="13"/>
  <c r="N9" i="13"/>
  <c r="O9" i="13"/>
  <c r="H22" i="1"/>
  <c r="H23" i="1"/>
  <c r="D23" i="1"/>
  <c r="D22" i="1"/>
  <c r="E38" i="12"/>
  <c r="F38" i="12" s="1"/>
  <c r="G38" i="12" s="1"/>
  <c r="H38" i="12" s="1"/>
  <c r="I38" i="12" s="1"/>
  <c r="J38" i="12" s="1"/>
  <c r="K38" i="12" s="1"/>
  <c r="L38" i="12" s="1"/>
  <c r="M38" i="12" s="1"/>
  <c r="N38" i="12" s="1"/>
  <c r="O38" i="12" s="1"/>
  <c r="P38" i="12" s="1"/>
  <c r="Q38" i="12" s="1"/>
  <c r="R38" i="12" s="1"/>
  <c r="S38" i="12" s="1"/>
  <c r="T38" i="12" s="1"/>
  <c r="U38" i="12" s="1"/>
  <c r="V38" i="12" s="1"/>
  <c r="W38" i="12" s="1"/>
  <c r="X38" i="12" s="1"/>
  <c r="Y38" i="12" s="1"/>
  <c r="Z38" i="12" s="1"/>
  <c r="AA38" i="12" s="1"/>
  <c r="AB38" i="12" s="1"/>
  <c r="AC38" i="12" s="1"/>
  <c r="AD38" i="12" s="1"/>
  <c r="AE38" i="12" s="1"/>
  <c r="AF38" i="12" s="1"/>
  <c r="AG38" i="12" s="1"/>
  <c r="AH38" i="12" s="1"/>
  <c r="E42" i="10"/>
  <c r="E37" i="10"/>
  <c r="F37" i="10"/>
  <c r="G37" i="10" s="1"/>
  <c r="H37" i="10" s="1"/>
  <c r="I37" i="10" s="1"/>
  <c r="J37" i="10" s="1"/>
  <c r="K37" i="10" s="1"/>
  <c r="L37" i="10" s="1"/>
  <c r="M37" i="10" s="1"/>
  <c r="N37" i="10" s="1"/>
  <c r="O37" i="10" s="1"/>
  <c r="P37" i="10" s="1"/>
  <c r="Q37" i="10" s="1"/>
  <c r="R37" i="10" s="1"/>
  <c r="S37" i="10" s="1"/>
  <c r="T37" i="10" s="1"/>
  <c r="U37" i="10" s="1"/>
  <c r="V37" i="10" s="1"/>
  <c r="W37" i="10" s="1"/>
  <c r="X37" i="10" s="1"/>
  <c r="Y37" i="10" s="1"/>
  <c r="Z37" i="10" s="1"/>
  <c r="AA37" i="10" s="1"/>
  <c r="AB37" i="10" s="1"/>
  <c r="AC37" i="10" s="1"/>
  <c r="AD37" i="10" s="1"/>
  <c r="AE37" i="10" s="1"/>
  <c r="AF37" i="10" s="1"/>
  <c r="AG37" i="10" s="1"/>
  <c r="AH37" i="10" s="1"/>
  <c r="E41" i="10"/>
  <c r="D16" i="1"/>
  <c r="H49" i="8"/>
  <c r="E37" i="7" s="1"/>
  <c r="I49" i="8"/>
  <c r="E63" i="7" s="1"/>
  <c r="J49" i="8"/>
  <c r="E89" i="7" s="1"/>
  <c r="K49" i="8"/>
  <c r="E115" i="7" s="1"/>
  <c r="L49" i="8"/>
  <c r="E141" i="7" s="1"/>
  <c r="M49" i="8"/>
  <c r="E167" i="7" s="1"/>
  <c r="N49" i="8"/>
  <c r="O49" i="8"/>
  <c r="E219" i="7" s="1"/>
  <c r="P49" i="8"/>
  <c r="E245" i="7" s="1"/>
  <c r="Q49" i="8"/>
  <c r="E271" i="7" s="1"/>
  <c r="R49" i="8"/>
  <c r="E297" i="7" s="1"/>
  <c r="S49" i="8"/>
  <c r="E323" i="7" s="1"/>
  <c r="T49" i="8"/>
  <c r="E349" i="7" s="1"/>
  <c r="H51" i="8"/>
  <c r="E39" i="7" s="1"/>
  <c r="I51" i="8"/>
  <c r="E65" i="7" s="1"/>
  <c r="J51" i="8"/>
  <c r="E91" i="7" s="1"/>
  <c r="K51" i="8"/>
  <c r="E117" i="7" s="1"/>
  <c r="L51" i="8"/>
  <c r="E143" i="7" s="1"/>
  <c r="M51" i="8"/>
  <c r="E169" i="7" s="1"/>
  <c r="N51" i="8"/>
  <c r="E195" i="7" s="1"/>
  <c r="O51" i="8"/>
  <c r="E221" i="7" s="1"/>
  <c r="P51" i="8"/>
  <c r="E247" i="7" s="1"/>
  <c r="Q51" i="8"/>
  <c r="E273" i="7" s="1"/>
  <c r="R51" i="8"/>
  <c r="E299" i="7" s="1"/>
  <c r="S51" i="8"/>
  <c r="E325" i="7" s="1"/>
  <c r="T51" i="8"/>
  <c r="E351" i="7" s="1"/>
  <c r="G51" i="8"/>
  <c r="E13" i="7" s="1"/>
  <c r="G49" i="8"/>
  <c r="E11" i="7" s="1"/>
  <c r="T29" i="8"/>
  <c r="T26" i="8" s="1"/>
  <c r="R29" i="8"/>
  <c r="R26" i="8" s="1"/>
  <c r="M29" i="8"/>
  <c r="M26" i="8"/>
  <c r="L29" i="8"/>
  <c r="L26" i="8" s="1"/>
  <c r="H29" i="8"/>
  <c r="H26" i="8" s="1"/>
  <c r="S29" i="8"/>
  <c r="S26" i="8" s="1"/>
  <c r="Q29" i="8"/>
  <c r="Q26" i="8"/>
  <c r="P29" i="8"/>
  <c r="P26" i="8" s="1"/>
  <c r="O29" i="8"/>
  <c r="O26" i="8" s="1"/>
  <c r="N29" i="8"/>
  <c r="N26" i="8" s="1"/>
  <c r="K29" i="8"/>
  <c r="K26" i="8" s="1"/>
  <c r="J29" i="8"/>
  <c r="J26" i="8" s="1"/>
  <c r="I29" i="8"/>
  <c r="I26" i="8"/>
  <c r="H36" i="8"/>
  <c r="H52" i="8" s="1"/>
  <c r="E40" i="7" s="1"/>
  <c r="I36" i="8"/>
  <c r="I52" i="8" s="1"/>
  <c r="E66" i="7" s="1"/>
  <c r="J36" i="8"/>
  <c r="J52" i="8" s="1"/>
  <c r="E92" i="7" s="1"/>
  <c r="K36" i="8"/>
  <c r="K52" i="8" s="1"/>
  <c r="E118" i="7" s="1"/>
  <c r="L36" i="8"/>
  <c r="L52" i="8" s="1"/>
  <c r="E144" i="7" s="1"/>
  <c r="M36" i="8"/>
  <c r="M52" i="8" s="1"/>
  <c r="E170" i="7" s="1"/>
  <c r="G36" i="8"/>
  <c r="G52" i="8" s="1"/>
  <c r="E14" i="7" s="1"/>
  <c r="H11" i="1"/>
  <c r="T7" i="4"/>
  <c r="T6" i="4"/>
  <c r="E193" i="7"/>
  <c r="G523" i="7"/>
  <c r="I549" i="7"/>
  <c r="H549" i="7"/>
  <c r="G549" i="7"/>
  <c r="F549" i="7"/>
  <c r="E549" i="7"/>
  <c r="D549" i="7"/>
  <c r="I548" i="7"/>
  <c r="H548" i="7"/>
  <c r="G548" i="7"/>
  <c r="F548" i="7"/>
  <c r="E548" i="7"/>
  <c r="D548" i="7"/>
  <c r="I523" i="7"/>
  <c r="H523" i="7"/>
  <c r="F523" i="7"/>
  <c r="E523" i="7"/>
  <c r="D523" i="7"/>
  <c r="I522" i="7"/>
  <c r="H522" i="7"/>
  <c r="G522" i="7"/>
  <c r="F522" i="7"/>
  <c r="E522" i="7"/>
  <c r="D522" i="7"/>
  <c r="I497" i="7"/>
  <c r="H497" i="7"/>
  <c r="G497" i="7"/>
  <c r="F497" i="7"/>
  <c r="E497" i="7"/>
  <c r="D497" i="7"/>
  <c r="I496" i="7"/>
  <c r="H496" i="7"/>
  <c r="G496" i="7"/>
  <c r="F496" i="7"/>
  <c r="E496" i="7"/>
  <c r="D496" i="7"/>
  <c r="I471" i="7"/>
  <c r="H471" i="7"/>
  <c r="G471" i="7"/>
  <c r="F471" i="7"/>
  <c r="E471" i="7"/>
  <c r="D471" i="7"/>
  <c r="I470" i="7"/>
  <c r="H470" i="7"/>
  <c r="G470" i="7"/>
  <c r="F470" i="7"/>
  <c r="E470" i="7"/>
  <c r="D470" i="7"/>
  <c r="I445" i="7"/>
  <c r="H445" i="7"/>
  <c r="G445" i="7"/>
  <c r="F445" i="7"/>
  <c r="E445" i="7"/>
  <c r="D445" i="7"/>
  <c r="I444" i="7"/>
  <c r="H444" i="7"/>
  <c r="G444" i="7"/>
  <c r="F444" i="7"/>
  <c r="E444" i="7"/>
  <c r="D444" i="7"/>
  <c r="I419" i="7"/>
  <c r="H419" i="7"/>
  <c r="G419" i="7"/>
  <c r="F419" i="7"/>
  <c r="E419" i="7"/>
  <c r="D419" i="7"/>
  <c r="I418" i="7"/>
  <c r="H418" i="7"/>
  <c r="G418" i="7"/>
  <c r="F418" i="7"/>
  <c r="E418" i="7"/>
  <c r="D418" i="7"/>
  <c r="I393" i="7"/>
  <c r="H393" i="7"/>
  <c r="G393" i="7"/>
  <c r="F393" i="7"/>
  <c r="E393" i="7"/>
  <c r="D393" i="7"/>
  <c r="I392" i="7"/>
  <c r="H392" i="7"/>
  <c r="G392" i="7"/>
  <c r="F392" i="7"/>
  <c r="E392" i="7"/>
  <c r="D392" i="7"/>
  <c r="Q1" i="2"/>
  <c r="E1" i="2"/>
  <c r="D18" i="1"/>
  <c r="H18" i="1"/>
  <c r="J10" i="2" l="1"/>
  <c r="O11" i="8"/>
  <c r="O10" i="8"/>
  <c r="O9" i="8"/>
  <c r="P56" i="8" s="1"/>
  <c r="I56" i="8" s="1"/>
  <c r="O8" i="8"/>
  <c r="AB43" i="15"/>
  <c r="Z82" i="15"/>
  <c r="AB82" i="15" s="1"/>
  <c r="Y60" i="15"/>
  <c r="AA60" i="15" s="1"/>
  <c r="I10" i="2"/>
  <c r="K10" i="2" s="1"/>
  <c r="N12" i="8"/>
  <c r="AA34" i="15"/>
  <c r="Z43" i="15"/>
  <c r="C46" i="2"/>
  <c r="O12" i="8"/>
  <c r="O13" i="8"/>
  <c r="R56" i="8"/>
  <c r="Q11" i="8"/>
  <c r="Q56" i="8"/>
  <c r="Q10" i="8"/>
  <c r="R10" i="8" s="1"/>
  <c r="Q8" i="8"/>
  <c r="O56" i="8"/>
  <c r="X71" i="15"/>
  <c r="Z71" i="15"/>
  <c r="AB71" i="15" s="1"/>
  <c r="Z21" i="15"/>
  <c r="X21" i="15"/>
  <c r="W72" i="15"/>
  <c r="Y72" i="15"/>
  <c r="AA72" i="15" s="1"/>
  <c r="Y50" i="15"/>
  <c r="AA50" i="15" s="1"/>
  <c r="W50" i="15"/>
  <c r="Y36" i="9"/>
  <c r="Z38" i="9" s="1"/>
  <c r="N56" i="8"/>
  <c r="I6" i="8"/>
  <c r="I8" i="8"/>
  <c r="I12" i="8"/>
  <c r="H64" i="8"/>
  <c r="Q7" i="8"/>
  <c r="R7" i="8" s="1"/>
  <c r="I11" i="8"/>
  <c r="I13" i="8"/>
  <c r="N7" i="8"/>
  <c r="H7" i="8"/>
  <c r="I10" i="8"/>
  <c r="I9" i="8"/>
  <c r="I7" i="8"/>
  <c r="R58" i="8"/>
  <c r="N11" i="8"/>
  <c r="K58" i="8"/>
  <c r="K11" i="8"/>
  <c r="R11" i="8"/>
  <c r="Q58" i="8"/>
  <c r="J58" i="8" s="1"/>
  <c r="L10" i="8"/>
  <c r="N10" i="8"/>
  <c r="P58" i="8"/>
  <c r="K9" i="8"/>
  <c r="L9" i="8"/>
  <c r="N9" i="8"/>
  <c r="O58" i="8"/>
  <c r="K8" i="8"/>
  <c r="R8" i="8"/>
  <c r="L8" i="8"/>
  <c r="H58" i="8"/>
  <c r="K7" i="8"/>
  <c r="L7" i="8"/>
  <c r="L6" i="8"/>
  <c r="L12" i="8"/>
  <c r="Z44" i="15"/>
  <c r="AB44" i="15"/>
  <c r="W54" i="15"/>
  <c r="Y54" i="15"/>
  <c r="AA54" i="15" s="1"/>
  <c r="L13" i="8"/>
  <c r="K10" i="8"/>
  <c r="H85" i="17"/>
  <c r="P12" i="8"/>
  <c r="S58" i="8" s="1"/>
  <c r="L58" i="8" s="1"/>
  <c r="P13" i="8"/>
  <c r="T58" i="8" s="1"/>
  <c r="M58" i="8" s="1"/>
  <c r="N58" i="8"/>
  <c r="G58" i="8" s="1"/>
  <c r="W31" i="15"/>
  <c r="Y31" i="15"/>
  <c r="Y14" i="9"/>
  <c r="C50" i="17"/>
  <c r="Z81" i="15"/>
  <c r="AB81" i="15" s="1"/>
  <c r="Z80" i="15"/>
  <c r="AB80" i="15" s="1"/>
  <c r="Y75" i="15"/>
  <c r="AA75" i="15" s="1"/>
  <c r="Y59" i="15"/>
  <c r="AA59" i="15" s="1"/>
  <c r="D50" i="17"/>
  <c r="Y10" i="2"/>
  <c r="H84" i="17"/>
  <c r="W25" i="15"/>
  <c r="Y25" i="15"/>
  <c r="AA25" i="15"/>
  <c r="W63" i="15"/>
  <c r="Y63" i="15"/>
  <c r="AA63" i="15" s="1"/>
  <c r="AB9" i="15"/>
  <c r="X9" i="15"/>
  <c r="AB33" i="15"/>
  <c r="Z76" i="15"/>
  <c r="AB76" i="15" s="1"/>
  <c r="Z55" i="15"/>
  <c r="AB55" i="15" s="1"/>
  <c r="Y68" i="15"/>
  <c r="AA68" i="15" s="1"/>
  <c r="Y51" i="15"/>
  <c r="AA51" i="15" s="1"/>
  <c r="Y45" i="15"/>
  <c r="Y37" i="15"/>
  <c r="Z61" i="15"/>
  <c r="AB61" i="15" s="1"/>
  <c r="Y64" i="15"/>
  <c r="AA64" i="15" s="1"/>
  <c r="W76" i="15"/>
  <c r="AA31" i="15"/>
  <c r="Z68" i="15"/>
  <c r="AB68" i="15" s="1"/>
  <c r="Y67" i="15"/>
  <c r="AA67" i="15" s="1"/>
  <c r="Y55" i="15"/>
  <c r="AA55" i="15" s="1"/>
  <c r="Y69" i="15"/>
  <c r="AA69" i="15" s="1"/>
  <c r="W13" i="15"/>
  <c r="AA21" i="15"/>
  <c r="Z67" i="15"/>
  <c r="W71" i="15"/>
  <c r="Y71" i="15"/>
  <c r="AA71" i="15" s="1"/>
  <c r="AA33" i="15"/>
  <c r="Y33" i="15"/>
  <c r="W33" i="15"/>
  <c r="X59" i="15"/>
  <c r="Z59" i="15"/>
  <c r="AB59" i="15" s="1"/>
  <c r="Z14" i="15"/>
  <c r="X14" i="15"/>
  <c r="AB14" i="15"/>
  <c r="Y70" i="15"/>
  <c r="AA70" i="15" s="1"/>
  <c r="W70" i="15"/>
  <c r="Z69" i="15"/>
  <c r="AB69" i="15" s="1"/>
  <c r="X69" i="15"/>
  <c r="X45" i="15"/>
  <c r="AB45" i="15"/>
  <c r="Z45" i="15"/>
  <c r="W74" i="15"/>
  <c r="Y74" i="15"/>
  <c r="AA74" i="15" s="1"/>
  <c r="Y56" i="15"/>
  <c r="AA56" i="15" s="1"/>
  <c r="W56" i="15"/>
  <c r="AA27" i="15"/>
  <c r="Y27" i="15"/>
  <c r="W27" i="15"/>
  <c r="Z78" i="15"/>
  <c r="AB78" i="15" s="1"/>
  <c r="X78" i="15"/>
  <c r="W58" i="15"/>
  <c r="Y58" i="15"/>
  <c r="AA58" i="15" s="1"/>
  <c r="AA29" i="15"/>
  <c r="W29" i="15"/>
  <c r="Y29" i="15"/>
  <c r="Z74" i="15"/>
  <c r="AB74" i="15" s="1"/>
  <c r="X74" i="15"/>
  <c r="W82" i="15"/>
  <c r="Y82" i="15"/>
  <c r="AA82" i="15" s="1"/>
  <c r="Y62" i="15"/>
  <c r="AA62" i="15" s="1"/>
  <c r="W62" i="15"/>
  <c r="W16" i="15"/>
  <c r="Y16" i="15"/>
  <c r="AA16" i="15"/>
  <c r="Z63" i="15"/>
  <c r="AB63" i="15" s="1"/>
  <c r="X63" i="15"/>
  <c r="W60" i="15"/>
  <c r="W37" i="15"/>
  <c r="AB26" i="15"/>
  <c r="AB27" i="15"/>
  <c r="W41" i="15"/>
  <c r="W66" i="15"/>
  <c r="X68" i="15"/>
  <c r="X33" i="15"/>
  <c r="AB21" i="15"/>
  <c r="Z31" i="15"/>
  <c r="X72" i="15"/>
  <c r="G8" i="15"/>
  <c r="H73" i="15" s="1"/>
  <c r="AA45" i="15"/>
  <c r="W10" i="15"/>
  <c r="X27" i="15"/>
  <c r="AA41" i="15"/>
  <c r="AA18" i="15"/>
  <c r="AB20" i="15"/>
  <c r="Y13" i="15"/>
  <c r="W46" i="15"/>
  <c r="X26" i="15"/>
  <c r="AA39" i="15"/>
  <c r="AB19" i="15"/>
  <c r="W21" i="15"/>
  <c r="Z37" i="15"/>
  <c r="Y52" i="15"/>
  <c r="AA52" i="15" s="1"/>
  <c r="Y18" i="15"/>
  <c r="AA10" i="15"/>
  <c r="X20" i="15"/>
  <c r="Z9" i="15"/>
  <c r="Z19" i="15"/>
  <c r="Y39" i="15"/>
  <c r="Z83" i="15"/>
  <c r="AB83" i="15" s="1"/>
  <c r="X83" i="15"/>
  <c r="Y83" i="15"/>
  <c r="AA83" i="15" s="1"/>
  <c r="W83" i="15"/>
  <c r="X65" i="15"/>
  <c r="Z65" i="15"/>
  <c r="AB65" i="15" s="1"/>
  <c r="W43" i="15"/>
  <c r="AA43" i="15"/>
  <c r="Y43" i="15"/>
  <c r="Z75" i="15"/>
  <c r="AB75" i="15" s="1"/>
  <c r="X75" i="15"/>
  <c r="Z15" i="15"/>
  <c r="AB15" i="15"/>
  <c r="X15" i="15"/>
  <c r="X49" i="15"/>
  <c r="Z49" i="15"/>
  <c r="AB49" i="15" s="1"/>
  <c r="X53" i="15"/>
  <c r="Z53" i="15"/>
  <c r="AB53" i="15" s="1"/>
  <c r="Y81" i="15"/>
  <c r="AA81" i="15" s="1"/>
  <c r="W81" i="15"/>
  <c r="W77" i="15"/>
  <c r="Y77" i="15"/>
  <c r="AA77" i="15" s="1"/>
  <c r="Y15" i="15"/>
  <c r="W15" i="15"/>
  <c r="AA15" i="15"/>
  <c r="X29" i="15"/>
  <c r="AB29" i="15"/>
  <c r="Z29" i="15"/>
  <c r="Z13" i="15"/>
  <c r="X13" i="15"/>
  <c r="AB13" i="15"/>
  <c r="Y9" i="15"/>
  <c r="AA9" i="15"/>
  <c r="W9" i="15"/>
  <c r="Z73" i="15"/>
  <c r="AB73" i="15" s="1"/>
  <c r="X73" i="15"/>
  <c r="AA12" i="15"/>
  <c r="W12" i="15"/>
  <c r="Y12" i="15"/>
  <c r="Z77" i="15"/>
  <c r="AB77" i="15" s="1"/>
  <c r="X77" i="15"/>
  <c r="W47" i="15"/>
  <c r="AB11" i="15"/>
  <c r="Z11" i="15"/>
  <c r="X11" i="15"/>
  <c r="AB18" i="15"/>
  <c r="Z18" i="15"/>
  <c r="X18" i="15"/>
  <c r="AB24" i="15"/>
  <c r="Z24" i="15"/>
  <c r="X81" i="15"/>
  <c r="X44" i="15"/>
  <c r="AB39" i="15"/>
  <c r="AB23" i="15"/>
  <c r="X23" i="15"/>
  <c r="W34" i="15"/>
  <c r="X80" i="15"/>
  <c r="X39" i="15"/>
  <c r="AB38" i="15"/>
  <c r="AB36" i="15"/>
  <c r="Z36" i="15"/>
  <c r="AB22" i="15"/>
  <c r="Z22" i="15"/>
  <c r="X22" i="15"/>
  <c r="Y78" i="15"/>
  <c r="AA78" i="15" s="1"/>
  <c r="W35" i="15"/>
  <c r="W69" i="15"/>
  <c r="X38" i="15"/>
  <c r="AA46" i="15"/>
  <c r="Z57" i="15"/>
  <c r="AB57" i="15" s="1"/>
  <c r="Z42" i="15"/>
  <c r="X42" i="15"/>
  <c r="Y73" i="15"/>
  <c r="AA73" i="15" s="1"/>
  <c r="Y65" i="15"/>
  <c r="AA65" i="15" s="1"/>
  <c r="Y61" i="15"/>
  <c r="AA61" i="15" s="1"/>
  <c r="Y57" i="15"/>
  <c r="AA57" i="15" s="1"/>
  <c r="Y53" i="15"/>
  <c r="AA53" i="15" s="1"/>
  <c r="Y49" i="15"/>
  <c r="AA49" i="15" s="1"/>
  <c r="W44" i="15"/>
  <c r="Y44" i="15"/>
  <c r="AA38" i="15"/>
  <c r="W38" i="15"/>
  <c r="Y38" i="15"/>
  <c r="W32" i="15"/>
  <c r="Y32" i="15"/>
  <c r="AA26" i="15"/>
  <c r="W26" i="15"/>
  <c r="Y26" i="15"/>
  <c r="Y19" i="15"/>
  <c r="W19" i="15"/>
  <c r="F20" i="15"/>
  <c r="T20" i="15" s="1"/>
  <c r="Z30" i="15"/>
  <c r="X30" i="15"/>
  <c r="Z50" i="15"/>
  <c r="AB50" i="15" s="1"/>
  <c r="Z54" i="15"/>
  <c r="AB54" i="15" s="1"/>
  <c r="Z58" i="15"/>
  <c r="AB58" i="15" s="1"/>
  <c r="Z62" i="15"/>
  <c r="AB62" i="15" s="1"/>
  <c r="Z66" i="15"/>
  <c r="AB66" i="15" s="1"/>
  <c r="Z70" i="15"/>
  <c r="AB70" i="15" s="1"/>
  <c r="AB51" i="15"/>
  <c r="AB35" i="15"/>
  <c r="X35" i="15"/>
  <c r="X12" i="15"/>
  <c r="AB31" i="15"/>
  <c r="X79" i="15"/>
  <c r="Z79" i="15"/>
  <c r="AB79" i="15" s="1"/>
  <c r="Z52" i="15"/>
  <c r="AB52" i="15" s="1"/>
  <c r="AB48" i="15"/>
  <c r="Z48" i="15"/>
  <c r="X41" i="15"/>
  <c r="AB41" i="15"/>
  <c r="AB34" i="15"/>
  <c r="Z34" i="15"/>
  <c r="X34" i="15"/>
  <c r="W14" i="15"/>
  <c r="X37" i="15"/>
  <c r="X28" i="15"/>
  <c r="AB28" i="15"/>
  <c r="Z28" i="15"/>
  <c r="W22" i="15"/>
  <c r="AB30" i="15"/>
  <c r="Z56" i="15"/>
  <c r="AB56" i="15" s="1"/>
  <c r="W17" i="15"/>
  <c r="AA17" i="15"/>
  <c r="AA11" i="15"/>
  <c r="W11" i="15"/>
  <c r="X25" i="15"/>
  <c r="X16" i="15"/>
  <c r="AB16" i="15"/>
  <c r="Y79" i="15"/>
  <c r="AA79" i="15" s="1"/>
  <c r="W79" i="15"/>
  <c r="D26" i="15"/>
  <c r="S26" i="15" s="1"/>
  <c r="W23" i="15"/>
  <c r="W40" i="15"/>
  <c r="W75" i="15"/>
  <c r="X32" i="15"/>
  <c r="AA22" i="15"/>
  <c r="AB67" i="15"/>
  <c r="Z60" i="15"/>
  <c r="AB60" i="15" s="1"/>
  <c r="AB47" i="15"/>
  <c r="X47" i="15"/>
  <c r="X40" i="15"/>
  <c r="AB40" i="15"/>
  <c r="Z40" i="15"/>
  <c r="Y48" i="15"/>
  <c r="AA48" i="15"/>
  <c r="W42" i="15"/>
  <c r="Y42" i="15"/>
  <c r="AA42" i="15"/>
  <c r="Y36" i="15"/>
  <c r="AA36" i="15"/>
  <c r="W30" i="15"/>
  <c r="Y30" i="15"/>
  <c r="AA30" i="15"/>
  <c r="Y24" i="15"/>
  <c r="AA24" i="15"/>
  <c r="Z17" i="15"/>
  <c r="X17" i="15"/>
  <c r="AA28" i="15"/>
  <c r="AB32" i="15"/>
  <c r="X51" i="15"/>
  <c r="AA40" i="15"/>
  <c r="Z64" i="15"/>
  <c r="AB64" i="15" s="1"/>
  <c r="AB46" i="15"/>
  <c r="Z46" i="15"/>
  <c r="X46" i="15"/>
  <c r="Z25" i="15"/>
  <c r="Z12" i="15"/>
  <c r="Y47" i="15"/>
  <c r="Y35" i="15"/>
  <c r="Y23" i="15"/>
  <c r="Y14" i="15"/>
  <c r="W20" i="15"/>
  <c r="Y20" i="15"/>
  <c r="X82" i="15"/>
  <c r="X10" i="15"/>
  <c r="Z10" i="15"/>
  <c r="Y80" i="15"/>
  <c r="AA80" i="15" s="1"/>
  <c r="D11" i="1"/>
  <c r="AD10" i="4" s="1"/>
  <c r="AF10" i="4" s="1"/>
  <c r="H133" i="7"/>
  <c r="I133" i="7"/>
  <c r="E132" i="7"/>
  <c r="I132" i="7"/>
  <c r="H132" i="7"/>
  <c r="G132" i="7"/>
  <c r="F132" i="7"/>
  <c r="G158" i="7"/>
  <c r="H159" i="7"/>
  <c r="H158" i="7"/>
  <c r="F158" i="7"/>
  <c r="E159" i="7"/>
  <c r="I159" i="7"/>
  <c r="D158" i="7"/>
  <c r="D159" i="7"/>
  <c r="E158" i="7"/>
  <c r="F159" i="7"/>
  <c r="G159" i="7"/>
  <c r="I158" i="7"/>
  <c r="T8" i="4"/>
  <c r="Z10" i="2"/>
  <c r="AA10" i="2" s="1"/>
  <c r="I29" i="7"/>
  <c r="G29" i="7"/>
  <c r="I28" i="7"/>
  <c r="G28" i="7"/>
  <c r="H29" i="7"/>
  <c r="H28" i="7"/>
  <c r="F28" i="7"/>
  <c r="F29" i="7"/>
  <c r="E29" i="7"/>
  <c r="E28" i="7"/>
  <c r="D29" i="7"/>
  <c r="D28" i="7"/>
  <c r="E106" i="7"/>
  <c r="G106" i="7"/>
  <c r="D107" i="7"/>
  <c r="I107" i="7"/>
  <c r="G107" i="7"/>
  <c r="H106" i="7"/>
  <c r="F106" i="7"/>
  <c r="H107" i="7"/>
  <c r="D106" i="7"/>
  <c r="E107" i="7"/>
  <c r="F107" i="7"/>
  <c r="I106" i="7"/>
  <c r="H81" i="7"/>
  <c r="H80" i="7"/>
  <c r="G81" i="7"/>
  <c r="G80" i="7"/>
  <c r="F81" i="7"/>
  <c r="D81" i="7"/>
  <c r="I80" i="7"/>
  <c r="E80" i="7"/>
  <c r="E81" i="7"/>
  <c r="F80" i="7"/>
  <c r="D80" i="7"/>
  <c r="I81" i="7"/>
  <c r="I185" i="7"/>
  <c r="H185" i="7"/>
  <c r="H184" i="7"/>
  <c r="G185" i="7"/>
  <c r="I184" i="7"/>
  <c r="D184" i="7"/>
  <c r="E185" i="7"/>
  <c r="D185" i="7"/>
  <c r="F185" i="7"/>
  <c r="G184" i="7"/>
  <c r="F184" i="7"/>
  <c r="E184" i="7"/>
  <c r="E51" i="7"/>
  <c r="D132" i="7"/>
  <c r="E133" i="7"/>
  <c r="F133" i="7"/>
  <c r="G133" i="7"/>
  <c r="D133" i="7"/>
  <c r="Z64" i="4"/>
  <c r="Z76" i="4"/>
  <c r="Z52" i="4"/>
  <c r="Z100" i="4"/>
  <c r="Z40" i="4"/>
  <c r="Z88" i="4"/>
  <c r="Z98" i="4"/>
  <c r="Z86" i="4"/>
  <c r="Z74" i="4"/>
  <c r="Z62" i="4"/>
  <c r="Z50" i="4"/>
  <c r="Z38" i="4"/>
  <c r="Z26" i="4"/>
  <c r="Z14" i="4"/>
  <c r="Z6" i="4"/>
  <c r="Z28" i="4"/>
  <c r="Z16" i="4"/>
  <c r="O18" i="13"/>
  <c r="N18" i="13"/>
  <c r="Z97" i="4"/>
  <c r="Z85" i="4"/>
  <c r="Z73" i="4"/>
  <c r="Z61" i="4"/>
  <c r="Z49" i="4"/>
  <c r="Z37" i="4"/>
  <c r="Z25" i="4"/>
  <c r="Z13" i="4"/>
  <c r="Z5" i="4"/>
  <c r="AR13" i="13"/>
  <c r="M27" i="13"/>
  <c r="H79" i="3" s="1"/>
  <c r="AQ16" i="13"/>
  <c r="Z94" i="4"/>
  <c r="Z96" i="4"/>
  <c r="Z84" i="4"/>
  <c r="Z72" i="4"/>
  <c r="Z60" i="4"/>
  <c r="Z48" i="4"/>
  <c r="Z36" i="4"/>
  <c r="Z24" i="4"/>
  <c r="Z12" i="4"/>
  <c r="Z99" i="4"/>
  <c r="Z87" i="4"/>
  <c r="Z75" i="4"/>
  <c r="Z63" i="4"/>
  <c r="Z51" i="4"/>
  <c r="Z39" i="4"/>
  <c r="Z27" i="4"/>
  <c r="Z15" i="4"/>
  <c r="Z105" i="4"/>
  <c r="Z93" i="4"/>
  <c r="Z81" i="4"/>
  <c r="Z69" i="4"/>
  <c r="Z57" i="4"/>
  <c r="Z45" i="4"/>
  <c r="Z33" i="4"/>
  <c r="Z82" i="4"/>
  <c r="Z70" i="4"/>
  <c r="Z58" i="4"/>
  <c r="Z46" i="4"/>
  <c r="Z34" i="4"/>
  <c r="Z101" i="4"/>
  <c r="Z89" i="4"/>
  <c r="Z77" i="4"/>
  <c r="Z65" i="4"/>
  <c r="Z53" i="4"/>
  <c r="Z41" i="4"/>
  <c r="Z29" i="4"/>
  <c r="Z17" i="4"/>
  <c r="Z21" i="4"/>
  <c r="C11" i="2"/>
  <c r="Z9" i="4"/>
  <c r="Z95" i="4"/>
  <c r="Z83" i="4"/>
  <c r="Z71" i="4"/>
  <c r="Z59" i="4"/>
  <c r="Z47" i="4"/>
  <c r="Z35" i="4"/>
  <c r="Z23" i="4"/>
  <c r="Z11" i="4"/>
  <c r="Z104" i="4"/>
  <c r="Z92" i="4"/>
  <c r="Z22" i="4"/>
  <c r="Z10" i="4"/>
  <c r="Z80" i="4"/>
  <c r="Z68" i="4"/>
  <c r="Z56" i="4"/>
  <c r="Z44" i="4"/>
  <c r="Z32" i="4"/>
  <c r="Z20" i="4"/>
  <c r="Z8" i="4"/>
  <c r="Z103" i="4"/>
  <c r="Z91" i="4"/>
  <c r="Z79" i="4"/>
  <c r="Z67" i="4"/>
  <c r="Z55" i="4"/>
  <c r="Z7" i="4"/>
  <c r="C99" i="2"/>
  <c r="C91" i="2"/>
  <c r="C87" i="2"/>
  <c r="C37" i="2"/>
  <c r="C63" i="2"/>
  <c r="C32" i="2"/>
  <c r="C97" i="2"/>
  <c r="C61" i="2"/>
  <c r="C17" i="2"/>
  <c r="Z43" i="4"/>
  <c r="Z31" i="4"/>
  <c r="Z19" i="4"/>
  <c r="C93" i="2"/>
  <c r="C39" i="2"/>
  <c r="C12" i="2"/>
  <c r="Z102" i="4"/>
  <c r="Z90" i="4"/>
  <c r="Z78" i="4"/>
  <c r="Z66" i="4"/>
  <c r="Z54" i="4"/>
  <c r="Z42" i="4"/>
  <c r="Z30" i="4"/>
  <c r="Z18" i="4"/>
  <c r="C81" i="2"/>
  <c r="C79" i="2"/>
  <c r="C56" i="2"/>
  <c r="C85" i="2"/>
  <c r="C75" i="2"/>
  <c r="C27" i="2"/>
  <c r="C109" i="2"/>
  <c r="C73" i="2"/>
  <c r="C22" i="2"/>
  <c r="C105" i="2"/>
  <c r="C69" i="2"/>
  <c r="C20" i="2"/>
  <c r="C103" i="2"/>
  <c r="C67" i="2"/>
  <c r="C53" i="2"/>
  <c r="C13" i="2"/>
  <c r="C108" i="2"/>
  <c r="C102" i="2"/>
  <c r="C96" i="2"/>
  <c r="C90" i="2"/>
  <c r="C84" i="2"/>
  <c r="C78" i="2"/>
  <c r="C72" i="2"/>
  <c r="C66" i="2"/>
  <c r="C18" i="2"/>
  <c r="C30" i="2"/>
  <c r="C42" i="2"/>
  <c r="C54" i="2"/>
  <c r="C23" i="2"/>
  <c r="C35" i="2"/>
  <c r="C47" i="2"/>
  <c r="C59" i="2"/>
  <c r="C48" i="2"/>
  <c r="C16" i="2"/>
  <c r="C28" i="2"/>
  <c r="C40" i="2"/>
  <c r="C52" i="2"/>
  <c r="C21" i="2"/>
  <c r="C33" i="2"/>
  <c r="C45" i="2"/>
  <c r="C57" i="2"/>
  <c r="C62" i="2"/>
  <c r="C65" i="2"/>
  <c r="C68" i="2"/>
  <c r="C71" i="2"/>
  <c r="C74" i="2"/>
  <c r="C77" i="2"/>
  <c r="C80" i="2"/>
  <c r="C83" i="2"/>
  <c r="C86" i="2"/>
  <c r="C89" i="2"/>
  <c r="C92" i="2"/>
  <c r="C95" i="2"/>
  <c r="C98" i="2"/>
  <c r="C101" i="2"/>
  <c r="C104" i="2"/>
  <c r="C107" i="2"/>
  <c r="C110" i="2"/>
  <c r="C60" i="2"/>
  <c r="C15" i="2"/>
  <c r="C26" i="2"/>
  <c r="C38" i="2"/>
  <c r="C50" i="2"/>
  <c r="C14" i="2"/>
  <c r="C19" i="2"/>
  <c r="C31" i="2"/>
  <c r="C43" i="2"/>
  <c r="C55" i="2"/>
  <c r="C24" i="2"/>
  <c r="C36" i="2"/>
  <c r="C64" i="2"/>
  <c r="C41" i="2"/>
  <c r="C51" i="2"/>
  <c r="C106" i="2"/>
  <c r="C100" i="2"/>
  <c r="C94" i="2"/>
  <c r="C88" i="2"/>
  <c r="C82" i="2"/>
  <c r="C76" i="2"/>
  <c r="C70" i="2"/>
  <c r="C49" i="2"/>
  <c r="C25" i="2"/>
  <c r="C58" i="2"/>
  <c r="C44" i="2"/>
  <c r="C34" i="2"/>
  <c r="C29" i="2"/>
  <c r="F11" i="2" l="1"/>
  <c r="AE10" i="2"/>
  <c r="Q9" i="8"/>
  <c r="R9" i="8" s="1"/>
  <c r="L15" i="8"/>
  <c r="P60" i="8"/>
  <c r="P34" i="8" s="1"/>
  <c r="P50" i="8" s="1"/>
  <c r="E246" i="7" s="1"/>
  <c r="AD16" i="4"/>
  <c r="AF16" i="4" s="1"/>
  <c r="AD22" i="4"/>
  <c r="AF22" i="4" s="1"/>
  <c r="AD34" i="4"/>
  <c r="AF34" i="4" s="1"/>
  <c r="AD28" i="4"/>
  <c r="AF28" i="4" s="1"/>
  <c r="AD52" i="4"/>
  <c r="AF52" i="4" s="1"/>
  <c r="AD40" i="4"/>
  <c r="AF40" i="4" s="1"/>
  <c r="AD94" i="4"/>
  <c r="AF94" i="4" s="1"/>
  <c r="AD88" i="4"/>
  <c r="AF88" i="4" s="1"/>
  <c r="AE15" i="4"/>
  <c r="AG15" i="4" s="1"/>
  <c r="AD100" i="4"/>
  <c r="AF100" i="4" s="1"/>
  <c r="AE75" i="4"/>
  <c r="AG75" i="4" s="1"/>
  <c r="AE27" i="4"/>
  <c r="AG27" i="4" s="1"/>
  <c r="AD35" i="4"/>
  <c r="AF35" i="4" s="1"/>
  <c r="AD23" i="4"/>
  <c r="AF23" i="4" s="1"/>
  <c r="AD59" i="4"/>
  <c r="AF59" i="4" s="1"/>
  <c r="AE9" i="4"/>
  <c r="AG9" i="4" s="1"/>
  <c r="AE81" i="4"/>
  <c r="AG81" i="4" s="1"/>
  <c r="AD95" i="4"/>
  <c r="AF95" i="4" s="1"/>
  <c r="AE63" i="4"/>
  <c r="AG63" i="4" s="1"/>
  <c r="AD29" i="4"/>
  <c r="AF29" i="4" s="1"/>
  <c r="AE11" i="4"/>
  <c r="AG11" i="4" s="1"/>
  <c r="AE87" i="4"/>
  <c r="AG87" i="4" s="1"/>
  <c r="AD47" i="4"/>
  <c r="AF47" i="4" s="1"/>
  <c r="AE23" i="4"/>
  <c r="AG23" i="4" s="1"/>
  <c r="AE77" i="4"/>
  <c r="AG77" i="4" s="1"/>
  <c r="AE71" i="4"/>
  <c r="AG71" i="4" s="1"/>
  <c r="AD38" i="4"/>
  <c r="AF38" i="4" s="1"/>
  <c r="AE95" i="4"/>
  <c r="AG95" i="4" s="1"/>
  <c r="AD74" i="4"/>
  <c r="AF74" i="4" s="1"/>
  <c r="AE17" i="4"/>
  <c r="AG17" i="4" s="1"/>
  <c r="AE83" i="4"/>
  <c r="AG83" i="4" s="1"/>
  <c r="AE74" i="4"/>
  <c r="AG74" i="4" s="1"/>
  <c r="AE60" i="4"/>
  <c r="AG60" i="4" s="1"/>
  <c r="AD12" i="4"/>
  <c r="AF12" i="4" s="1"/>
  <c r="AD54" i="4"/>
  <c r="AF54" i="4" s="1"/>
  <c r="AE98" i="4"/>
  <c r="AG98" i="4" s="1"/>
  <c r="AD60" i="4"/>
  <c r="AF60" i="4" s="1"/>
  <c r="AE103" i="4"/>
  <c r="AG103" i="4" s="1"/>
  <c r="AD30" i="4"/>
  <c r="AF30" i="4" s="1"/>
  <c r="AD90" i="4"/>
  <c r="AF90" i="4" s="1"/>
  <c r="AE30" i="4"/>
  <c r="AG30" i="4" s="1"/>
  <c r="AD48" i="4"/>
  <c r="AF48" i="4" s="1"/>
  <c r="AE64" i="4"/>
  <c r="AG64" i="4" s="1"/>
  <c r="AE61" i="4"/>
  <c r="AG61" i="4" s="1"/>
  <c r="AE58" i="4"/>
  <c r="AG58" i="4" s="1"/>
  <c r="AE28" i="4"/>
  <c r="AG28" i="4" s="1"/>
  <c r="AE42" i="4"/>
  <c r="AG42" i="4" s="1"/>
  <c r="AD72" i="4"/>
  <c r="AF72" i="4" s="1"/>
  <c r="AE69" i="4"/>
  <c r="AG69" i="4" s="1"/>
  <c r="AE99" i="4"/>
  <c r="AG99" i="4" s="1"/>
  <c r="AD41" i="4"/>
  <c r="AF41" i="4" s="1"/>
  <c r="AD101" i="4"/>
  <c r="AF101" i="4" s="1"/>
  <c r="AE35" i="4"/>
  <c r="AG35" i="4" s="1"/>
  <c r="AE89" i="4"/>
  <c r="AG89" i="4" s="1"/>
  <c r="AD45" i="4"/>
  <c r="AF45" i="4" s="1"/>
  <c r="AD96" i="4"/>
  <c r="AF96" i="4" s="1"/>
  <c r="AE96" i="4"/>
  <c r="AG96" i="4" s="1"/>
  <c r="AD61" i="4"/>
  <c r="AF61" i="4" s="1"/>
  <c r="AD104" i="4"/>
  <c r="AF104" i="4" s="1"/>
  <c r="AE68" i="4"/>
  <c r="AG68" i="4" s="1"/>
  <c r="AD19" i="4"/>
  <c r="AF19" i="4" s="1"/>
  <c r="AD62" i="4"/>
  <c r="AF62" i="4" s="1"/>
  <c r="AE7" i="4"/>
  <c r="AG7" i="4" s="1"/>
  <c r="AE94" i="4"/>
  <c r="AG94" i="4" s="1"/>
  <c r="AD44" i="4"/>
  <c r="AF44" i="4" s="1"/>
  <c r="AE49" i="4"/>
  <c r="AG49" i="4" s="1"/>
  <c r="AE80" i="4"/>
  <c r="AG80" i="4" s="1"/>
  <c r="AD79" i="4"/>
  <c r="AF79" i="4" s="1"/>
  <c r="AE37" i="4"/>
  <c r="AG37" i="4" s="1"/>
  <c r="AD63" i="4"/>
  <c r="AF63" i="4" s="1"/>
  <c r="AD68" i="4"/>
  <c r="AF68" i="4" s="1"/>
  <c r="AE32" i="4"/>
  <c r="AG32" i="4" s="1"/>
  <c r="AE90" i="4"/>
  <c r="AG90" i="4" s="1"/>
  <c r="AD26" i="4"/>
  <c r="AF26" i="4" s="1"/>
  <c r="AE12" i="4"/>
  <c r="AG12" i="4" s="1"/>
  <c r="AE14" i="4"/>
  <c r="AG14" i="4" s="1"/>
  <c r="AD8" i="4"/>
  <c r="AF8" i="4" s="1"/>
  <c r="AD102" i="4"/>
  <c r="AF102" i="4" s="1"/>
  <c r="AD27" i="4"/>
  <c r="AF27" i="4" s="1"/>
  <c r="AD49" i="4"/>
  <c r="AF49" i="4" s="1"/>
  <c r="AD99" i="4"/>
  <c r="AF99" i="4" s="1"/>
  <c r="AD6" i="4"/>
  <c r="AF6" i="4" s="1"/>
  <c r="AD43" i="4"/>
  <c r="AF43" i="4" s="1"/>
  <c r="AE16" i="4"/>
  <c r="AG16" i="4" s="1"/>
  <c r="AD67" i="4"/>
  <c r="AF67" i="4" s="1"/>
  <c r="AE67" i="4"/>
  <c r="AG67" i="4" s="1"/>
  <c r="AE46" i="4"/>
  <c r="AG46" i="4" s="1"/>
  <c r="AD75" i="4"/>
  <c r="AF75" i="4" s="1"/>
  <c r="AE54" i="4"/>
  <c r="AG54" i="4" s="1"/>
  <c r="AE104" i="4"/>
  <c r="AG104" i="4" s="1"/>
  <c r="AD33" i="4"/>
  <c r="AF33" i="4" s="1"/>
  <c r="AE48" i="4"/>
  <c r="AG48" i="4" s="1"/>
  <c r="AE43" i="4"/>
  <c r="AG43" i="4" s="1"/>
  <c r="AD15" i="4"/>
  <c r="AF15" i="4" s="1"/>
  <c r="AE20" i="4"/>
  <c r="AG20" i="4" s="1"/>
  <c r="AD42" i="4"/>
  <c r="AF42" i="4" s="1"/>
  <c r="AD21" i="4"/>
  <c r="AF21" i="4" s="1"/>
  <c r="AE73" i="4"/>
  <c r="AG73" i="4" s="1"/>
  <c r="AE8" i="4"/>
  <c r="AG8" i="4" s="1"/>
  <c r="AD56" i="4"/>
  <c r="AF56" i="4" s="1"/>
  <c r="AE85" i="4"/>
  <c r="AG85" i="4" s="1"/>
  <c r="AE6" i="4"/>
  <c r="AG6" i="4" s="1"/>
  <c r="I58" i="8"/>
  <c r="I60" i="8" s="1"/>
  <c r="I34" i="8" s="1"/>
  <c r="I50" i="8" s="1"/>
  <c r="E64" i="7" s="1"/>
  <c r="O37" i="8"/>
  <c r="O53" i="8" s="1"/>
  <c r="E233" i="7" s="1"/>
  <c r="H56" i="8"/>
  <c r="H60" i="8" s="1"/>
  <c r="H34" i="8" s="1"/>
  <c r="H50" i="8" s="1"/>
  <c r="E38" i="7" s="1"/>
  <c r="O60" i="8"/>
  <c r="O34" i="8" s="1"/>
  <c r="O50" i="8" s="1"/>
  <c r="E220" i="7" s="1"/>
  <c r="Q37" i="8"/>
  <c r="Q53" i="8" s="1"/>
  <c r="E285" i="7" s="1"/>
  <c r="J56" i="8"/>
  <c r="J60" i="8" s="1"/>
  <c r="J34" i="8" s="1"/>
  <c r="J50" i="8" s="1"/>
  <c r="E90" i="7" s="1"/>
  <c r="Q60" i="8"/>
  <c r="Q34" i="8" s="1"/>
  <c r="Q50" i="8" s="1"/>
  <c r="E272" i="7" s="1"/>
  <c r="S56" i="8"/>
  <c r="Q12" i="8"/>
  <c r="R12" i="8" s="1"/>
  <c r="U10" i="2"/>
  <c r="W10" i="2" s="1"/>
  <c r="H15" i="8"/>
  <c r="Y38" i="9"/>
  <c r="N37" i="8"/>
  <c r="N53" i="8" s="1"/>
  <c r="N60" i="8"/>
  <c r="N34" i="8" s="1"/>
  <c r="N50" i="8" s="1"/>
  <c r="E194" i="7" s="1"/>
  <c r="P37" i="8"/>
  <c r="P53" i="8" s="1"/>
  <c r="E259" i="7" s="1"/>
  <c r="R37" i="8"/>
  <c r="R53" i="8" s="1"/>
  <c r="E311" i="7" s="1"/>
  <c r="K56" i="8"/>
  <c r="K60" i="8" s="1"/>
  <c r="K34" i="8" s="1"/>
  <c r="K50" i="8" s="1"/>
  <c r="E116" i="7" s="1"/>
  <c r="R60" i="8"/>
  <c r="R34" i="8" s="1"/>
  <c r="R50" i="8" s="1"/>
  <c r="E298" i="7" s="1"/>
  <c r="Q13" i="8"/>
  <c r="R13" i="8" s="1"/>
  <c r="T56" i="8"/>
  <c r="G56" i="8"/>
  <c r="G60" i="8" s="1"/>
  <c r="G34" i="8" s="1"/>
  <c r="G50" i="8" s="1"/>
  <c r="E12" i="7" s="1"/>
  <c r="D60" i="15"/>
  <c r="S60" i="15" s="1"/>
  <c r="F29" i="15"/>
  <c r="T29" i="15" s="1"/>
  <c r="D25" i="15"/>
  <c r="S25" i="15" s="1"/>
  <c r="F66" i="15"/>
  <c r="T66" i="15" s="1"/>
  <c r="D47" i="15"/>
  <c r="S47" i="15" s="1"/>
  <c r="D50" i="15"/>
  <c r="S50" i="15" s="1"/>
  <c r="D41" i="15"/>
  <c r="S41" i="15" s="1"/>
  <c r="F39" i="15"/>
  <c r="T39" i="15" s="1"/>
  <c r="D33" i="15"/>
  <c r="S33" i="15" s="1"/>
  <c r="F8" i="15"/>
  <c r="T8" i="15" s="1"/>
  <c r="D16" i="15"/>
  <c r="S16" i="15" s="1"/>
  <c r="H56" i="15"/>
  <c r="H22" i="15"/>
  <c r="D13" i="15"/>
  <c r="S13" i="15" s="1"/>
  <c r="H37" i="15"/>
  <c r="D39" i="15"/>
  <c r="S39" i="15" s="1"/>
  <c r="D69" i="15"/>
  <c r="S69" i="15" s="1"/>
  <c r="H49" i="15"/>
  <c r="H74" i="15"/>
  <c r="D68" i="15"/>
  <c r="S68" i="15" s="1"/>
  <c r="F13" i="15"/>
  <c r="T13" i="15" s="1"/>
  <c r="D81" i="15"/>
  <c r="S81" i="15" s="1"/>
  <c r="D73" i="15"/>
  <c r="S73" i="15" s="1"/>
  <c r="F77" i="15"/>
  <c r="T77" i="15" s="1"/>
  <c r="H81" i="15"/>
  <c r="F45" i="15"/>
  <c r="T45" i="15" s="1"/>
  <c r="D77" i="15"/>
  <c r="S77" i="15" s="1"/>
  <c r="D64" i="15"/>
  <c r="S64" i="15" s="1"/>
  <c r="F68" i="15"/>
  <c r="T68" i="15" s="1"/>
  <c r="F40" i="15"/>
  <c r="T40" i="15" s="1"/>
  <c r="H31" i="15"/>
  <c r="H62" i="15"/>
  <c r="F19" i="15"/>
  <c r="T19" i="15" s="1"/>
  <c r="H61" i="15"/>
  <c r="H35" i="15"/>
  <c r="AD46" i="4"/>
  <c r="AF46" i="4" s="1"/>
  <c r="AE21" i="4"/>
  <c r="AG21" i="4" s="1"/>
  <c r="AE93" i="4"/>
  <c r="AG93" i="4" s="1"/>
  <c r="AD53" i="4"/>
  <c r="AF53" i="4" s="1"/>
  <c r="AE29" i="4"/>
  <c r="AG29" i="4" s="1"/>
  <c r="AE101" i="4"/>
  <c r="AG101" i="4" s="1"/>
  <c r="AD81" i="4"/>
  <c r="AF81" i="4" s="1"/>
  <c r="AE10" i="4"/>
  <c r="AG10" i="4" s="1"/>
  <c r="AH10" i="4" s="1"/>
  <c r="AD97" i="4"/>
  <c r="AF97" i="4" s="1"/>
  <c r="AE97" i="4"/>
  <c r="AG97" i="4" s="1"/>
  <c r="AD55" i="4"/>
  <c r="AF55" i="4" s="1"/>
  <c r="AE36" i="4"/>
  <c r="AG36" i="4" s="1"/>
  <c r="AD37" i="4"/>
  <c r="AF37" i="4" s="1"/>
  <c r="AD86" i="4"/>
  <c r="AF86" i="4" s="1"/>
  <c r="AD20" i="4"/>
  <c r="AF20" i="4" s="1"/>
  <c r="AD93" i="4"/>
  <c r="AF93" i="4" s="1"/>
  <c r="AE78" i="4"/>
  <c r="AG78" i="4" s="1"/>
  <c r="D56" i="15"/>
  <c r="S56" i="15" s="1"/>
  <c r="D80" i="15"/>
  <c r="S80" i="15" s="1"/>
  <c r="F25" i="15"/>
  <c r="T25" i="15" s="1"/>
  <c r="H29" i="15"/>
  <c r="H30" i="15"/>
  <c r="D67" i="15"/>
  <c r="S67" i="15" s="1"/>
  <c r="F71" i="15"/>
  <c r="T71" i="15" s="1"/>
  <c r="H69" i="15"/>
  <c r="F33" i="15"/>
  <c r="T33" i="15" s="1"/>
  <c r="D65" i="15"/>
  <c r="S65" i="15" s="1"/>
  <c r="D58" i="15"/>
  <c r="S58" i="15" s="1"/>
  <c r="F62" i="15"/>
  <c r="T62" i="15" s="1"/>
  <c r="F52" i="15"/>
  <c r="T52" i="15" s="1"/>
  <c r="H43" i="15"/>
  <c r="F31" i="15"/>
  <c r="T31" i="15" s="1"/>
  <c r="F55" i="15"/>
  <c r="T55" i="15" s="1"/>
  <c r="H12" i="15"/>
  <c r="F16" i="15"/>
  <c r="T16" i="15" s="1"/>
  <c r="F58" i="15"/>
  <c r="T58" i="15" s="1"/>
  <c r="F70" i="15"/>
  <c r="T70" i="15" s="1"/>
  <c r="H65" i="15"/>
  <c r="F46" i="15"/>
  <c r="T46" i="15" s="1"/>
  <c r="F82" i="15"/>
  <c r="T82" i="15" s="1"/>
  <c r="D18" i="15"/>
  <c r="S18" i="15" s="1"/>
  <c r="F22" i="15"/>
  <c r="T22" i="15" s="1"/>
  <c r="D30" i="15"/>
  <c r="S30" i="15" s="1"/>
  <c r="H17" i="15"/>
  <c r="H41" i="15"/>
  <c r="D78" i="15"/>
  <c r="S78" i="15" s="1"/>
  <c r="D42" i="15"/>
  <c r="S42" i="15" s="1"/>
  <c r="D54" i="15"/>
  <c r="S54" i="15" s="1"/>
  <c r="D66" i="15"/>
  <c r="S66" i="15" s="1"/>
  <c r="F34" i="15"/>
  <c r="T34" i="15" s="1"/>
  <c r="H70" i="15"/>
  <c r="F10" i="15"/>
  <c r="T10" i="15" s="1"/>
  <c r="D20" i="15"/>
  <c r="S20" i="15" s="1"/>
  <c r="D45" i="15"/>
  <c r="S45" i="15" s="1"/>
  <c r="D19" i="15"/>
  <c r="S19" i="15" s="1"/>
  <c r="D29" i="15"/>
  <c r="S29" i="15" s="1"/>
  <c r="H68" i="15"/>
  <c r="F43" i="15"/>
  <c r="T43" i="15" s="1"/>
  <c r="D57" i="15"/>
  <c r="S57" i="15" s="1"/>
  <c r="F17" i="15"/>
  <c r="T17" i="15" s="1"/>
  <c r="H14" i="15"/>
  <c r="F11" i="15"/>
  <c r="T11" i="15" s="1"/>
  <c r="D70" i="15"/>
  <c r="S70" i="15" s="1"/>
  <c r="F28" i="15"/>
  <c r="T28" i="15" s="1"/>
  <c r="H83" i="15"/>
  <c r="H53" i="15"/>
  <c r="H57" i="15"/>
  <c r="F56" i="15"/>
  <c r="T56" i="15" s="1"/>
  <c r="AD58" i="4"/>
  <c r="AF58" i="4" s="1"/>
  <c r="AE105" i="4"/>
  <c r="AG105" i="4" s="1"/>
  <c r="AD65" i="4"/>
  <c r="AF65" i="4" s="1"/>
  <c r="AE41" i="4"/>
  <c r="AG41" i="4" s="1"/>
  <c r="AE52" i="4"/>
  <c r="AG52" i="4" s="1"/>
  <c r="AD103" i="4"/>
  <c r="AF103" i="4" s="1"/>
  <c r="AE82" i="4"/>
  <c r="AG82" i="4" s="1"/>
  <c r="AE26" i="4"/>
  <c r="AG26" i="4" s="1"/>
  <c r="AE19" i="4"/>
  <c r="AG19" i="4" s="1"/>
  <c r="AD69" i="4"/>
  <c r="AF69" i="4" s="1"/>
  <c r="AE50" i="4"/>
  <c r="AG50" i="4" s="1"/>
  <c r="AD51" i="4"/>
  <c r="AF51" i="4" s="1"/>
  <c r="AE70" i="4"/>
  <c r="AG70" i="4" s="1"/>
  <c r="AE34" i="4"/>
  <c r="AG34" i="4" s="1"/>
  <c r="AD36" i="4"/>
  <c r="AF36" i="4" s="1"/>
  <c r="AD7" i="4"/>
  <c r="AF7" i="4" s="1"/>
  <c r="F24" i="15"/>
  <c r="T24" i="15" s="1"/>
  <c r="H75" i="15"/>
  <c r="H64" i="15"/>
  <c r="H52" i="15"/>
  <c r="F49" i="15"/>
  <c r="T49" i="15" s="1"/>
  <c r="H77" i="15"/>
  <c r="H58" i="15"/>
  <c r="D55" i="15"/>
  <c r="S55" i="15" s="1"/>
  <c r="F59" i="15"/>
  <c r="T59" i="15" s="1"/>
  <c r="H45" i="15"/>
  <c r="F21" i="15"/>
  <c r="T21" i="15" s="1"/>
  <c r="D35" i="15"/>
  <c r="S35" i="15" s="1"/>
  <c r="D46" i="15"/>
  <c r="S46" i="15" s="1"/>
  <c r="F50" i="15"/>
  <c r="T50" i="15" s="1"/>
  <c r="F76" i="15"/>
  <c r="T76" i="15" s="1"/>
  <c r="H67" i="15"/>
  <c r="D63" i="15"/>
  <c r="S63" i="15" s="1"/>
  <c r="D75" i="15"/>
  <c r="S75" i="15" s="1"/>
  <c r="H36" i="15"/>
  <c r="H59" i="15"/>
  <c r="D74" i="15"/>
  <c r="S74" i="15" s="1"/>
  <c r="D10" i="15"/>
  <c r="S10" i="15" s="1"/>
  <c r="D44" i="15"/>
  <c r="S44" i="15" s="1"/>
  <c r="H10" i="15"/>
  <c r="D79" i="15"/>
  <c r="S79" i="15" s="1"/>
  <c r="F63" i="15"/>
  <c r="T63" i="15" s="1"/>
  <c r="H19" i="15"/>
  <c r="H27" i="15"/>
  <c r="AE39" i="4"/>
  <c r="AG39" i="4" s="1"/>
  <c r="AD71" i="4"/>
  <c r="AF71" i="4" s="1"/>
  <c r="AE47" i="4"/>
  <c r="AG47" i="4" s="1"/>
  <c r="AE88" i="4"/>
  <c r="AG88" i="4" s="1"/>
  <c r="AE62" i="4"/>
  <c r="AG62" i="4" s="1"/>
  <c r="AD18" i="4"/>
  <c r="AF18" i="4" s="1"/>
  <c r="AE55" i="4"/>
  <c r="AG55" i="4" s="1"/>
  <c r="AE84" i="4"/>
  <c r="AG84" i="4" s="1"/>
  <c r="AD84" i="4"/>
  <c r="AF84" i="4" s="1"/>
  <c r="AE72" i="4"/>
  <c r="AG72" i="4" s="1"/>
  <c r="AD66" i="4"/>
  <c r="AF66" i="4" s="1"/>
  <c r="AE100" i="4"/>
  <c r="AG100" i="4" s="1"/>
  <c r="AE13" i="4"/>
  <c r="AG13" i="4" s="1"/>
  <c r="AD85" i="4"/>
  <c r="AF85" i="4" s="1"/>
  <c r="AE56" i="4"/>
  <c r="AG56" i="4" s="1"/>
  <c r="F36" i="15"/>
  <c r="T36" i="15" s="1"/>
  <c r="H18" i="15"/>
  <c r="F67" i="15"/>
  <c r="T67" i="15" s="1"/>
  <c r="H76" i="15"/>
  <c r="F61" i="15"/>
  <c r="T61" i="15" s="1"/>
  <c r="D14" i="15"/>
  <c r="S14" i="15" s="1"/>
  <c r="D49" i="15"/>
  <c r="S49" i="15" s="1"/>
  <c r="F53" i="15"/>
  <c r="T53" i="15" s="1"/>
  <c r="H33" i="15"/>
  <c r="F15" i="15"/>
  <c r="T15" i="15" s="1"/>
  <c r="D23" i="15"/>
  <c r="S23" i="15" s="1"/>
  <c r="D40" i="15"/>
  <c r="S40" i="15" s="1"/>
  <c r="F44" i="15"/>
  <c r="T44" i="15" s="1"/>
  <c r="D12" i="15"/>
  <c r="S12" i="15" s="1"/>
  <c r="H79" i="15"/>
  <c r="F54" i="15"/>
  <c r="T54" i="15" s="1"/>
  <c r="H48" i="15"/>
  <c r="H13" i="15"/>
  <c r="F23" i="15"/>
  <c r="T23" i="15" s="1"/>
  <c r="H39" i="15"/>
  <c r="H26" i="15"/>
  <c r="D32" i="15"/>
  <c r="S32" i="15" s="1"/>
  <c r="F69" i="15"/>
  <c r="T69" i="15" s="1"/>
  <c r="H50" i="15"/>
  <c r="H38" i="15"/>
  <c r="H66" i="15"/>
  <c r="F27" i="15"/>
  <c r="T27" i="15" s="1"/>
  <c r="AE5" i="4"/>
  <c r="AG5" i="4" s="1"/>
  <c r="AE45" i="4"/>
  <c r="AG45" i="4" s="1"/>
  <c r="AE106" i="4"/>
  <c r="AD77" i="4"/>
  <c r="AF77" i="4" s="1"/>
  <c r="AE53" i="4"/>
  <c r="AG53" i="4" s="1"/>
  <c r="AD9" i="4"/>
  <c r="AF9" i="4" s="1"/>
  <c r="AE24" i="4"/>
  <c r="AG24" i="4" s="1"/>
  <c r="AD25" i="4"/>
  <c r="AF25" i="4" s="1"/>
  <c r="AE91" i="4"/>
  <c r="AG91" i="4" s="1"/>
  <c r="AD106" i="4"/>
  <c r="AD91" i="4"/>
  <c r="AF91" i="4" s="1"/>
  <c r="AE79" i="4"/>
  <c r="AG79" i="4" s="1"/>
  <c r="AD73" i="4"/>
  <c r="AF73" i="4" s="1"/>
  <c r="AD57" i="4"/>
  <c r="AF57" i="4" s="1"/>
  <c r="AE92" i="4"/>
  <c r="AG92" i="4" s="1"/>
  <c r="AD13" i="4"/>
  <c r="AF13" i="4" s="1"/>
  <c r="AE66" i="4"/>
  <c r="AG66" i="4" s="1"/>
  <c r="H54" i="15"/>
  <c r="F48" i="15"/>
  <c r="T48" i="15" s="1"/>
  <c r="H78" i="15"/>
  <c r="D51" i="15"/>
  <c r="S51" i="15" s="1"/>
  <c r="F73" i="15"/>
  <c r="T73" i="15" s="1"/>
  <c r="D62" i="15"/>
  <c r="S62" i="15" s="1"/>
  <c r="D43" i="15"/>
  <c r="S43" i="15" s="1"/>
  <c r="F47" i="15"/>
  <c r="T47" i="15" s="1"/>
  <c r="H21" i="15"/>
  <c r="F9" i="15"/>
  <c r="T9" i="15" s="1"/>
  <c r="F81" i="15"/>
  <c r="T81" i="15" s="1"/>
  <c r="D34" i="15"/>
  <c r="S34" i="15" s="1"/>
  <c r="F38" i="15"/>
  <c r="T38" i="15" s="1"/>
  <c r="D24" i="15"/>
  <c r="S24" i="15" s="1"/>
  <c r="H82" i="15"/>
  <c r="H20" i="15"/>
  <c r="H60" i="15"/>
  <c r="H11" i="15"/>
  <c r="H23" i="15"/>
  <c r="D38" i="15"/>
  <c r="S38" i="15" s="1"/>
  <c r="D82" i="15"/>
  <c r="S82" i="15" s="1"/>
  <c r="D76" i="15"/>
  <c r="S76" i="15" s="1"/>
  <c r="H55" i="15"/>
  <c r="D15" i="15"/>
  <c r="S15" i="15" s="1"/>
  <c r="H24" i="15"/>
  <c r="AD64" i="4"/>
  <c r="AF64" i="4" s="1"/>
  <c r="AD70" i="4"/>
  <c r="AF70" i="4" s="1"/>
  <c r="AD76" i="4"/>
  <c r="AF76" i="4" s="1"/>
  <c r="AE51" i="4"/>
  <c r="AG51" i="4" s="1"/>
  <c r="AD11" i="4"/>
  <c r="AF11" i="4" s="1"/>
  <c r="AD83" i="4"/>
  <c r="AF83" i="4" s="1"/>
  <c r="AE59" i="4"/>
  <c r="AG59" i="4" s="1"/>
  <c r="AD24" i="4"/>
  <c r="AF24" i="4" s="1"/>
  <c r="AE31" i="4"/>
  <c r="AG31" i="4" s="1"/>
  <c r="AD32" i="4"/>
  <c r="AF32" i="4" s="1"/>
  <c r="AE18" i="4"/>
  <c r="AG18" i="4" s="1"/>
  <c r="AE40" i="4"/>
  <c r="AG40" i="4" s="1"/>
  <c r="AD98" i="4"/>
  <c r="AF98" i="4" s="1"/>
  <c r="AE86" i="4"/>
  <c r="AG86" i="4" s="1"/>
  <c r="AD80" i="4"/>
  <c r="AF80" i="4" s="1"/>
  <c r="AD78" i="4"/>
  <c r="AF78" i="4" s="1"/>
  <c r="AE102" i="4"/>
  <c r="AG102" i="4" s="1"/>
  <c r="AD92" i="4"/>
  <c r="AF92" i="4" s="1"/>
  <c r="AE44" i="4"/>
  <c r="AG44" i="4" s="1"/>
  <c r="H34" i="15"/>
  <c r="F60" i="15"/>
  <c r="T60" i="15" s="1"/>
  <c r="H80" i="15"/>
  <c r="D9" i="15"/>
  <c r="H63" i="15"/>
  <c r="D37" i="15"/>
  <c r="S37" i="15" s="1"/>
  <c r="F41" i="15"/>
  <c r="T41" i="15" s="1"/>
  <c r="H9" i="15"/>
  <c r="D71" i="15"/>
  <c r="S71" i="15" s="1"/>
  <c r="F75" i="15"/>
  <c r="T75" i="15" s="1"/>
  <c r="D28" i="15"/>
  <c r="S28" i="15" s="1"/>
  <c r="F32" i="15"/>
  <c r="T32" i="15" s="1"/>
  <c r="D36" i="15"/>
  <c r="S36" i="15" s="1"/>
  <c r="F79" i="15"/>
  <c r="T79" i="15" s="1"/>
  <c r="H32" i="15"/>
  <c r="F42" i="15"/>
  <c r="T42" i="15" s="1"/>
  <c r="H72" i="15"/>
  <c r="H47" i="15"/>
  <c r="H16" i="15"/>
  <c r="D17" i="15"/>
  <c r="S17" i="15" s="1"/>
  <c r="F14" i="15"/>
  <c r="T14" i="15" s="1"/>
  <c r="D72" i="15"/>
  <c r="S72" i="15" s="1"/>
  <c r="H25" i="15"/>
  <c r="H46" i="15"/>
  <c r="H15" i="15"/>
  <c r="H42" i="15"/>
  <c r="H8" i="15"/>
  <c r="D11" i="15"/>
  <c r="S11" i="15" s="1"/>
  <c r="F80" i="15"/>
  <c r="T80" i="15" s="1"/>
  <c r="D8" i="15"/>
  <c r="S8" i="15" s="1"/>
  <c r="H40" i="15"/>
  <c r="F83" i="15"/>
  <c r="T83" i="15" s="1"/>
  <c r="F51" i="15"/>
  <c r="T51" i="15" s="1"/>
  <c r="F74" i="15"/>
  <c r="T74" i="15" s="1"/>
  <c r="H51" i="15"/>
  <c r="F12" i="15"/>
  <c r="T12" i="15" s="1"/>
  <c r="H28" i="15"/>
  <c r="F37" i="15"/>
  <c r="T37" i="15" s="1"/>
  <c r="D61" i="15"/>
  <c r="S61" i="15" s="1"/>
  <c r="F65" i="15"/>
  <c r="T65" i="15" s="1"/>
  <c r="D53" i="15"/>
  <c r="S53" i="15" s="1"/>
  <c r="D52" i="15"/>
  <c r="S52" i="15" s="1"/>
  <c r="F64" i="15"/>
  <c r="T64" i="15" s="1"/>
  <c r="D27" i="15"/>
  <c r="S27" i="15" s="1"/>
  <c r="AE33" i="4"/>
  <c r="AG33" i="4" s="1"/>
  <c r="AD82" i="4"/>
  <c r="AF82" i="4" s="1"/>
  <c r="AE57" i="4"/>
  <c r="AG57" i="4" s="1"/>
  <c r="AD17" i="4"/>
  <c r="AF17" i="4" s="1"/>
  <c r="AD89" i="4"/>
  <c r="AF89" i="4" s="1"/>
  <c r="AE65" i="4"/>
  <c r="AG65" i="4" s="1"/>
  <c r="AD31" i="4"/>
  <c r="AF31" i="4" s="1"/>
  <c r="AE38" i="4"/>
  <c r="AG38" i="4" s="1"/>
  <c r="AD39" i="4"/>
  <c r="AF39" i="4" s="1"/>
  <c r="AE25" i="4"/>
  <c r="AG25" i="4" s="1"/>
  <c r="AE76" i="4"/>
  <c r="AG76" i="4" s="1"/>
  <c r="AD105" i="4"/>
  <c r="AF105" i="4" s="1"/>
  <c r="AE22" i="4"/>
  <c r="AG22" i="4" s="1"/>
  <c r="AD87" i="4"/>
  <c r="AF87" i="4" s="1"/>
  <c r="AD5" i="4"/>
  <c r="AF5" i="4" s="1"/>
  <c r="AD50" i="4"/>
  <c r="AF50" i="4" s="1"/>
  <c r="AD14" i="4"/>
  <c r="AF14" i="4" s="1"/>
  <c r="F18" i="15"/>
  <c r="T18" i="15" s="1"/>
  <c r="F72" i="15"/>
  <c r="T72" i="15" s="1"/>
  <c r="F30" i="15"/>
  <c r="T30" i="15" s="1"/>
  <c r="D21" i="15"/>
  <c r="S21" i="15" s="1"/>
  <c r="D31" i="15"/>
  <c r="S31" i="15" s="1"/>
  <c r="F35" i="15"/>
  <c r="T35" i="15" s="1"/>
  <c r="D83" i="15"/>
  <c r="S83" i="15" s="1"/>
  <c r="D59" i="15"/>
  <c r="S59" i="15" s="1"/>
  <c r="F57" i="15"/>
  <c r="T57" i="15" s="1"/>
  <c r="D22" i="15"/>
  <c r="S22" i="15" s="1"/>
  <c r="F26" i="15"/>
  <c r="T26" i="15" s="1"/>
  <c r="D48" i="15"/>
  <c r="S48" i="15" s="1"/>
  <c r="H44" i="15"/>
  <c r="F78" i="15"/>
  <c r="T78" i="15" s="1"/>
  <c r="H71" i="15"/>
  <c r="S9" i="15"/>
  <c r="I54" i="7"/>
  <c r="E55" i="7"/>
  <c r="G55" i="7"/>
  <c r="G54" i="7"/>
  <c r="H55" i="7"/>
  <c r="I55" i="7"/>
  <c r="F54" i="7"/>
  <c r="D54" i="7"/>
  <c r="F55" i="7"/>
  <c r="H54" i="7"/>
  <c r="D55" i="7"/>
  <c r="E54" i="7"/>
  <c r="AR17" i="13"/>
  <c r="AH5" i="13" s="1"/>
  <c r="AP17" i="13"/>
  <c r="AS13" i="13"/>
  <c r="AR18" i="13"/>
  <c r="AH73" i="4" l="1"/>
  <c r="G11" i="2"/>
  <c r="H11" i="2" s="1"/>
  <c r="AH45" i="4"/>
  <c r="AH41" i="4"/>
  <c r="AH33" i="4"/>
  <c r="AH7" i="4"/>
  <c r="AH98" i="4"/>
  <c r="AH35" i="4"/>
  <c r="AH69" i="4"/>
  <c r="AH17" i="4"/>
  <c r="AH87" i="4"/>
  <c r="AH22" i="4"/>
  <c r="AH40" i="4"/>
  <c r="AH21" i="4"/>
  <c r="AH75" i="4"/>
  <c r="AH94" i="4"/>
  <c r="AH77" i="4"/>
  <c r="AH52" i="4"/>
  <c r="AH60" i="4"/>
  <c r="AH86" i="4"/>
  <c r="AH100" i="4"/>
  <c r="AH11" i="4"/>
  <c r="AH12" i="4"/>
  <c r="AH71" i="4"/>
  <c r="AH85" i="4"/>
  <c r="AH23" i="4"/>
  <c r="AH16" i="4"/>
  <c r="AH81" i="4"/>
  <c r="AH15" i="4"/>
  <c r="AH30" i="4"/>
  <c r="AH63" i="4"/>
  <c r="AH34" i="4"/>
  <c r="AH6" i="4"/>
  <c r="AH102" i="4"/>
  <c r="AH89" i="4"/>
  <c r="AH29" i="4"/>
  <c r="AH95" i="4"/>
  <c r="AH62" i="4"/>
  <c r="AH48" i="4"/>
  <c r="AH103" i="4"/>
  <c r="AH99" i="4"/>
  <c r="AH44" i="4"/>
  <c r="AH67" i="4"/>
  <c r="AH8" i="4"/>
  <c r="AH90" i="4"/>
  <c r="AH74" i="4"/>
  <c r="AH28" i="4"/>
  <c r="AH9" i="4"/>
  <c r="AH88" i="4"/>
  <c r="AH27" i="4"/>
  <c r="AH54" i="4"/>
  <c r="AH38" i="4"/>
  <c r="AH59" i="4"/>
  <c r="AH47" i="4"/>
  <c r="AH19" i="4"/>
  <c r="AH58" i="4"/>
  <c r="AH37" i="4"/>
  <c r="AH61" i="4"/>
  <c r="AH43" i="4"/>
  <c r="AH68" i="4"/>
  <c r="AH104" i="4"/>
  <c r="AH80" i="4"/>
  <c r="AH20" i="4"/>
  <c r="AH83" i="4"/>
  <c r="AH64" i="4"/>
  <c r="AH46" i="4"/>
  <c r="AH42" i="4"/>
  <c r="AH72" i="4"/>
  <c r="AH49" i="4"/>
  <c r="AH26" i="4"/>
  <c r="AH96" i="4"/>
  <c r="AH14" i="4"/>
  <c r="AH56" i="4"/>
  <c r="AH32" i="4"/>
  <c r="AH79" i="4"/>
  <c r="AH101" i="4"/>
  <c r="AH13" i="4"/>
  <c r="AH53" i="4"/>
  <c r="AH24" i="4"/>
  <c r="AH82" i="4"/>
  <c r="E262" i="7"/>
  <c r="G262" i="7"/>
  <c r="F263" i="7"/>
  <c r="D263" i="7"/>
  <c r="G263" i="7"/>
  <c r="I263" i="7"/>
  <c r="E263" i="7"/>
  <c r="D262" i="7"/>
  <c r="H262" i="7"/>
  <c r="H263" i="7"/>
  <c r="F262" i="7"/>
  <c r="I262" i="7"/>
  <c r="L56" i="8"/>
  <c r="L60" i="8" s="1"/>
  <c r="L34" i="8" s="1"/>
  <c r="L50" i="8" s="1"/>
  <c r="E142" i="7" s="1"/>
  <c r="S60" i="8"/>
  <c r="S34" i="8" s="1"/>
  <c r="S50" i="8" s="1"/>
  <c r="E324" i="7" s="1"/>
  <c r="S37" i="8"/>
  <c r="S53" i="8" s="1"/>
  <c r="E337" i="7" s="1"/>
  <c r="AH31" i="4"/>
  <c r="E207" i="7"/>
  <c r="H237" i="7"/>
  <c r="G236" i="7"/>
  <c r="F236" i="7"/>
  <c r="E236" i="7"/>
  <c r="D237" i="7"/>
  <c r="G237" i="7"/>
  <c r="I237" i="7"/>
  <c r="D236" i="7"/>
  <c r="I236" i="7"/>
  <c r="E237" i="7"/>
  <c r="H236" i="7"/>
  <c r="F237" i="7"/>
  <c r="T60" i="8"/>
  <c r="T34" i="8" s="1"/>
  <c r="T50" i="8" s="1"/>
  <c r="E350" i="7" s="1"/>
  <c r="M56" i="8"/>
  <c r="M60" i="8" s="1"/>
  <c r="M34" i="8" s="1"/>
  <c r="M50" i="8" s="1"/>
  <c r="E168" i="7" s="1"/>
  <c r="T37" i="8"/>
  <c r="T53" i="8" s="1"/>
  <c r="E363" i="7" s="1"/>
  <c r="H315" i="7"/>
  <c r="E314" i="7"/>
  <c r="D314" i="7"/>
  <c r="I315" i="7"/>
  <c r="G314" i="7"/>
  <c r="E315" i="7"/>
  <c r="F315" i="7"/>
  <c r="H314" i="7"/>
  <c r="I314" i="7"/>
  <c r="G315" i="7"/>
  <c r="F314" i="7"/>
  <c r="D315" i="7"/>
  <c r="H289" i="7"/>
  <c r="D289" i="7"/>
  <c r="E289" i="7"/>
  <c r="G289" i="7"/>
  <c r="I288" i="7"/>
  <c r="G288" i="7"/>
  <c r="F289" i="7"/>
  <c r="I289" i="7"/>
  <c r="E288" i="7"/>
  <c r="D288" i="7"/>
  <c r="H288" i="7"/>
  <c r="F288" i="7"/>
  <c r="AH66" i="4"/>
  <c r="AH93" i="4"/>
  <c r="AH18" i="4"/>
  <c r="AH39" i="4"/>
  <c r="AH55" i="4"/>
  <c r="AH91" i="4"/>
  <c r="AH97" i="4"/>
  <c r="AH78" i="4"/>
  <c r="AH5" i="4"/>
  <c r="AH105" i="4"/>
  <c r="AH76" i="4"/>
  <c r="AH25" i="4"/>
  <c r="AH57" i="4"/>
  <c r="AH84" i="4"/>
  <c r="AH50" i="4"/>
  <c r="AH36" i="4"/>
  <c r="AH65" i="4"/>
  <c r="AH70" i="4"/>
  <c r="AH51" i="4"/>
  <c r="AH92" i="4"/>
  <c r="D4" i="15"/>
  <c r="F4" i="15"/>
  <c r="AE13" i="15"/>
  <c r="AE20" i="15"/>
  <c r="AE14" i="15"/>
  <c r="AE21" i="15"/>
  <c r="AS17" i="13"/>
  <c r="AS16" i="13"/>
  <c r="H84" i="3"/>
  <c r="J27" i="13"/>
  <c r="AH33" i="13"/>
  <c r="AI5" i="13"/>
  <c r="AH21" i="13"/>
  <c r="AH31" i="13"/>
  <c r="AG11" i="13"/>
  <c r="AH29" i="13"/>
  <c r="AH32" i="13"/>
  <c r="AG9" i="13"/>
  <c r="AH28" i="13"/>
  <c r="AH27" i="13"/>
  <c r="AH20" i="13"/>
  <c r="AH22" i="13"/>
  <c r="AH24" i="13"/>
  <c r="AH25" i="13"/>
  <c r="AH34" i="13"/>
  <c r="AH30" i="13"/>
  <c r="AH23" i="13"/>
  <c r="AH26" i="13"/>
  <c r="AB11" i="2" l="1"/>
  <c r="AC11" i="2" s="1"/>
  <c r="AD11" i="2" s="1"/>
  <c r="R11" i="2"/>
  <c r="D12" i="2"/>
  <c r="F12" i="2" s="1"/>
  <c r="H63" i="8"/>
  <c r="H366" i="7"/>
  <c r="E367" i="7"/>
  <c r="D366" i="7"/>
  <c r="E366" i="7"/>
  <c r="F366" i="7"/>
  <c r="I367" i="7"/>
  <c r="F367" i="7"/>
  <c r="G366" i="7"/>
  <c r="H367" i="7"/>
  <c r="G367" i="7"/>
  <c r="D367" i="7"/>
  <c r="I366" i="7"/>
  <c r="H211" i="7"/>
  <c r="H210" i="7"/>
  <c r="I210" i="7"/>
  <c r="G210" i="7"/>
  <c r="I211" i="7"/>
  <c r="D211" i="7"/>
  <c r="E211" i="7"/>
  <c r="G211" i="7"/>
  <c r="D210" i="7"/>
  <c r="E210" i="7"/>
  <c r="F210" i="7"/>
  <c r="F211" i="7"/>
  <c r="H341" i="7"/>
  <c r="H340" i="7"/>
  <c r="D340" i="7"/>
  <c r="I340" i="7"/>
  <c r="D341" i="7"/>
  <c r="F341" i="7"/>
  <c r="G340" i="7"/>
  <c r="G341" i="7"/>
  <c r="E340" i="7"/>
  <c r="E341" i="7"/>
  <c r="F340" i="7"/>
  <c r="I341" i="7"/>
  <c r="AE22" i="15"/>
  <c r="AE15" i="15"/>
  <c r="I11" i="2"/>
  <c r="J11" i="2"/>
  <c r="AB12" i="2" l="1"/>
  <c r="AC12" i="2" s="1"/>
  <c r="S11" i="2"/>
  <c r="T11" i="2" s="1"/>
  <c r="V11" i="2" s="1"/>
  <c r="E5" i="7"/>
  <c r="D5" i="6" s="1"/>
  <c r="E4" i="7"/>
  <c r="D4" i="6" s="1"/>
  <c r="I4" i="7"/>
  <c r="H4" i="6" s="1"/>
  <c r="F4" i="7"/>
  <c r="E4" i="6" s="1"/>
  <c r="D5" i="7"/>
  <c r="D4" i="7"/>
  <c r="I5" i="7"/>
  <c r="H5" i="7"/>
  <c r="H4" i="7"/>
  <c r="F5" i="7"/>
  <c r="G5" i="7"/>
  <c r="G4" i="7"/>
  <c r="D10" i="1"/>
  <c r="L10" i="2" s="1"/>
  <c r="H39" i="8"/>
  <c r="H10" i="1"/>
  <c r="G12" i="2"/>
  <c r="K11" i="2"/>
  <c r="Y11" i="2" l="1"/>
  <c r="Z11" i="2" s="1"/>
  <c r="AE11" i="2" s="1"/>
  <c r="P12" i="2"/>
  <c r="R12" i="2" s="1"/>
  <c r="S12" i="2" s="1"/>
  <c r="AD12" i="2"/>
  <c r="D51" i="3"/>
  <c r="H50" i="3"/>
  <c r="D50" i="3"/>
  <c r="E50" i="3"/>
  <c r="C50" i="3"/>
  <c r="C4" i="6"/>
  <c r="E51" i="3"/>
  <c r="E5" i="6"/>
  <c r="E6" i="6" s="1"/>
  <c r="G51" i="3"/>
  <c r="G5" i="6"/>
  <c r="F4" i="6"/>
  <c r="F50" i="3"/>
  <c r="F5" i="6"/>
  <c r="F51" i="3"/>
  <c r="C5" i="6"/>
  <c r="C51" i="3"/>
  <c r="M10" i="2"/>
  <c r="G50" i="3"/>
  <c r="G4" i="6"/>
  <c r="L4" i="6" s="1"/>
  <c r="H51" i="3"/>
  <c r="H5" i="6"/>
  <c r="H6" i="6" s="1"/>
  <c r="D6" i="6"/>
  <c r="H12" i="2"/>
  <c r="D13" i="2"/>
  <c r="AB13" i="2" s="1"/>
  <c r="AC13" i="2" s="1"/>
  <c r="L5" i="6" l="1"/>
  <c r="L6" i="6" s="1"/>
  <c r="AA11" i="2"/>
  <c r="U11" i="2" s="1"/>
  <c r="W11" i="2" s="1"/>
  <c r="P13" i="2"/>
  <c r="R13" i="2" s="1"/>
  <c r="S13" i="2" s="1"/>
  <c r="T12" i="2"/>
  <c r="V12" i="2" s="1"/>
  <c r="Y12" i="2"/>
  <c r="Z12" i="2" s="1"/>
  <c r="AA12" i="2" s="1"/>
  <c r="D52" i="3"/>
  <c r="E52" i="3"/>
  <c r="H52" i="3"/>
  <c r="L11" i="2"/>
  <c r="M11" i="2" s="1"/>
  <c r="C52" i="3"/>
  <c r="G52" i="3"/>
  <c r="F52" i="3"/>
  <c r="F6" i="6"/>
  <c r="C6" i="6"/>
  <c r="G6" i="6"/>
  <c r="F13" i="2"/>
  <c r="I12" i="2"/>
  <c r="J12" i="2"/>
  <c r="U12" i="2" l="1"/>
  <c r="W12" i="2" s="1"/>
  <c r="AE12" i="2"/>
  <c r="L12" i="2" s="1"/>
  <c r="M12" i="2" s="1"/>
  <c r="P14" i="2"/>
  <c r="T13" i="2"/>
  <c r="V13" i="2" s="1"/>
  <c r="AD13" i="2"/>
  <c r="J5" i="6"/>
  <c r="D10" i="6"/>
  <c r="B58" i="3" s="1"/>
  <c r="I5" i="6"/>
  <c r="K12" i="2"/>
  <c r="G13" i="2"/>
  <c r="R14" i="2" l="1"/>
  <c r="S14" i="13"/>
  <c r="I51" i="3"/>
  <c r="H93" i="3" s="1"/>
  <c r="D14" i="2"/>
  <c r="AB14" i="2" s="1"/>
  <c r="AC14" i="2" s="1"/>
  <c r="H13" i="2"/>
  <c r="Y13" i="2"/>
  <c r="S14" i="2" l="1"/>
  <c r="Z13" i="2"/>
  <c r="F14" i="2"/>
  <c r="I13" i="2"/>
  <c r="J13" i="2"/>
  <c r="T14" i="2" l="1"/>
  <c r="V14" i="2" s="1"/>
  <c r="P15" i="2"/>
  <c r="R15" i="2" s="1"/>
  <c r="AD14" i="2"/>
  <c r="G14" i="2"/>
  <c r="D15" i="2" s="1"/>
  <c r="AB15" i="2" s="1"/>
  <c r="AC15" i="2" s="1"/>
  <c r="AE13" i="2"/>
  <c r="L13" i="2" s="1"/>
  <c r="M13" i="2" s="1"/>
  <c r="AA13" i="2"/>
  <c r="U13" i="2" s="1"/>
  <c r="W13" i="2" s="1"/>
  <c r="K13" i="2"/>
  <c r="H14" i="2" l="1"/>
  <c r="J14" i="2" s="1"/>
  <c r="S15" i="2"/>
  <c r="Y14" i="2"/>
  <c r="Z14" i="2" s="1"/>
  <c r="F15" i="2"/>
  <c r="I14" i="2" l="1"/>
  <c r="K14" i="2" s="1"/>
  <c r="T15" i="2"/>
  <c r="V15" i="2" s="1"/>
  <c r="P16" i="2"/>
  <c r="R16" i="2" s="1"/>
  <c r="AD15" i="2"/>
  <c r="G15" i="2"/>
  <c r="H15" i="2" s="1"/>
  <c r="AE14" i="2"/>
  <c r="L14" i="2" s="1"/>
  <c r="M14" i="2" s="1"/>
  <c r="AA14" i="2"/>
  <c r="U14" i="2" s="1"/>
  <c r="W14" i="2" s="1"/>
  <c r="D16" i="2" l="1"/>
  <c r="AB16" i="2" s="1"/>
  <c r="AC16" i="2" s="1"/>
  <c r="S16" i="2"/>
  <c r="Y15" i="2"/>
  <c r="Z15" i="2" s="1"/>
  <c r="I15" i="2"/>
  <c r="J15" i="2"/>
  <c r="F16" i="2" l="1"/>
  <c r="G16" i="2" s="1"/>
  <c r="D17" i="2" s="1"/>
  <c r="AB17" i="2" s="1"/>
  <c r="AC17" i="2" s="1"/>
  <c r="T16" i="2"/>
  <c r="V16" i="2" s="1"/>
  <c r="P17" i="2"/>
  <c r="R17" i="2" s="1"/>
  <c r="AD16" i="2"/>
  <c r="AE15" i="2"/>
  <c r="AA15" i="2"/>
  <c r="U15" i="2" s="1"/>
  <c r="W15" i="2" s="1"/>
  <c r="K15" i="2"/>
  <c r="H16" i="2" l="1"/>
  <c r="J16" i="2" s="1"/>
  <c r="S17" i="2"/>
  <c r="Y16" i="2"/>
  <c r="Z16" i="2" s="1"/>
  <c r="L15" i="2"/>
  <c r="M15" i="2" s="1"/>
  <c r="F17" i="2"/>
  <c r="I16" i="2" l="1"/>
  <c r="K16" i="2" s="1"/>
  <c r="P18" i="2"/>
  <c r="R18" i="2" s="1"/>
  <c r="T17" i="2"/>
  <c r="V17" i="2" s="1"/>
  <c r="AD17" i="2"/>
  <c r="G17" i="2"/>
  <c r="H17" i="2" s="1"/>
  <c r="AE16" i="2"/>
  <c r="AA16" i="2"/>
  <c r="U16" i="2" s="1"/>
  <c r="W16" i="2" s="1"/>
  <c r="D18" i="2" l="1"/>
  <c r="AB18" i="2" s="1"/>
  <c r="AC18" i="2" s="1"/>
  <c r="S18" i="2"/>
  <c r="Y17" i="2"/>
  <c r="Z17" i="2" s="1"/>
  <c r="L16" i="2"/>
  <c r="M16" i="2" s="1"/>
  <c r="J17" i="2"/>
  <c r="I17" i="2"/>
  <c r="K17" i="2" s="1"/>
  <c r="F18" i="2" l="1"/>
  <c r="G18" i="2" s="1"/>
  <c r="D19" i="2" s="1"/>
  <c r="AB19" i="2" s="1"/>
  <c r="AC19" i="2" s="1"/>
  <c r="T18" i="2"/>
  <c r="V18" i="2" s="1"/>
  <c r="P19" i="2"/>
  <c r="R19" i="2" s="1"/>
  <c r="AD18" i="2"/>
  <c r="AE17" i="2"/>
  <c r="L17" i="2" s="1"/>
  <c r="M17" i="2" s="1"/>
  <c r="AA17" i="2"/>
  <c r="U17" i="2" s="1"/>
  <c r="W17" i="2" s="1"/>
  <c r="S19" i="2" l="1"/>
  <c r="Y18" i="2"/>
  <c r="Z18" i="2" s="1"/>
  <c r="H18" i="2"/>
  <c r="J18" i="2" s="1"/>
  <c r="F19" i="2"/>
  <c r="P20" i="2" l="1"/>
  <c r="R20" i="2" s="1"/>
  <c r="T19" i="2"/>
  <c r="V19" i="2" s="1"/>
  <c r="I18" i="2"/>
  <c r="K18" i="2" s="1"/>
  <c r="AD19" i="2"/>
  <c r="G19" i="2"/>
  <c r="Y19" i="2" s="1"/>
  <c r="AE18" i="2"/>
  <c r="AA18" i="2"/>
  <c r="U18" i="2" s="1"/>
  <c r="W18" i="2" s="1"/>
  <c r="S20" i="2" l="1"/>
  <c r="H19" i="2"/>
  <c r="J19" i="2" s="1"/>
  <c r="D20" i="2"/>
  <c r="L18" i="2"/>
  <c r="M18" i="2" s="1"/>
  <c r="Z19" i="2"/>
  <c r="I19" i="2" l="1"/>
  <c r="K19" i="2" s="1"/>
  <c r="F20" i="2"/>
  <c r="G20" i="2" s="1"/>
  <c r="H20" i="2" s="1"/>
  <c r="AB20" i="2"/>
  <c r="AC20" i="2" s="1"/>
  <c r="AD20" i="2" s="1"/>
  <c r="P21" i="2"/>
  <c r="R21" i="2" s="1"/>
  <c r="T20" i="2"/>
  <c r="V20" i="2" s="1"/>
  <c r="AE19" i="2"/>
  <c r="AA19" i="2"/>
  <c r="U19" i="2" s="1"/>
  <c r="W19" i="2" s="1"/>
  <c r="S21" i="2" l="1"/>
  <c r="Y20" i="2"/>
  <c r="Z20" i="2" s="1"/>
  <c r="D21" i="2"/>
  <c r="L19" i="2"/>
  <c r="M19" i="2" s="1"/>
  <c r="I20" i="2"/>
  <c r="K20" i="2" s="1"/>
  <c r="J20" i="2"/>
  <c r="F21" i="2" l="1"/>
  <c r="G21" i="2" s="1"/>
  <c r="D22" i="2" s="1"/>
  <c r="AB22" i="2" s="1"/>
  <c r="AC22" i="2" s="1"/>
  <c r="AB21" i="2"/>
  <c r="AC21" i="2" s="1"/>
  <c r="AD21" i="2" s="1"/>
  <c r="T21" i="2"/>
  <c r="V21" i="2" s="1"/>
  <c r="P22" i="2"/>
  <c r="R22" i="2" s="1"/>
  <c r="AE20" i="2"/>
  <c r="AA20" i="2"/>
  <c r="U20" i="2" s="1"/>
  <c r="W20" i="2" s="1"/>
  <c r="S22" i="2" l="1"/>
  <c r="H21" i="2"/>
  <c r="I21" i="2" s="1"/>
  <c r="K21" i="2" s="1"/>
  <c r="Y21" i="2"/>
  <c r="Z21" i="2" s="1"/>
  <c r="L20" i="2"/>
  <c r="M20" i="2" s="1"/>
  <c r="F22" i="2"/>
  <c r="T22" i="2" l="1"/>
  <c r="V22" i="2" s="1"/>
  <c r="P23" i="2"/>
  <c r="R23" i="2" s="1"/>
  <c r="AD22" i="2"/>
  <c r="J21" i="2"/>
  <c r="G22" i="2"/>
  <c r="Y22" i="2" s="1"/>
  <c r="AA21" i="2"/>
  <c r="U21" i="2" s="1"/>
  <c r="W21" i="2" s="1"/>
  <c r="AE21" i="2"/>
  <c r="D23" i="2" l="1"/>
  <c r="AB23" i="2" s="1"/>
  <c r="AC23" i="2" s="1"/>
  <c r="S23" i="2"/>
  <c r="H22" i="2"/>
  <c r="J22" i="2" s="1"/>
  <c r="L21" i="2"/>
  <c r="M21" i="2" s="1"/>
  <c r="Z22" i="2"/>
  <c r="I22" i="2" l="1"/>
  <c r="K22" i="2" s="1"/>
  <c r="F23" i="2"/>
  <c r="G23" i="2" s="1"/>
  <c r="D24" i="2" s="1"/>
  <c r="AB24" i="2" s="1"/>
  <c r="AC24" i="2" s="1"/>
  <c r="T23" i="2"/>
  <c r="V23" i="2" s="1"/>
  <c r="P24" i="2"/>
  <c r="R24" i="2" s="1"/>
  <c r="AD23" i="2"/>
  <c r="AE22" i="2"/>
  <c r="AA22" i="2"/>
  <c r="U22" i="2" s="1"/>
  <c r="W22" i="2" s="1"/>
  <c r="S24" i="2" l="1"/>
  <c r="Y23" i="2"/>
  <c r="Z23" i="2" s="1"/>
  <c r="H23" i="2"/>
  <c r="J23" i="2" s="1"/>
  <c r="L22" i="2"/>
  <c r="M22" i="2" s="1"/>
  <c r="F24" i="2"/>
  <c r="T24" i="2" l="1"/>
  <c r="V24" i="2" s="1"/>
  <c r="P25" i="2"/>
  <c r="R25" i="2" s="1"/>
  <c r="I23" i="2"/>
  <c r="K23" i="2" s="1"/>
  <c r="AD24" i="2"/>
  <c r="G24" i="2"/>
  <c r="H24" i="2" s="1"/>
  <c r="AE23" i="2"/>
  <c r="AA23" i="2"/>
  <c r="U23" i="2" s="1"/>
  <c r="W23" i="2" s="1"/>
  <c r="S25" i="2" l="1"/>
  <c r="D25" i="2"/>
  <c r="Y24" i="2"/>
  <c r="Z24" i="2" s="1"/>
  <c r="L23" i="2"/>
  <c r="M23" i="2" s="1"/>
  <c r="I24" i="2"/>
  <c r="K24" i="2" s="1"/>
  <c r="J24" i="2"/>
  <c r="F25" i="2" l="1"/>
  <c r="G25" i="2" s="1"/>
  <c r="AB25" i="2"/>
  <c r="AC25" i="2" s="1"/>
  <c r="AD25" i="2" s="1"/>
  <c r="T25" i="2"/>
  <c r="V25" i="2" s="1"/>
  <c r="P26" i="2"/>
  <c r="R26" i="2" s="1"/>
  <c r="AE24" i="2"/>
  <c r="AA24" i="2"/>
  <c r="U24" i="2" s="1"/>
  <c r="W24" i="2" s="1"/>
  <c r="H25" i="2" l="1"/>
  <c r="J25" i="2" s="1"/>
  <c r="D26" i="2"/>
  <c r="AB26" i="2" s="1"/>
  <c r="AC26" i="2" s="1"/>
  <c r="S26" i="2"/>
  <c r="Y25" i="2"/>
  <c r="Z25" i="2" s="1"/>
  <c r="L24" i="2"/>
  <c r="M24" i="2" s="1"/>
  <c r="I25" i="2" l="1"/>
  <c r="K25" i="2" s="1"/>
  <c r="F26" i="2"/>
  <c r="G26" i="2" s="1"/>
  <c r="D27" i="2" s="1"/>
  <c r="AB27" i="2" s="1"/>
  <c r="AC27" i="2" s="1"/>
  <c r="P27" i="2"/>
  <c r="R27" i="2" s="1"/>
  <c r="T26" i="2"/>
  <c r="V26" i="2" s="1"/>
  <c r="AD26" i="2"/>
  <c r="AE25" i="2"/>
  <c r="AA25" i="2"/>
  <c r="U25" i="2" s="1"/>
  <c r="W25" i="2" s="1"/>
  <c r="S27" i="2" l="1"/>
  <c r="H26" i="2"/>
  <c r="I26" i="2" s="1"/>
  <c r="K26" i="2" s="1"/>
  <c r="Y26" i="2"/>
  <c r="Z26" i="2" s="1"/>
  <c r="L25" i="2"/>
  <c r="M25" i="2" s="1"/>
  <c r="F27" i="2"/>
  <c r="J26" i="2" l="1"/>
  <c r="T27" i="2"/>
  <c r="V27" i="2" s="1"/>
  <c r="P28" i="2"/>
  <c r="R28" i="2" s="1"/>
  <c r="AD27" i="2"/>
  <c r="G27" i="2"/>
  <c r="H27" i="2" s="1"/>
  <c r="AE26" i="2"/>
  <c r="AA26" i="2"/>
  <c r="U26" i="2" s="1"/>
  <c r="W26" i="2" s="1"/>
  <c r="D28" i="2" l="1"/>
  <c r="AB28" i="2" s="1"/>
  <c r="AC28" i="2" s="1"/>
  <c r="S28" i="2"/>
  <c r="Y27" i="2"/>
  <c r="Z27" i="2" s="1"/>
  <c r="L26" i="2"/>
  <c r="M26" i="2" s="1"/>
  <c r="I27" i="2"/>
  <c r="K27" i="2" s="1"/>
  <c r="J27" i="2"/>
  <c r="F28" i="2" l="1"/>
  <c r="G28" i="2" s="1"/>
  <c r="H28" i="2" s="1"/>
  <c r="P29" i="2"/>
  <c r="R29" i="2" s="1"/>
  <c r="T28" i="2"/>
  <c r="V28" i="2" s="1"/>
  <c r="AD28" i="2"/>
  <c r="AE27" i="2"/>
  <c r="AA27" i="2"/>
  <c r="U27" i="2" s="1"/>
  <c r="W27" i="2" s="1"/>
  <c r="S29" i="2" l="1"/>
  <c r="Y28" i="2"/>
  <c r="Z28" i="2" s="1"/>
  <c r="D29" i="2"/>
  <c r="AB29" i="2" s="1"/>
  <c r="AC29" i="2" s="1"/>
  <c r="L27" i="2"/>
  <c r="M27" i="2" s="1"/>
  <c r="J28" i="2"/>
  <c r="I28" i="2"/>
  <c r="K28" i="2" s="1"/>
  <c r="F29" i="2" l="1"/>
  <c r="G29" i="2" s="1"/>
  <c r="D30" i="2" s="1"/>
  <c r="AB30" i="2" s="1"/>
  <c r="AC30" i="2" s="1"/>
  <c r="T29" i="2"/>
  <c r="V29" i="2" s="1"/>
  <c r="P30" i="2"/>
  <c r="R30" i="2" s="1"/>
  <c r="AD29" i="2"/>
  <c r="AE28" i="2"/>
  <c r="AA28" i="2"/>
  <c r="U28" i="2" s="1"/>
  <c r="W28" i="2" s="1"/>
  <c r="H29" i="2" l="1"/>
  <c r="I29" i="2" s="1"/>
  <c r="K29" i="2" s="1"/>
  <c r="S30" i="2"/>
  <c r="Y29" i="2"/>
  <c r="Z29" i="2" s="1"/>
  <c r="L28" i="2"/>
  <c r="M28" i="2" s="1"/>
  <c r="F30" i="2"/>
  <c r="J29" i="2" l="1"/>
  <c r="P31" i="2"/>
  <c r="R31" i="2" s="1"/>
  <c r="T30" i="2"/>
  <c r="V30" i="2" s="1"/>
  <c r="AD30" i="2"/>
  <c r="G30" i="2"/>
  <c r="H30" i="2" s="1"/>
  <c r="AA29" i="2"/>
  <c r="U29" i="2" s="1"/>
  <c r="W29" i="2" s="1"/>
  <c r="AE29" i="2"/>
  <c r="S31" i="2" l="1"/>
  <c r="D31" i="2"/>
  <c r="AB31" i="2" s="1"/>
  <c r="AC31" i="2" s="1"/>
  <c r="Y30" i="2"/>
  <c r="Z30" i="2" s="1"/>
  <c r="L29" i="2"/>
  <c r="M29" i="2" s="1"/>
  <c r="J30" i="2"/>
  <c r="I30" i="2"/>
  <c r="K30" i="2" s="1"/>
  <c r="F31" i="2" l="1"/>
  <c r="G31" i="2" s="1"/>
  <c r="H31" i="2" s="1"/>
  <c r="P32" i="2"/>
  <c r="R32" i="2" s="1"/>
  <c r="T31" i="2"/>
  <c r="V31" i="2" s="1"/>
  <c r="AD31" i="2"/>
  <c r="AE30" i="2"/>
  <c r="AA30" i="2"/>
  <c r="U30" i="2" s="1"/>
  <c r="W30" i="2" s="1"/>
  <c r="D32" i="2" l="1"/>
  <c r="AB32" i="2" s="1"/>
  <c r="AC32" i="2" s="1"/>
  <c r="S32" i="2"/>
  <c r="Y31" i="2"/>
  <c r="Z31" i="2" s="1"/>
  <c r="L30" i="2"/>
  <c r="M30" i="2" s="1"/>
  <c r="I31" i="2"/>
  <c r="K31" i="2" s="1"/>
  <c r="J31" i="2"/>
  <c r="F32" i="2" l="1"/>
  <c r="G32" i="2" s="1"/>
  <c r="D33" i="2" s="1"/>
  <c r="AB33" i="2" s="1"/>
  <c r="AC33" i="2" s="1"/>
  <c r="T32" i="2"/>
  <c r="V32" i="2" s="1"/>
  <c r="P33" i="2"/>
  <c r="R33" i="2" s="1"/>
  <c r="AD32" i="2"/>
  <c r="AE31" i="2"/>
  <c r="AA31" i="2"/>
  <c r="U31" i="2" s="1"/>
  <c r="W31" i="2" s="1"/>
  <c r="H32" i="2" l="1"/>
  <c r="I32" i="2" s="1"/>
  <c r="K32" i="2" s="1"/>
  <c r="S33" i="2"/>
  <c r="Y32" i="2"/>
  <c r="Z32" i="2" s="1"/>
  <c r="L31" i="2"/>
  <c r="M31" i="2" s="1"/>
  <c r="F33" i="2"/>
  <c r="J32" i="2" l="1"/>
  <c r="T33" i="2"/>
  <c r="V33" i="2" s="1"/>
  <c r="P34" i="2"/>
  <c r="R34" i="2" s="1"/>
  <c r="AD33" i="2"/>
  <c r="G33" i="2"/>
  <c r="H33" i="2" s="1"/>
  <c r="AE32" i="2"/>
  <c r="AA32" i="2"/>
  <c r="U32" i="2" s="1"/>
  <c r="W32" i="2" s="1"/>
  <c r="S34" i="2" l="1"/>
  <c r="Y33" i="2"/>
  <c r="Z33" i="2" s="1"/>
  <c r="D34" i="2"/>
  <c r="L32" i="2"/>
  <c r="M32" i="2" s="1"/>
  <c r="I33" i="2"/>
  <c r="K33" i="2" s="1"/>
  <c r="J33" i="2"/>
  <c r="F34" i="2" l="1"/>
  <c r="G34" i="2" s="1"/>
  <c r="H34" i="2" s="1"/>
  <c r="AB34" i="2"/>
  <c r="AC34" i="2" s="1"/>
  <c r="AD34" i="2" s="1"/>
  <c r="T34" i="2"/>
  <c r="V34" i="2" s="1"/>
  <c r="P35" i="2"/>
  <c r="R35" i="2" s="1"/>
  <c r="AE33" i="2"/>
  <c r="AA33" i="2"/>
  <c r="U33" i="2" s="1"/>
  <c r="W33" i="2" s="1"/>
  <c r="S35" i="2" l="1"/>
  <c r="Y34" i="2"/>
  <c r="Z34" i="2" s="1"/>
  <c r="D35" i="2"/>
  <c r="AB35" i="2" s="1"/>
  <c r="AC35" i="2" s="1"/>
  <c r="L33" i="2"/>
  <c r="M33" i="2" s="1"/>
  <c r="J34" i="2"/>
  <c r="I34" i="2"/>
  <c r="K34" i="2" s="1"/>
  <c r="F35" i="2" l="1"/>
  <c r="G35" i="2" s="1"/>
  <c r="H35" i="2" s="1"/>
  <c r="T35" i="2"/>
  <c r="V35" i="2" s="1"/>
  <c r="P36" i="2"/>
  <c r="R36" i="2" s="1"/>
  <c r="AD35" i="2"/>
  <c r="AE34" i="2"/>
  <c r="AA34" i="2"/>
  <c r="U34" i="2" s="1"/>
  <c r="W34" i="2" s="1"/>
  <c r="S36" i="2" l="1"/>
  <c r="Y35" i="2"/>
  <c r="Z35" i="2" s="1"/>
  <c r="D36" i="2"/>
  <c r="AB36" i="2" s="1"/>
  <c r="AC36" i="2" s="1"/>
  <c r="L34" i="2"/>
  <c r="M34" i="2" s="1"/>
  <c r="J35" i="2"/>
  <c r="I35" i="2"/>
  <c r="K35" i="2" s="1"/>
  <c r="F36" i="2" l="1"/>
  <c r="G36" i="2" s="1"/>
  <c r="H36" i="2" s="1"/>
  <c r="T36" i="2"/>
  <c r="V36" i="2" s="1"/>
  <c r="P37" i="2"/>
  <c r="R37" i="2" s="1"/>
  <c r="AD36" i="2"/>
  <c r="AE35" i="2"/>
  <c r="AA35" i="2"/>
  <c r="U35" i="2" s="1"/>
  <c r="W35" i="2" s="1"/>
  <c r="S37" i="2" l="1"/>
  <c r="Y36" i="2"/>
  <c r="Z36" i="2" s="1"/>
  <c r="D37" i="2"/>
  <c r="AB37" i="2" s="1"/>
  <c r="AC37" i="2" s="1"/>
  <c r="L35" i="2"/>
  <c r="M35" i="2" s="1"/>
  <c r="I36" i="2"/>
  <c r="K36" i="2" s="1"/>
  <c r="J36" i="2"/>
  <c r="F37" i="2" l="1"/>
  <c r="G37" i="2" s="1"/>
  <c r="H37" i="2" s="1"/>
  <c r="P38" i="2"/>
  <c r="R38" i="2" s="1"/>
  <c r="T37" i="2"/>
  <c r="V37" i="2" s="1"/>
  <c r="AD37" i="2"/>
  <c r="AE36" i="2"/>
  <c r="AA36" i="2"/>
  <c r="U36" i="2" s="1"/>
  <c r="W36" i="2" s="1"/>
  <c r="Y37" i="2" l="1"/>
  <c r="Z37" i="2" s="1"/>
  <c r="S38" i="2"/>
  <c r="D38" i="2"/>
  <c r="AB38" i="2" s="1"/>
  <c r="AC38" i="2" s="1"/>
  <c r="L36" i="2"/>
  <c r="M36" i="2" s="1"/>
  <c r="I37" i="2"/>
  <c r="K37" i="2" s="1"/>
  <c r="J37" i="2"/>
  <c r="F38" i="2" l="1"/>
  <c r="G38" i="2" s="1"/>
  <c r="D39" i="2" s="1"/>
  <c r="AB39" i="2" s="1"/>
  <c r="AC39" i="2" s="1"/>
  <c r="P39" i="2"/>
  <c r="R39" i="2" s="1"/>
  <c r="T38" i="2"/>
  <c r="V38" i="2" s="1"/>
  <c r="AD38" i="2"/>
  <c r="AA37" i="2"/>
  <c r="U37" i="2" s="1"/>
  <c r="W37" i="2" s="1"/>
  <c r="AE37" i="2"/>
  <c r="S39" i="2" l="1"/>
  <c r="H38" i="2"/>
  <c r="J38" i="2" s="1"/>
  <c r="Y38" i="2"/>
  <c r="Z38" i="2" s="1"/>
  <c r="L37" i="2"/>
  <c r="M37" i="2" s="1"/>
  <c r="F39" i="2"/>
  <c r="I38" i="2" l="1"/>
  <c r="K38" i="2" s="1"/>
  <c r="P40" i="2"/>
  <c r="R40" i="2" s="1"/>
  <c r="T39" i="2"/>
  <c r="V39" i="2" s="1"/>
  <c r="AD39" i="2"/>
  <c r="G39" i="2"/>
  <c r="H39" i="2" s="1"/>
  <c r="AE38" i="2"/>
  <c r="AA38" i="2"/>
  <c r="U38" i="2" s="1"/>
  <c r="W38" i="2" s="1"/>
  <c r="S40" i="2" l="1"/>
  <c r="D40" i="2"/>
  <c r="AB40" i="2" s="1"/>
  <c r="AC40" i="2" s="1"/>
  <c r="Y39" i="2"/>
  <c r="Z39" i="2" s="1"/>
  <c r="L38" i="2"/>
  <c r="M38" i="2" s="1"/>
  <c r="I39" i="2"/>
  <c r="K39" i="2" s="1"/>
  <c r="J39" i="2"/>
  <c r="F40" i="2" l="1"/>
  <c r="G40" i="2" s="1"/>
  <c r="D41" i="2" s="1"/>
  <c r="AB41" i="2" s="1"/>
  <c r="AC41" i="2" s="1"/>
  <c r="T40" i="2"/>
  <c r="V40" i="2" s="1"/>
  <c r="P41" i="2"/>
  <c r="R41" i="2" s="1"/>
  <c r="AD40" i="2"/>
  <c r="AE39" i="2"/>
  <c r="AA39" i="2"/>
  <c r="U39" i="2" s="1"/>
  <c r="W39" i="2" s="1"/>
  <c r="S41" i="2" l="1"/>
  <c r="H40" i="2"/>
  <c r="J40" i="2" s="1"/>
  <c r="Y40" i="2"/>
  <c r="Z40" i="2" s="1"/>
  <c r="L39" i="2"/>
  <c r="M39" i="2" s="1"/>
  <c r="F41" i="2"/>
  <c r="I40" i="2" l="1"/>
  <c r="K40" i="2" s="1"/>
  <c r="T41" i="2"/>
  <c r="V41" i="2" s="1"/>
  <c r="P42" i="2"/>
  <c r="R42" i="2" s="1"/>
  <c r="AD41" i="2"/>
  <c r="G41" i="2"/>
  <c r="Y41" i="2" s="1"/>
  <c r="AE40" i="2"/>
  <c r="AA40" i="2"/>
  <c r="U40" i="2" s="1"/>
  <c r="W40" i="2" s="1"/>
  <c r="H41" i="2" l="1"/>
  <c r="J41" i="2" s="1"/>
  <c r="S42" i="2"/>
  <c r="D42" i="2"/>
  <c r="AB42" i="2" s="1"/>
  <c r="AC42" i="2" s="1"/>
  <c r="L40" i="2"/>
  <c r="M40" i="2" s="1"/>
  <c r="Z41" i="2"/>
  <c r="F42" i="2" l="1"/>
  <c r="G42" i="2" s="1"/>
  <c r="D43" i="2" s="1"/>
  <c r="AB43" i="2" s="1"/>
  <c r="AC43" i="2" s="1"/>
  <c r="I41" i="2"/>
  <c r="K41" i="2" s="1"/>
  <c r="P43" i="2"/>
  <c r="R43" i="2" s="1"/>
  <c r="T42" i="2"/>
  <c r="V42" i="2" s="1"/>
  <c r="AD42" i="2"/>
  <c r="AE41" i="2"/>
  <c r="AA41" i="2"/>
  <c r="U41" i="2" s="1"/>
  <c r="W41" i="2" s="1"/>
  <c r="S43" i="2" l="1"/>
  <c r="Y42" i="2"/>
  <c r="Z42" i="2" s="1"/>
  <c r="H42" i="2"/>
  <c r="J42" i="2" s="1"/>
  <c r="L41" i="2"/>
  <c r="M41" i="2" s="1"/>
  <c r="F43" i="2"/>
  <c r="P44" i="2" l="1"/>
  <c r="R44" i="2" s="1"/>
  <c r="T43" i="2"/>
  <c r="V43" i="2" s="1"/>
  <c r="AD43" i="2"/>
  <c r="I42" i="2"/>
  <c r="K42" i="2" s="1"/>
  <c r="G43" i="2"/>
  <c r="Y43" i="2" s="1"/>
  <c r="AE42" i="2"/>
  <c r="AA42" i="2"/>
  <c r="U42" i="2" s="1"/>
  <c r="W42" i="2" s="1"/>
  <c r="D44" i="2" l="1"/>
  <c r="AB44" i="2" s="1"/>
  <c r="AC44" i="2" s="1"/>
  <c r="S44" i="2"/>
  <c r="H43" i="2"/>
  <c r="I43" i="2" s="1"/>
  <c r="K43" i="2" s="1"/>
  <c r="L42" i="2"/>
  <c r="M42" i="2" s="1"/>
  <c r="Z43" i="2"/>
  <c r="J43" i="2" l="1"/>
  <c r="F44" i="2"/>
  <c r="G44" i="2" s="1"/>
  <c r="H44" i="2" s="1"/>
  <c r="P45" i="2"/>
  <c r="R45" i="2" s="1"/>
  <c r="T44" i="2"/>
  <c r="V44" i="2" s="1"/>
  <c r="AD44" i="2"/>
  <c r="AE43" i="2"/>
  <c r="AA43" i="2"/>
  <c r="U43" i="2" s="1"/>
  <c r="W43" i="2" s="1"/>
  <c r="S45" i="2" l="1"/>
  <c r="Y44" i="2"/>
  <c r="Z44" i="2" s="1"/>
  <c r="D45" i="2"/>
  <c r="L43" i="2"/>
  <c r="M43" i="2" s="1"/>
  <c r="I44" i="2"/>
  <c r="K44" i="2" s="1"/>
  <c r="J44" i="2"/>
  <c r="F45" i="2" l="1"/>
  <c r="G45" i="2" s="1"/>
  <c r="H45" i="2" s="1"/>
  <c r="AB45" i="2"/>
  <c r="AC45" i="2" s="1"/>
  <c r="AD45" i="2" s="1"/>
  <c r="P46" i="2"/>
  <c r="R46" i="2" s="1"/>
  <c r="T45" i="2"/>
  <c r="V45" i="2" s="1"/>
  <c r="AE44" i="2"/>
  <c r="AA44" i="2"/>
  <c r="U44" i="2" s="1"/>
  <c r="W44" i="2" s="1"/>
  <c r="S46" i="2" l="1"/>
  <c r="Y45" i="2"/>
  <c r="Z45" i="2" s="1"/>
  <c r="D46" i="2"/>
  <c r="L44" i="2"/>
  <c r="M44" i="2" s="1"/>
  <c r="I45" i="2"/>
  <c r="K45" i="2" s="1"/>
  <c r="J45" i="2"/>
  <c r="F46" i="2" l="1"/>
  <c r="G46" i="2" s="1"/>
  <c r="H46" i="2" s="1"/>
  <c r="AB46" i="2"/>
  <c r="AC46" i="2" s="1"/>
  <c r="AD46" i="2" s="1"/>
  <c r="T46" i="2"/>
  <c r="V46" i="2" s="1"/>
  <c r="P47" i="2"/>
  <c r="R47" i="2" s="1"/>
  <c r="AA45" i="2"/>
  <c r="U45" i="2" s="1"/>
  <c r="W45" i="2" s="1"/>
  <c r="AE45" i="2"/>
  <c r="S47" i="2" l="1"/>
  <c r="D47" i="2"/>
  <c r="AB47" i="2" s="1"/>
  <c r="AC47" i="2" s="1"/>
  <c r="Y46" i="2"/>
  <c r="Z46" i="2" s="1"/>
  <c r="L45" i="2"/>
  <c r="M45" i="2" s="1"/>
  <c r="J46" i="2"/>
  <c r="I46" i="2"/>
  <c r="K46" i="2" s="1"/>
  <c r="F47" i="2" l="1"/>
  <c r="G47" i="2" s="1"/>
  <c r="D48" i="2" s="1"/>
  <c r="AB48" i="2" s="1"/>
  <c r="AC48" i="2" s="1"/>
  <c r="P48" i="2"/>
  <c r="R48" i="2" s="1"/>
  <c r="T47" i="2"/>
  <c r="V47" i="2" s="1"/>
  <c r="AD47" i="2"/>
  <c r="AE46" i="2"/>
  <c r="AA46" i="2"/>
  <c r="U46" i="2" s="1"/>
  <c r="W46" i="2" s="1"/>
  <c r="S48" i="2" l="1"/>
  <c r="H47" i="2"/>
  <c r="J47" i="2" s="1"/>
  <c r="Y47" i="2"/>
  <c r="Z47" i="2" s="1"/>
  <c r="L46" i="2"/>
  <c r="M46" i="2" s="1"/>
  <c r="F48" i="2"/>
  <c r="I47" i="2" l="1"/>
  <c r="K47" i="2" s="1"/>
  <c r="P49" i="2"/>
  <c r="R49" i="2" s="1"/>
  <c r="T48" i="2"/>
  <c r="V48" i="2" s="1"/>
  <c r="AD48" i="2"/>
  <c r="G48" i="2"/>
  <c r="H48" i="2" s="1"/>
  <c r="AE47" i="2"/>
  <c r="AA47" i="2"/>
  <c r="U47" i="2" s="1"/>
  <c r="W47" i="2" s="1"/>
  <c r="S49" i="2" l="1"/>
  <c r="D49" i="2"/>
  <c r="AB49" i="2" s="1"/>
  <c r="AC49" i="2" s="1"/>
  <c r="Y48" i="2"/>
  <c r="Z48" i="2" s="1"/>
  <c r="L47" i="2"/>
  <c r="M47" i="2" s="1"/>
  <c r="I48" i="2"/>
  <c r="K48" i="2" s="1"/>
  <c r="J48" i="2"/>
  <c r="F49" i="2" l="1"/>
  <c r="G49" i="2" s="1"/>
  <c r="H49" i="2" s="1"/>
  <c r="P50" i="2"/>
  <c r="R50" i="2" s="1"/>
  <c r="T49" i="2"/>
  <c r="V49" i="2" s="1"/>
  <c r="AD49" i="2"/>
  <c r="AE48" i="2"/>
  <c r="AA48" i="2"/>
  <c r="U48" i="2" s="1"/>
  <c r="W48" i="2" s="1"/>
  <c r="S50" i="2" l="1"/>
  <c r="D50" i="2"/>
  <c r="AB50" i="2" s="1"/>
  <c r="AC50" i="2" s="1"/>
  <c r="Y49" i="2"/>
  <c r="Z49" i="2" s="1"/>
  <c r="L48" i="2"/>
  <c r="M48" i="2" s="1"/>
  <c r="I49" i="2"/>
  <c r="K49" i="2" s="1"/>
  <c r="J49" i="2"/>
  <c r="F50" i="2" l="1"/>
  <c r="G50" i="2" s="1"/>
  <c r="D51" i="2" s="1"/>
  <c r="AB51" i="2" s="1"/>
  <c r="AC51" i="2" s="1"/>
  <c r="T50" i="2"/>
  <c r="V50" i="2" s="1"/>
  <c r="P51" i="2"/>
  <c r="R51" i="2" s="1"/>
  <c r="AD50" i="2"/>
  <c r="AE49" i="2"/>
  <c r="AA49" i="2"/>
  <c r="U49" i="2" s="1"/>
  <c r="W49" i="2" s="1"/>
  <c r="S51" i="2" l="1"/>
  <c r="Y50" i="2"/>
  <c r="Z50" i="2" s="1"/>
  <c r="H50" i="2"/>
  <c r="I50" i="2" s="1"/>
  <c r="K50" i="2" s="1"/>
  <c r="L49" i="2"/>
  <c r="M49" i="2" s="1"/>
  <c r="F51" i="2"/>
  <c r="J50" i="2" l="1"/>
  <c r="T51" i="2"/>
  <c r="V51" i="2" s="1"/>
  <c r="P52" i="2"/>
  <c r="R52" i="2" s="1"/>
  <c r="AD51" i="2"/>
  <c r="G51" i="2"/>
  <c r="H51" i="2" s="1"/>
  <c r="AE50" i="2"/>
  <c r="AA50" i="2"/>
  <c r="U50" i="2" s="1"/>
  <c r="W50" i="2" s="1"/>
  <c r="Y51" i="2" l="1"/>
  <c r="Z51" i="2" s="1"/>
  <c r="S52" i="2"/>
  <c r="D52" i="2"/>
  <c r="AB52" i="2" s="1"/>
  <c r="AC52" i="2" s="1"/>
  <c r="L50" i="2"/>
  <c r="M50" i="2" s="1"/>
  <c r="I51" i="2"/>
  <c r="K51" i="2" s="1"/>
  <c r="J51" i="2"/>
  <c r="F52" i="2" l="1"/>
  <c r="G52" i="2" s="1"/>
  <c r="H52" i="2" s="1"/>
  <c r="P53" i="2"/>
  <c r="R53" i="2" s="1"/>
  <c r="T52" i="2"/>
  <c r="V52" i="2" s="1"/>
  <c r="AD52" i="2"/>
  <c r="AE51" i="2"/>
  <c r="AA51" i="2"/>
  <c r="U51" i="2" s="1"/>
  <c r="W51" i="2" s="1"/>
  <c r="S53" i="2" l="1"/>
  <c r="Y52" i="2"/>
  <c r="Z52" i="2" s="1"/>
  <c r="D53" i="2"/>
  <c r="L51" i="2"/>
  <c r="M51" i="2" s="1"/>
  <c r="J52" i="2"/>
  <c r="I52" i="2"/>
  <c r="K52" i="2" s="1"/>
  <c r="F53" i="2" l="1"/>
  <c r="G53" i="2" s="1"/>
  <c r="H53" i="2" s="1"/>
  <c r="AB53" i="2"/>
  <c r="AC53" i="2" s="1"/>
  <c r="AD53" i="2" s="1"/>
  <c r="P54" i="2"/>
  <c r="R54" i="2" s="1"/>
  <c r="T53" i="2"/>
  <c r="V53" i="2" s="1"/>
  <c r="AE52" i="2"/>
  <c r="AA52" i="2"/>
  <c r="U52" i="2" s="1"/>
  <c r="W52" i="2" s="1"/>
  <c r="S54" i="2" l="1"/>
  <c r="Y53" i="2"/>
  <c r="Z53" i="2" s="1"/>
  <c r="D54" i="2"/>
  <c r="L52" i="2"/>
  <c r="M52" i="2" s="1"/>
  <c r="J53" i="2"/>
  <c r="I53" i="2"/>
  <c r="K53" i="2" s="1"/>
  <c r="F54" i="2" l="1"/>
  <c r="G54" i="2" s="1"/>
  <c r="AB54" i="2"/>
  <c r="AC54" i="2" s="1"/>
  <c r="AD54" i="2" s="1"/>
  <c r="P55" i="2"/>
  <c r="R55" i="2" s="1"/>
  <c r="T54" i="2"/>
  <c r="V54" i="2" s="1"/>
  <c r="AA53" i="2"/>
  <c r="U53" i="2" s="1"/>
  <c r="W53" i="2" s="1"/>
  <c r="AE53" i="2"/>
  <c r="H54" i="2" l="1"/>
  <c r="I54" i="2" s="1"/>
  <c r="K54" i="2" s="1"/>
  <c r="Y54" i="2"/>
  <c r="Z54" i="2" s="1"/>
  <c r="S55" i="2"/>
  <c r="D55" i="2"/>
  <c r="AB55" i="2" s="1"/>
  <c r="AC55" i="2" s="1"/>
  <c r="L53" i="2"/>
  <c r="M53" i="2" s="1"/>
  <c r="J54" i="2" l="1"/>
  <c r="F55" i="2"/>
  <c r="G55" i="2" s="1"/>
  <c r="H55" i="2" s="1"/>
  <c r="T55" i="2"/>
  <c r="V55" i="2" s="1"/>
  <c r="P56" i="2"/>
  <c r="R56" i="2" s="1"/>
  <c r="AD55" i="2"/>
  <c r="AE54" i="2"/>
  <c r="AA54" i="2"/>
  <c r="U54" i="2" s="1"/>
  <c r="W54" i="2" s="1"/>
  <c r="S56" i="2" l="1"/>
  <c r="Y55" i="2"/>
  <c r="Z55" i="2" s="1"/>
  <c r="D56" i="2"/>
  <c r="L54" i="2"/>
  <c r="M54" i="2" s="1"/>
  <c r="I55" i="2"/>
  <c r="K55" i="2" s="1"/>
  <c r="J55" i="2"/>
  <c r="F56" i="2" l="1"/>
  <c r="G56" i="2" s="1"/>
  <c r="D57" i="2" s="1"/>
  <c r="AB57" i="2" s="1"/>
  <c r="AC57" i="2" s="1"/>
  <c r="AB56" i="2"/>
  <c r="AC56" i="2" s="1"/>
  <c r="AD56" i="2" s="1"/>
  <c r="T56" i="2"/>
  <c r="V56" i="2" s="1"/>
  <c r="P57" i="2"/>
  <c r="R57" i="2" s="1"/>
  <c r="AE55" i="2"/>
  <c r="AA55" i="2"/>
  <c r="U55" i="2" s="1"/>
  <c r="W55" i="2" s="1"/>
  <c r="S57" i="2" l="1"/>
  <c r="Y56" i="2"/>
  <c r="Z56" i="2" s="1"/>
  <c r="H56" i="2"/>
  <c r="J56" i="2" s="1"/>
  <c r="L55" i="2"/>
  <c r="M55" i="2" s="1"/>
  <c r="F57" i="2"/>
  <c r="I56" i="2" l="1"/>
  <c r="K56" i="2" s="1"/>
  <c r="T57" i="2"/>
  <c r="V57" i="2" s="1"/>
  <c r="P58" i="2"/>
  <c r="R58" i="2" s="1"/>
  <c r="AD57" i="2"/>
  <c r="G57" i="2"/>
  <c r="D58" i="2" s="1"/>
  <c r="AB58" i="2" s="1"/>
  <c r="AC58" i="2" s="1"/>
  <c r="AE56" i="2"/>
  <c r="AA56" i="2"/>
  <c r="U56" i="2" s="1"/>
  <c r="W56" i="2" s="1"/>
  <c r="S58" i="2" l="1"/>
  <c r="Y57" i="2"/>
  <c r="Z57" i="2" s="1"/>
  <c r="H57" i="2"/>
  <c r="I57" i="2" s="1"/>
  <c r="K57" i="2" s="1"/>
  <c r="L56" i="2"/>
  <c r="M56" i="2" s="1"/>
  <c r="F58" i="2"/>
  <c r="J57" i="2" l="1"/>
  <c r="P59" i="2"/>
  <c r="R59" i="2" s="1"/>
  <c r="T58" i="2"/>
  <c r="V58" i="2" s="1"/>
  <c r="AD58" i="2"/>
  <c r="G58" i="2"/>
  <c r="D59" i="2" s="1"/>
  <c r="AB59" i="2" s="1"/>
  <c r="AC59" i="2" s="1"/>
  <c r="AE57" i="2"/>
  <c r="AA57" i="2"/>
  <c r="U57" i="2" s="1"/>
  <c r="W57" i="2" s="1"/>
  <c r="S59" i="2" l="1"/>
  <c r="Y58" i="2"/>
  <c r="Z58" i="2" s="1"/>
  <c r="H58" i="2"/>
  <c r="J58" i="2" s="1"/>
  <c r="L57" i="2"/>
  <c r="M57" i="2" s="1"/>
  <c r="F59" i="2"/>
  <c r="I58" i="2" l="1"/>
  <c r="K58" i="2" s="1"/>
  <c r="P60" i="2"/>
  <c r="R60" i="2" s="1"/>
  <c r="T59" i="2"/>
  <c r="V59" i="2" s="1"/>
  <c r="AD59" i="2"/>
  <c r="G59" i="2"/>
  <c r="H59" i="2" s="1"/>
  <c r="AE58" i="2"/>
  <c r="AA58" i="2"/>
  <c r="U58" i="2" s="1"/>
  <c r="W58" i="2" s="1"/>
  <c r="S60" i="2" l="1"/>
  <c r="Y59" i="2"/>
  <c r="Z59" i="2" s="1"/>
  <c r="D60" i="2"/>
  <c r="AB60" i="2" s="1"/>
  <c r="AC60" i="2" s="1"/>
  <c r="L58" i="2"/>
  <c r="M58" i="2" s="1"/>
  <c r="I59" i="2"/>
  <c r="K59" i="2" s="1"/>
  <c r="J59" i="2"/>
  <c r="F60" i="2" l="1"/>
  <c r="G60" i="2" s="1"/>
  <c r="H60" i="2" s="1"/>
  <c r="T60" i="2"/>
  <c r="V60" i="2" s="1"/>
  <c r="P61" i="2"/>
  <c r="R61" i="2" s="1"/>
  <c r="AD60" i="2"/>
  <c r="AE59" i="2"/>
  <c r="AA59" i="2"/>
  <c r="U59" i="2" s="1"/>
  <c r="W59" i="2" s="1"/>
  <c r="S61" i="2" l="1"/>
  <c r="Y60" i="2"/>
  <c r="Z60" i="2" s="1"/>
  <c r="D61" i="2"/>
  <c r="AB61" i="2" s="1"/>
  <c r="AC61" i="2" s="1"/>
  <c r="L59" i="2"/>
  <c r="M59" i="2" s="1"/>
  <c r="I60" i="2"/>
  <c r="K60" i="2" s="1"/>
  <c r="J60" i="2"/>
  <c r="F61" i="2" l="1"/>
  <c r="G61" i="2" s="1"/>
  <c r="H61" i="2" s="1"/>
  <c r="P62" i="2"/>
  <c r="R62" i="2" s="1"/>
  <c r="T61" i="2"/>
  <c r="V61" i="2" s="1"/>
  <c r="AD61" i="2"/>
  <c r="AE60" i="2"/>
  <c r="AA60" i="2"/>
  <c r="U60" i="2" s="1"/>
  <c r="W60" i="2" s="1"/>
  <c r="S62" i="2" l="1"/>
  <c r="D62" i="2"/>
  <c r="AB62" i="2" s="1"/>
  <c r="AC62" i="2" s="1"/>
  <c r="Y61" i="2"/>
  <c r="Z61" i="2" s="1"/>
  <c r="L60" i="2"/>
  <c r="M60" i="2" s="1"/>
  <c r="I61" i="2"/>
  <c r="K61" i="2" s="1"/>
  <c r="J61" i="2"/>
  <c r="F62" i="2" l="1"/>
  <c r="G62" i="2" s="1"/>
  <c r="D63" i="2" s="1"/>
  <c r="AB63" i="2" s="1"/>
  <c r="AC63" i="2" s="1"/>
  <c r="P63" i="2"/>
  <c r="R63" i="2" s="1"/>
  <c r="T62" i="2"/>
  <c r="V62" i="2" s="1"/>
  <c r="AD62" i="2"/>
  <c r="AA61" i="2"/>
  <c r="U61" i="2" s="1"/>
  <c r="W61" i="2" s="1"/>
  <c r="AE61" i="2"/>
  <c r="Y62" i="2" l="1"/>
  <c r="Z62" i="2" s="1"/>
  <c r="S63" i="2"/>
  <c r="H62" i="2"/>
  <c r="I62" i="2" s="1"/>
  <c r="K62" i="2" s="1"/>
  <c r="L61" i="2"/>
  <c r="M61" i="2" s="1"/>
  <c r="F63" i="2"/>
  <c r="J62" i="2" l="1"/>
  <c r="P64" i="2"/>
  <c r="R64" i="2" s="1"/>
  <c r="T63" i="2"/>
  <c r="V63" i="2" s="1"/>
  <c r="AD63" i="2"/>
  <c r="G63" i="2"/>
  <c r="D64" i="2" s="1"/>
  <c r="AB64" i="2" s="1"/>
  <c r="AC64" i="2" s="1"/>
  <c r="AE62" i="2"/>
  <c r="AA62" i="2"/>
  <c r="U62" i="2" s="1"/>
  <c r="W62" i="2" s="1"/>
  <c r="S64" i="2" l="1"/>
  <c r="H63" i="2"/>
  <c r="J63" i="2" s="1"/>
  <c r="Y63" i="2"/>
  <c r="Z63" i="2" s="1"/>
  <c r="L62" i="2"/>
  <c r="M62" i="2" s="1"/>
  <c r="F64" i="2"/>
  <c r="I63" i="2" l="1"/>
  <c r="K63" i="2" s="1"/>
  <c r="T64" i="2"/>
  <c r="V64" i="2" s="1"/>
  <c r="P65" i="2"/>
  <c r="R65" i="2" s="1"/>
  <c r="AD64" i="2"/>
  <c r="G64" i="2"/>
  <c r="H64" i="2" s="1"/>
  <c r="AE63" i="2"/>
  <c r="AA63" i="2"/>
  <c r="U63" i="2" s="1"/>
  <c r="W63" i="2" s="1"/>
  <c r="Y64" i="2" l="1"/>
  <c r="Z64" i="2" s="1"/>
  <c r="S65" i="2"/>
  <c r="D65" i="2"/>
  <c r="AB65" i="2" s="1"/>
  <c r="AC65" i="2" s="1"/>
  <c r="L63" i="2"/>
  <c r="M63" i="2" s="1"/>
  <c r="I64" i="2"/>
  <c r="K64" i="2" s="1"/>
  <c r="J64" i="2"/>
  <c r="F65" i="2" l="1"/>
  <c r="G65" i="2" s="1"/>
  <c r="D66" i="2" s="1"/>
  <c r="AB66" i="2" s="1"/>
  <c r="AC66" i="2" s="1"/>
  <c r="T65" i="2"/>
  <c r="V65" i="2" s="1"/>
  <c r="P66" i="2"/>
  <c r="R66" i="2" s="1"/>
  <c r="AD65" i="2"/>
  <c r="AE64" i="2"/>
  <c r="AA64" i="2"/>
  <c r="U64" i="2" s="1"/>
  <c r="W64" i="2" s="1"/>
  <c r="S66" i="2" l="1"/>
  <c r="H65" i="2"/>
  <c r="J65" i="2" s="1"/>
  <c r="Y65" i="2"/>
  <c r="Z65" i="2" s="1"/>
  <c r="L64" i="2"/>
  <c r="M64" i="2" s="1"/>
  <c r="F66" i="2"/>
  <c r="I65" i="2" l="1"/>
  <c r="K65" i="2" s="1"/>
  <c r="T66" i="2"/>
  <c r="V66" i="2" s="1"/>
  <c r="P67" i="2"/>
  <c r="R67" i="2" s="1"/>
  <c r="AD66" i="2"/>
  <c r="G66" i="2"/>
  <c r="D67" i="2" s="1"/>
  <c r="AB67" i="2" s="1"/>
  <c r="AC67" i="2" s="1"/>
  <c r="AE65" i="2"/>
  <c r="AA65" i="2"/>
  <c r="U65" i="2" s="1"/>
  <c r="W65" i="2" s="1"/>
  <c r="S67" i="2" l="1"/>
  <c r="Y66" i="2"/>
  <c r="Z66" i="2" s="1"/>
  <c r="H66" i="2"/>
  <c r="J66" i="2" s="1"/>
  <c r="L65" i="2"/>
  <c r="M65" i="2" s="1"/>
  <c r="F67" i="2"/>
  <c r="I66" i="2" l="1"/>
  <c r="K66" i="2" s="1"/>
  <c r="T67" i="2"/>
  <c r="V67" i="2" s="1"/>
  <c r="P68" i="2"/>
  <c r="R68" i="2" s="1"/>
  <c r="AD67" i="2"/>
  <c r="G67" i="2"/>
  <c r="H67" i="2" s="1"/>
  <c r="AE66" i="2"/>
  <c r="AA66" i="2"/>
  <c r="U66" i="2" s="1"/>
  <c r="W66" i="2" s="1"/>
  <c r="Y67" i="2" l="1"/>
  <c r="Z67" i="2" s="1"/>
  <c r="S68" i="2"/>
  <c r="D68" i="2"/>
  <c r="AB68" i="2" s="1"/>
  <c r="AC68" i="2" s="1"/>
  <c r="L66" i="2"/>
  <c r="M66" i="2" s="1"/>
  <c r="I67" i="2"/>
  <c r="K67" i="2" s="1"/>
  <c r="J67" i="2"/>
  <c r="F68" i="2" l="1"/>
  <c r="G68" i="2" s="1"/>
  <c r="D69" i="2" s="1"/>
  <c r="AB69" i="2" s="1"/>
  <c r="AC69" i="2" s="1"/>
  <c r="T68" i="2"/>
  <c r="V68" i="2" s="1"/>
  <c r="P69" i="2"/>
  <c r="R69" i="2" s="1"/>
  <c r="AD68" i="2"/>
  <c r="AE67" i="2"/>
  <c r="AA67" i="2"/>
  <c r="U67" i="2" s="1"/>
  <c r="W67" i="2" s="1"/>
  <c r="H68" i="2" l="1"/>
  <c r="I68" i="2" s="1"/>
  <c r="K68" i="2" s="1"/>
  <c r="S69" i="2"/>
  <c r="Y68" i="2"/>
  <c r="Z68" i="2" s="1"/>
  <c r="L67" i="2"/>
  <c r="M67" i="2" s="1"/>
  <c r="F69" i="2"/>
  <c r="J68" i="2" l="1"/>
  <c r="T69" i="2"/>
  <c r="V69" i="2" s="1"/>
  <c r="P70" i="2"/>
  <c r="R70" i="2" s="1"/>
  <c r="AD69" i="2"/>
  <c r="G69" i="2"/>
  <c r="H69" i="2" s="1"/>
  <c r="AE68" i="2"/>
  <c r="AA68" i="2"/>
  <c r="U68" i="2" s="1"/>
  <c r="W68" i="2" s="1"/>
  <c r="S70" i="2" l="1"/>
  <c r="D70" i="2"/>
  <c r="AB70" i="2" s="1"/>
  <c r="AC70" i="2" s="1"/>
  <c r="Y69" i="2"/>
  <c r="Z69" i="2" s="1"/>
  <c r="L68" i="2"/>
  <c r="M68" i="2" s="1"/>
  <c r="I69" i="2"/>
  <c r="K69" i="2" s="1"/>
  <c r="J69" i="2"/>
  <c r="F70" i="2" l="1"/>
  <c r="G70" i="2" s="1"/>
  <c r="H70" i="2" s="1"/>
  <c r="P71" i="2"/>
  <c r="R71" i="2" s="1"/>
  <c r="T70" i="2"/>
  <c r="V70" i="2" s="1"/>
  <c r="AD70" i="2"/>
  <c r="AA69" i="2"/>
  <c r="U69" i="2" s="1"/>
  <c r="W69" i="2" s="1"/>
  <c r="AE69" i="2"/>
  <c r="S71" i="2" l="1"/>
  <c r="D71" i="2"/>
  <c r="AB71" i="2" s="1"/>
  <c r="AC71" i="2" s="1"/>
  <c r="Y70" i="2"/>
  <c r="Z70" i="2" s="1"/>
  <c r="L69" i="2"/>
  <c r="M69" i="2" s="1"/>
  <c r="J70" i="2"/>
  <c r="I70" i="2"/>
  <c r="K70" i="2" s="1"/>
  <c r="F71" i="2" l="1"/>
  <c r="G71" i="2" s="1"/>
  <c r="H71" i="2" s="1"/>
  <c r="P72" i="2"/>
  <c r="R72" i="2" s="1"/>
  <c r="T71" i="2"/>
  <c r="V71" i="2" s="1"/>
  <c r="AD71" i="2"/>
  <c r="AE70" i="2"/>
  <c r="AA70" i="2"/>
  <c r="U70" i="2" s="1"/>
  <c r="W70" i="2" s="1"/>
  <c r="S72" i="2" l="1"/>
  <c r="Y71" i="2"/>
  <c r="Z71" i="2" s="1"/>
  <c r="D72" i="2"/>
  <c r="AB72" i="2" s="1"/>
  <c r="AC72" i="2" s="1"/>
  <c r="L70" i="2"/>
  <c r="M70" i="2" s="1"/>
  <c r="J71" i="2"/>
  <c r="I71" i="2"/>
  <c r="K71" i="2" s="1"/>
  <c r="F72" i="2" l="1"/>
  <c r="G72" i="2" s="1"/>
  <c r="T72" i="2"/>
  <c r="V72" i="2" s="1"/>
  <c r="P73" i="2"/>
  <c r="R73" i="2" s="1"/>
  <c r="AD72" i="2"/>
  <c r="AE71" i="2"/>
  <c r="AA71" i="2"/>
  <c r="U71" i="2" s="1"/>
  <c r="W71" i="2" s="1"/>
  <c r="D73" i="2" l="1"/>
  <c r="AB73" i="2" s="1"/>
  <c r="AC73" i="2" s="1"/>
  <c r="Y72" i="2"/>
  <c r="Z72" i="2" s="1"/>
  <c r="S73" i="2"/>
  <c r="H72" i="2"/>
  <c r="J72" i="2" s="1"/>
  <c r="L71" i="2"/>
  <c r="M71" i="2" s="1"/>
  <c r="F73" i="2" l="1"/>
  <c r="G73" i="2" s="1"/>
  <c r="H73" i="2" s="1"/>
  <c r="I72" i="2"/>
  <c r="K72" i="2" s="1"/>
  <c r="P74" i="2"/>
  <c r="R74" i="2" s="1"/>
  <c r="T73" i="2"/>
  <c r="V73" i="2" s="1"/>
  <c r="AD73" i="2"/>
  <c r="AE72" i="2"/>
  <c r="AA72" i="2"/>
  <c r="U72" i="2" s="1"/>
  <c r="W72" i="2" s="1"/>
  <c r="S74" i="2" l="1"/>
  <c r="D74" i="2"/>
  <c r="AB74" i="2" s="1"/>
  <c r="AC74" i="2" s="1"/>
  <c r="Y73" i="2"/>
  <c r="Z73" i="2" s="1"/>
  <c r="L72" i="2"/>
  <c r="M72" i="2" s="1"/>
  <c r="I73" i="2"/>
  <c r="K73" i="2" s="1"/>
  <c r="J73" i="2"/>
  <c r="F74" i="2" l="1"/>
  <c r="G74" i="2" s="1"/>
  <c r="D75" i="2" s="1"/>
  <c r="AB75" i="2" s="1"/>
  <c r="AC75" i="2" s="1"/>
  <c r="P75" i="2"/>
  <c r="R75" i="2" s="1"/>
  <c r="T74" i="2"/>
  <c r="V74" i="2" s="1"/>
  <c r="AD74" i="2"/>
  <c r="AE73" i="2"/>
  <c r="AA73" i="2"/>
  <c r="U73" i="2" s="1"/>
  <c r="W73" i="2" s="1"/>
  <c r="S75" i="2" l="1"/>
  <c r="H74" i="2"/>
  <c r="I74" i="2" s="1"/>
  <c r="K74" i="2" s="1"/>
  <c r="Y74" i="2"/>
  <c r="Z74" i="2" s="1"/>
  <c r="L73" i="2"/>
  <c r="M73" i="2" s="1"/>
  <c r="F75" i="2"/>
  <c r="J74" i="2" l="1"/>
  <c r="T75" i="2"/>
  <c r="V75" i="2" s="1"/>
  <c r="P76" i="2"/>
  <c r="R76" i="2" s="1"/>
  <c r="AD75" i="2"/>
  <c r="G75" i="2"/>
  <c r="H75" i="2" s="1"/>
  <c r="AE74" i="2"/>
  <c r="AA74" i="2"/>
  <c r="U74" i="2" s="1"/>
  <c r="W74" i="2" s="1"/>
  <c r="S76" i="2" l="1"/>
  <c r="D76" i="2"/>
  <c r="AB76" i="2" s="1"/>
  <c r="AC76" i="2" s="1"/>
  <c r="Y75" i="2"/>
  <c r="Z75" i="2" s="1"/>
  <c r="L74" i="2"/>
  <c r="M74" i="2" s="1"/>
  <c r="I75" i="2"/>
  <c r="K75" i="2" s="1"/>
  <c r="J75" i="2"/>
  <c r="F76" i="2" l="1"/>
  <c r="G76" i="2" s="1"/>
  <c r="D77" i="2" s="1"/>
  <c r="AB77" i="2" s="1"/>
  <c r="AC77" i="2" s="1"/>
  <c r="T76" i="2"/>
  <c r="V76" i="2" s="1"/>
  <c r="P77" i="2"/>
  <c r="R77" i="2" s="1"/>
  <c r="AD76" i="2"/>
  <c r="AE75" i="2"/>
  <c r="AA75" i="2"/>
  <c r="U75" i="2" s="1"/>
  <c r="W75" i="2" s="1"/>
  <c r="S77" i="2" l="1"/>
  <c r="H76" i="2"/>
  <c r="J76" i="2" s="1"/>
  <c r="Y76" i="2"/>
  <c r="Z76" i="2" s="1"/>
  <c r="L75" i="2"/>
  <c r="M75" i="2" s="1"/>
  <c r="F77" i="2"/>
  <c r="I76" i="2" l="1"/>
  <c r="K76" i="2" s="1"/>
  <c r="T77" i="2"/>
  <c r="V77" i="2" s="1"/>
  <c r="P78" i="2"/>
  <c r="R78" i="2" s="1"/>
  <c r="AD77" i="2"/>
  <c r="G77" i="2"/>
  <c r="D78" i="2" s="1"/>
  <c r="AB78" i="2" s="1"/>
  <c r="AC78" i="2" s="1"/>
  <c r="AE76" i="2"/>
  <c r="AA76" i="2"/>
  <c r="U76" i="2" s="1"/>
  <c r="W76" i="2" s="1"/>
  <c r="S78" i="2" l="1"/>
  <c r="H77" i="2"/>
  <c r="J77" i="2" s="1"/>
  <c r="Y77" i="2"/>
  <c r="Z77" i="2" s="1"/>
  <c r="L76" i="2"/>
  <c r="M76" i="2" s="1"/>
  <c r="F78" i="2"/>
  <c r="I77" i="2" l="1"/>
  <c r="K77" i="2" s="1"/>
  <c r="P79" i="2"/>
  <c r="R79" i="2" s="1"/>
  <c r="T78" i="2"/>
  <c r="V78" i="2" s="1"/>
  <c r="AD78" i="2"/>
  <c r="G78" i="2"/>
  <c r="H78" i="2" s="1"/>
  <c r="AE77" i="2"/>
  <c r="AA77" i="2"/>
  <c r="U77" i="2" s="1"/>
  <c r="W77" i="2" s="1"/>
  <c r="S79" i="2" l="1"/>
  <c r="D79" i="2"/>
  <c r="AB79" i="2" s="1"/>
  <c r="AC79" i="2" s="1"/>
  <c r="Y78" i="2"/>
  <c r="Z78" i="2" s="1"/>
  <c r="L77" i="2"/>
  <c r="M77" i="2" s="1"/>
  <c r="J78" i="2"/>
  <c r="I78" i="2"/>
  <c r="K78" i="2" s="1"/>
  <c r="F79" i="2" l="1"/>
  <c r="G79" i="2" s="1"/>
  <c r="Y79" i="2" s="1"/>
  <c r="P80" i="2"/>
  <c r="R80" i="2" s="1"/>
  <c r="T79" i="2"/>
  <c r="V79" i="2" s="1"/>
  <c r="AD79" i="2"/>
  <c r="AE78" i="2"/>
  <c r="AA78" i="2"/>
  <c r="U78" i="2" s="1"/>
  <c r="W78" i="2" s="1"/>
  <c r="S80" i="2" l="1"/>
  <c r="H79" i="2"/>
  <c r="I79" i="2" s="1"/>
  <c r="K79" i="2" s="1"/>
  <c r="D80" i="2"/>
  <c r="L78" i="2"/>
  <c r="M78" i="2" s="1"/>
  <c r="Z79" i="2"/>
  <c r="J79" i="2" l="1"/>
  <c r="F80" i="2"/>
  <c r="G80" i="2" s="1"/>
  <c r="D81" i="2" s="1"/>
  <c r="AB81" i="2" s="1"/>
  <c r="AC81" i="2" s="1"/>
  <c r="AB80" i="2"/>
  <c r="AC80" i="2" s="1"/>
  <c r="AD80" i="2" s="1"/>
  <c r="P81" i="2"/>
  <c r="R81" i="2" s="1"/>
  <c r="T80" i="2"/>
  <c r="V80" i="2" s="1"/>
  <c r="AE79" i="2"/>
  <c r="AA79" i="2"/>
  <c r="U79" i="2" s="1"/>
  <c r="W79" i="2" s="1"/>
  <c r="S81" i="2" l="1"/>
  <c r="H80" i="2"/>
  <c r="I80" i="2" s="1"/>
  <c r="K80" i="2" s="1"/>
  <c r="Y80" i="2"/>
  <c r="Z80" i="2" s="1"/>
  <c r="L79" i="2"/>
  <c r="M79" i="2" s="1"/>
  <c r="F81" i="2"/>
  <c r="J80" i="2" l="1"/>
  <c r="P82" i="2"/>
  <c r="R82" i="2" s="1"/>
  <c r="T81" i="2"/>
  <c r="V81" i="2" s="1"/>
  <c r="AD81" i="2"/>
  <c r="G81" i="2"/>
  <c r="H81" i="2" s="1"/>
  <c r="AE80" i="2"/>
  <c r="AA80" i="2"/>
  <c r="U80" i="2" s="1"/>
  <c r="W80" i="2" s="1"/>
  <c r="S82" i="2" l="1"/>
  <c r="D82" i="2"/>
  <c r="AB82" i="2" s="1"/>
  <c r="AC82" i="2" s="1"/>
  <c r="Y81" i="2"/>
  <c r="Z81" i="2" s="1"/>
  <c r="L80" i="2"/>
  <c r="M80" i="2" s="1"/>
  <c r="I81" i="2"/>
  <c r="K81" i="2" s="1"/>
  <c r="J81" i="2"/>
  <c r="F82" i="2" l="1"/>
  <c r="G82" i="2" s="1"/>
  <c r="D83" i="2" s="1"/>
  <c r="AB83" i="2" s="1"/>
  <c r="AC83" i="2" s="1"/>
  <c r="P83" i="2"/>
  <c r="R83" i="2" s="1"/>
  <c r="T82" i="2"/>
  <c r="V82" i="2" s="1"/>
  <c r="AD82" i="2"/>
  <c r="AE81" i="2"/>
  <c r="AA81" i="2"/>
  <c r="U81" i="2" s="1"/>
  <c r="W81" i="2" s="1"/>
  <c r="S83" i="2" l="1"/>
  <c r="H82" i="2"/>
  <c r="J82" i="2" s="1"/>
  <c r="Y82" i="2"/>
  <c r="Z82" i="2" s="1"/>
  <c r="L81" i="2"/>
  <c r="M81" i="2" s="1"/>
  <c r="F83" i="2"/>
  <c r="I82" i="2" l="1"/>
  <c r="K82" i="2" s="1"/>
  <c r="P84" i="2"/>
  <c r="R84" i="2" s="1"/>
  <c r="T83" i="2"/>
  <c r="V83" i="2" s="1"/>
  <c r="AD83" i="2"/>
  <c r="G83" i="2"/>
  <c r="H83" i="2" s="1"/>
  <c r="AE82" i="2"/>
  <c r="AA82" i="2"/>
  <c r="U82" i="2" s="1"/>
  <c r="W82" i="2" s="1"/>
  <c r="S84" i="2" l="1"/>
  <c r="D84" i="2"/>
  <c r="AB84" i="2" s="1"/>
  <c r="AC84" i="2" s="1"/>
  <c r="Y83" i="2"/>
  <c r="Z83" i="2" s="1"/>
  <c r="L82" i="2"/>
  <c r="M82" i="2" s="1"/>
  <c r="J83" i="2"/>
  <c r="I83" i="2"/>
  <c r="K83" i="2" s="1"/>
  <c r="F84" i="2" l="1"/>
  <c r="G84" i="2" s="1"/>
  <c r="H84" i="2" s="1"/>
  <c r="T84" i="2"/>
  <c r="V84" i="2" s="1"/>
  <c r="P85" i="2"/>
  <c r="R85" i="2" s="1"/>
  <c r="AD84" i="2"/>
  <c r="AE83" i="2"/>
  <c r="AA83" i="2"/>
  <c r="U83" i="2" s="1"/>
  <c r="W83" i="2" s="1"/>
  <c r="S85" i="2" l="1"/>
  <c r="D85" i="2"/>
  <c r="AB85" i="2" s="1"/>
  <c r="AC85" i="2" s="1"/>
  <c r="Y84" i="2"/>
  <c r="Z84" i="2" s="1"/>
  <c r="L83" i="2"/>
  <c r="M83" i="2" s="1"/>
  <c r="I84" i="2"/>
  <c r="K84" i="2" s="1"/>
  <c r="J84" i="2"/>
  <c r="F85" i="2" l="1"/>
  <c r="G85" i="2" s="1"/>
  <c r="H85" i="2" s="1"/>
  <c r="P86" i="2"/>
  <c r="R86" i="2" s="1"/>
  <c r="T85" i="2"/>
  <c r="V85" i="2" s="1"/>
  <c r="AD85" i="2"/>
  <c r="AE84" i="2"/>
  <c r="AA84" i="2"/>
  <c r="U84" i="2" s="1"/>
  <c r="W84" i="2" s="1"/>
  <c r="S86" i="2" l="1"/>
  <c r="D86" i="2"/>
  <c r="Y85" i="2"/>
  <c r="Z85" i="2" s="1"/>
  <c r="L84" i="2"/>
  <c r="M84" i="2" s="1"/>
  <c r="I85" i="2"/>
  <c r="K85" i="2" s="1"/>
  <c r="J85" i="2"/>
  <c r="F86" i="2" l="1"/>
  <c r="G86" i="2" s="1"/>
  <c r="D87" i="2" s="1"/>
  <c r="AB87" i="2" s="1"/>
  <c r="AC87" i="2" s="1"/>
  <c r="AB86" i="2"/>
  <c r="AC86" i="2" s="1"/>
  <c r="AD86" i="2" s="1"/>
  <c r="P87" i="2"/>
  <c r="R87" i="2" s="1"/>
  <c r="T86" i="2"/>
  <c r="V86" i="2" s="1"/>
  <c r="AE85" i="2"/>
  <c r="AA85" i="2"/>
  <c r="U85" i="2" s="1"/>
  <c r="W85" i="2" s="1"/>
  <c r="S87" i="2" l="1"/>
  <c r="H86" i="2"/>
  <c r="J86" i="2" s="1"/>
  <c r="Y86" i="2"/>
  <c r="Z86" i="2" s="1"/>
  <c r="L85" i="2"/>
  <c r="M85" i="2" s="1"/>
  <c r="F87" i="2"/>
  <c r="I86" i="2" l="1"/>
  <c r="K86" i="2" s="1"/>
  <c r="P88" i="2"/>
  <c r="R88" i="2" s="1"/>
  <c r="T87" i="2"/>
  <c r="V87" i="2" s="1"/>
  <c r="AD87" i="2"/>
  <c r="G87" i="2"/>
  <c r="H87" i="2" s="1"/>
  <c r="AE86" i="2"/>
  <c r="AA86" i="2"/>
  <c r="U86" i="2" s="1"/>
  <c r="W86" i="2" s="1"/>
  <c r="D88" i="2" l="1"/>
  <c r="AB88" i="2" s="1"/>
  <c r="AC88" i="2" s="1"/>
  <c r="S88" i="2"/>
  <c r="Y87" i="2"/>
  <c r="Z87" i="2" s="1"/>
  <c r="L86" i="2"/>
  <c r="M86" i="2" s="1"/>
  <c r="I87" i="2"/>
  <c r="K87" i="2" s="1"/>
  <c r="J87" i="2"/>
  <c r="F88" i="2" l="1"/>
  <c r="G88" i="2" s="1"/>
  <c r="D89" i="2" s="1"/>
  <c r="AB89" i="2" s="1"/>
  <c r="AC89" i="2" s="1"/>
  <c r="T88" i="2"/>
  <c r="V88" i="2" s="1"/>
  <c r="P89" i="2"/>
  <c r="R89" i="2" s="1"/>
  <c r="AD88" i="2"/>
  <c r="AE87" i="2"/>
  <c r="AA87" i="2"/>
  <c r="U87" i="2" s="1"/>
  <c r="W87" i="2" s="1"/>
  <c r="Y88" i="2" l="1"/>
  <c r="Z88" i="2" s="1"/>
  <c r="S89" i="2"/>
  <c r="H88" i="2"/>
  <c r="J88" i="2" s="1"/>
  <c r="L87" i="2"/>
  <c r="M87" i="2" s="1"/>
  <c r="F89" i="2"/>
  <c r="P90" i="2" l="1"/>
  <c r="R90" i="2" s="1"/>
  <c r="T89" i="2"/>
  <c r="V89" i="2" s="1"/>
  <c r="AD89" i="2"/>
  <c r="I88" i="2"/>
  <c r="K88" i="2" s="1"/>
  <c r="G89" i="2"/>
  <c r="Y89" i="2" s="1"/>
  <c r="AE88" i="2"/>
  <c r="AA88" i="2"/>
  <c r="U88" i="2" s="1"/>
  <c r="W88" i="2" s="1"/>
  <c r="D90" i="2" l="1"/>
  <c r="AB90" i="2" s="1"/>
  <c r="AC90" i="2" s="1"/>
  <c r="H89" i="2"/>
  <c r="J89" i="2" s="1"/>
  <c r="S90" i="2"/>
  <c r="L88" i="2"/>
  <c r="M88" i="2" s="1"/>
  <c r="Z89" i="2"/>
  <c r="F90" i="2" l="1"/>
  <c r="G90" i="2" s="1"/>
  <c r="D91" i="2" s="1"/>
  <c r="AB91" i="2" s="1"/>
  <c r="AC91" i="2" s="1"/>
  <c r="I89" i="2"/>
  <c r="K89" i="2" s="1"/>
  <c r="P91" i="2"/>
  <c r="R91" i="2" s="1"/>
  <c r="T90" i="2"/>
  <c r="V90" i="2" s="1"/>
  <c r="AD90" i="2"/>
  <c r="AE89" i="2"/>
  <c r="AA89" i="2"/>
  <c r="U89" i="2" s="1"/>
  <c r="W89" i="2" s="1"/>
  <c r="S91" i="2" l="1"/>
  <c r="Y90" i="2"/>
  <c r="Z90" i="2" s="1"/>
  <c r="H90" i="2"/>
  <c r="J90" i="2" s="1"/>
  <c r="L89" i="2"/>
  <c r="M89" i="2" s="1"/>
  <c r="F91" i="2"/>
  <c r="I90" i="2" l="1"/>
  <c r="K90" i="2" s="1"/>
  <c r="T91" i="2"/>
  <c r="V91" i="2" s="1"/>
  <c r="P92" i="2"/>
  <c r="R92" i="2" s="1"/>
  <c r="AD91" i="2"/>
  <c r="G91" i="2"/>
  <c r="D92" i="2" s="1"/>
  <c r="AB92" i="2" s="1"/>
  <c r="AC92" i="2" s="1"/>
  <c r="AE90" i="2"/>
  <c r="AA90" i="2"/>
  <c r="U90" i="2" s="1"/>
  <c r="W90" i="2" s="1"/>
  <c r="Y91" i="2" l="1"/>
  <c r="Z91" i="2" s="1"/>
  <c r="H91" i="2"/>
  <c r="I91" i="2" s="1"/>
  <c r="K91" i="2" s="1"/>
  <c r="S92" i="2"/>
  <c r="L90" i="2"/>
  <c r="M90" i="2" s="1"/>
  <c r="F92" i="2"/>
  <c r="J91" i="2" l="1"/>
  <c r="T92" i="2"/>
  <c r="V92" i="2" s="1"/>
  <c r="P93" i="2"/>
  <c r="R93" i="2" s="1"/>
  <c r="AD92" i="2"/>
  <c r="G92" i="2"/>
  <c r="H92" i="2" s="1"/>
  <c r="AE91" i="2"/>
  <c r="AA91" i="2"/>
  <c r="U91" i="2" s="1"/>
  <c r="W91" i="2" s="1"/>
  <c r="Y92" i="2" l="1"/>
  <c r="Z92" i="2" s="1"/>
  <c r="D93" i="2"/>
  <c r="AB93" i="2" s="1"/>
  <c r="AC93" i="2" s="1"/>
  <c r="S93" i="2"/>
  <c r="L91" i="2"/>
  <c r="M91" i="2" s="1"/>
  <c r="I92" i="2"/>
  <c r="K92" i="2" s="1"/>
  <c r="J92" i="2"/>
  <c r="F93" i="2" l="1"/>
  <c r="G93" i="2" s="1"/>
  <c r="H93" i="2" s="1"/>
  <c r="P94" i="2"/>
  <c r="R94" i="2" s="1"/>
  <c r="T93" i="2"/>
  <c r="V93" i="2" s="1"/>
  <c r="AD93" i="2"/>
  <c r="AE92" i="2"/>
  <c r="AA92" i="2"/>
  <c r="U92" i="2" s="1"/>
  <c r="W92" i="2" s="1"/>
  <c r="Y93" i="2" l="1"/>
  <c r="Z93" i="2" s="1"/>
  <c r="D94" i="2"/>
  <c r="AB94" i="2" s="1"/>
  <c r="AC94" i="2" s="1"/>
  <c r="S94" i="2"/>
  <c r="L92" i="2"/>
  <c r="M92" i="2" s="1"/>
  <c r="I93" i="2"/>
  <c r="K93" i="2" s="1"/>
  <c r="J93" i="2"/>
  <c r="F94" i="2" l="1"/>
  <c r="G94" i="2" s="1"/>
  <c r="Y94" i="2" s="1"/>
  <c r="P95" i="2"/>
  <c r="R95" i="2" s="1"/>
  <c r="T94" i="2"/>
  <c r="V94" i="2" s="1"/>
  <c r="AD94" i="2"/>
  <c r="AE93" i="2"/>
  <c r="AA93" i="2"/>
  <c r="U93" i="2" s="1"/>
  <c r="W93" i="2" s="1"/>
  <c r="H94" i="2" l="1"/>
  <c r="I94" i="2" s="1"/>
  <c r="K94" i="2" s="1"/>
  <c r="D95" i="2"/>
  <c r="AB95" i="2" s="1"/>
  <c r="AC95" i="2" s="1"/>
  <c r="S95" i="2"/>
  <c r="L93" i="2"/>
  <c r="M93" i="2" s="1"/>
  <c r="Z94" i="2"/>
  <c r="J94" i="2" l="1"/>
  <c r="F95" i="2"/>
  <c r="G95" i="2" s="1"/>
  <c r="D96" i="2" s="1"/>
  <c r="AB96" i="2" s="1"/>
  <c r="AC96" i="2" s="1"/>
  <c r="P96" i="2"/>
  <c r="R96" i="2" s="1"/>
  <c r="T95" i="2"/>
  <c r="V95" i="2" s="1"/>
  <c r="AD95" i="2"/>
  <c r="AE94" i="2"/>
  <c r="AA94" i="2"/>
  <c r="U94" i="2" s="1"/>
  <c r="W94" i="2" s="1"/>
  <c r="H95" i="2" l="1"/>
  <c r="J95" i="2" s="1"/>
  <c r="S96" i="2"/>
  <c r="Y95" i="2"/>
  <c r="Z95" i="2" s="1"/>
  <c r="L94" i="2"/>
  <c r="M94" i="2" s="1"/>
  <c r="F96" i="2"/>
  <c r="I95" i="2" l="1"/>
  <c r="K95" i="2" s="1"/>
  <c r="P97" i="2"/>
  <c r="R97" i="2" s="1"/>
  <c r="T96" i="2"/>
  <c r="V96" i="2" s="1"/>
  <c r="AD96" i="2"/>
  <c r="G96" i="2"/>
  <c r="D97" i="2" s="1"/>
  <c r="AB97" i="2" s="1"/>
  <c r="AC97" i="2" s="1"/>
  <c r="AE95" i="2"/>
  <c r="AA95" i="2"/>
  <c r="U95" i="2" s="1"/>
  <c r="W95" i="2" s="1"/>
  <c r="S97" i="2" l="1"/>
  <c r="Y96" i="2"/>
  <c r="Z96" i="2" s="1"/>
  <c r="H96" i="2"/>
  <c r="I96" i="2" s="1"/>
  <c r="K96" i="2" s="1"/>
  <c r="L95" i="2"/>
  <c r="M95" i="2" s="1"/>
  <c r="F97" i="2"/>
  <c r="P98" i="2" l="1"/>
  <c r="R98" i="2" s="1"/>
  <c r="T97" i="2"/>
  <c r="V97" i="2" s="1"/>
  <c r="AD97" i="2"/>
  <c r="J96" i="2"/>
  <c r="G97" i="2"/>
  <c r="D98" i="2" s="1"/>
  <c r="AB98" i="2" s="1"/>
  <c r="AC98" i="2" s="1"/>
  <c r="AE96" i="2"/>
  <c r="AA96" i="2"/>
  <c r="U96" i="2" s="1"/>
  <c r="W96" i="2" s="1"/>
  <c r="Y97" i="2" l="1"/>
  <c r="Z97" i="2" s="1"/>
  <c r="H97" i="2"/>
  <c r="J97" i="2" s="1"/>
  <c r="S98" i="2"/>
  <c r="L96" i="2"/>
  <c r="M96" i="2" s="1"/>
  <c r="F98" i="2"/>
  <c r="I97" i="2" l="1"/>
  <c r="K97" i="2" s="1"/>
  <c r="T98" i="2"/>
  <c r="V98" i="2" s="1"/>
  <c r="P99" i="2"/>
  <c r="R99" i="2" s="1"/>
  <c r="AD98" i="2"/>
  <c r="G98" i="2"/>
  <c r="H98" i="2" s="1"/>
  <c r="AE97" i="2"/>
  <c r="AA97" i="2"/>
  <c r="U97" i="2" s="1"/>
  <c r="W97" i="2" s="1"/>
  <c r="D99" i="2" l="1"/>
  <c r="AB99" i="2" s="1"/>
  <c r="AC99" i="2" s="1"/>
  <c r="S99" i="2"/>
  <c r="Y98" i="2"/>
  <c r="Z98" i="2" s="1"/>
  <c r="L97" i="2"/>
  <c r="M97" i="2" s="1"/>
  <c r="I98" i="2"/>
  <c r="K98" i="2" s="1"/>
  <c r="J98" i="2"/>
  <c r="F99" i="2" l="1"/>
  <c r="G99" i="2" s="1"/>
  <c r="D100" i="2" s="1"/>
  <c r="AB100" i="2" s="1"/>
  <c r="AC100" i="2" s="1"/>
  <c r="P100" i="2"/>
  <c r="R100" i="2" s="1"/>
  <c r="T99" i="2"/>
  <c r="V99" i="2" s="1"/>
  <c r="AD99" i="2"/>
  <c r="AA98" i="2"/>
  <c r="U98" i="2" s="1"/>
  <c r="W98" i="2" s="1"/>
  <c r="AE98" i="2"/>
  <c r="Y99" i="2" l="1"/>
  <c r="Z99" i="2" s="1"/>
  <c r="H99" i="2"/>
  <c r="I99" i="2" s="1"/>
  <c r="K99" i="2" s="1"/>
  <c r="S100" i="2"/>
  <c r="L98" i="2"/>
  <c r="M98" i="2" s="1"/>
  <c r="F100" i="2"/>
  <c r="J99" i="2" l="1"/>
  <c r="T100" i="2"/>
  <c r="V100" i="2" s="1"/>
  <c r="P101" i="2"/>
  <c r="R101" i="2" s="1"/>
  <c r="AD100" i="2"/>
  <c r="G100" i="2"/>
  <c r="D101" i="2" s="1"/>
  <c r="AB101" i="2" s="1"/>
  <c r="AC101" i="2" s="1"/>
  <c r="AE99" i="2"/>
  <c r="AA99" i="2"/>
  <c r="U99" i="2" s="1"/>
  <c r="W99" i="2" s="1"/>
  <c r="S101" i="2" l="1"/>
  <c r="Y100" i="2"/>
  <c r="Z100" i="2" s="1"/>
  <c r="H100" i="2"/>
  <c r="J100" i="2" s="1"/>
  <c r="L99" i="2"/>
  <c r="M99" i="2" s="1"/>
  <c r="F101" i="2"/>
  <c r="T101" i="2" l="1"/>
  <c r="V101" i="2" s="1"/>
  <c r="P102" i="2"/>
  <c r="R102" i="2" s="1"/>
  <c r="I100" i="2"/>
  <c r="K100" i="2" s="1"/>
  <c r="AD101" i="2"/>
  <c r="G101" i="2"/>
  <c r="D102" i="2" s="1"/>
  <c r="AB102" i="2" s="1"/>
  <c r="AC102" i="2" s="1"/>
  <c r="AE100" i="2"/>
  <c r="AA100" i="2"/>
  <c r="U100" i="2" s="1"/>
  <c r="W100" i="2" s="1"/>
  <c r="S102" i="2" l="1"/>
  <c r="H101" i="2"/>
  <c r="J101" i="2" s="1"/>
  <c r="Y101" i="2"/>
  <c r="Z101" i="2" s="1"/>
  <c r="L100" i="2"/>
  <c r="M100" i="2" s="1"/>
  <c r="F102" i="2"/>
  <c r="I101" i="2" l="1"/>
  <c r="K101" i="2" s="1"/>
  <c r="P103" i="2"/>
  <c r="R103" i="2" s="1"/>
  <c r="T102" i="2"/>
  <c r="V102" i="2" s="1"/>
  <c r="AD102" i="2"/>
  <c r="G102" i="2"/>
  <c r="H102" i="2" s="1"/>
  <c r="AE101" i="2"/>
  <c r="AA101" i="2"/>
  <c r="U101" i="2" s="1"/>
  <c r="W101" i="2" s="1"/>
  <c r="S103" i="2" l="1"/>
  <c r="D103" i="2"/>
  <c r="AB103" i="2" s="1"/>
  <c r="AC103" i="2" s="1"/>
  <c r="Y102" i="2"/>
  <c r="Z102" i="2" s="1"/>
  <c r="L101" i="2"/>
  <c r="M101" i="2" s="1"/>
  <c r="J102" i="2"/>
  <c r="I102" i="2"/>
  <c r="K102" i="2" s="1"/>
  <c r="F103" i="2" l="1"/>
  <c r="G103" i="2" s="1"/>
  <c r="D104" i="2" s="1"/>
  <c r="AB104" i="2" s="1"/>
  <c r="AC104" i="2" s="1"/>
  <c r="T103" i="2"/>
  <c r="V103" i="2" s="1"/>
  <c r="P104" i="2"/>
  <c r="R104" i="2" s="1"/>
  <c r="AD103" i="2"/>
  <c r="AE102" i="2"/>
  <c r="AA102" i="2"/>
  <c r="U102" i="2" s="1"/>
  <c r="W102" i="2" s="1"/>
  <c r="H103" i="2" l="1"/>
  <c r="J103" i="2" s="1"/>
  <c r="S104" i="2"/>
  <c r="Y103" i="2"/>
  <c r="Z103" i="2" s="1"/>
  <c r="L102" i="2"/>
  <c r="M102" i="2" s="1"/>
  <c r="F104" i="2"/>
  <c r="I103" i="2" l="1"/>
  <c r="K103" i="2" s="1"/>
  <c r="P105" i="2"/>
  <c r="R105" i="2" s="1"/>
  <c r="T104" i="2"/>
  <c r="V104" i="2" s="1"/>
  <c r="AD104" i="2"/>
  <c r="G104" i="2"/>
  <c r="H104" i="2" s="1"/>
  <c r="AE103" i="2"/>
  <c r="AA103" i="2"/>
  <c r="U103" i="2" s="1"/>
  <c r="W103" i="2" s="1"/>
  <c r="D105" i="2" l="1"/>
  <c r="AB105" i="2" s="1"/>
  <c r="AC105" i="2" s="1"/>
  <c r="S105" i="2"/>
  <c r="Y104" i="2"/>
  <c r="Z104" i="2" s="1"/>
  <c r="L103" i="2"/>
  <c r="M103" i="2" s="1"/>
  <c r="I104" i="2"/>
  <c r="K104" i="2" s="1"/>
  <c r="J104" i="2"/>
  <c r="F105" i="2" l="1"/>
  <c r="G105" i="2" s="1"/>
  <c r="H105" i="2" s="1"/>
  <c r="P106" i="2"/>
  <c r="R106" i="2" s="1"/>
  <c r="T105" i="2"/>
  <c r="V105" i="2" s="1"/>
  <c r="AD105" i="2"/>
  <c r="AE104" i="2"/>
  <c r="AA104" i="2"/>
  <c r="U104" i="2" s="1"/>
  <c r="W104" i="2" s="1"/>
  <c r="D106" i="2" l="1"/>
  <c r="AB106" i="2" s="1"/>
  <c r="AC106" i="2" s="1"/>
  <c r="S106" i="2"/>
  <c r="Y105" i="2"/>
  <c r="Z105" i="2" s="1"/>
  <c r="L104" i="2"/>
  <c r="M104" i="2" s="1"/>
  <c r="I105" i="2"/>
  <c r="K105" i="2" s="1"/>
  <c r="J105" i="2"/>
  <c r="F106" i="2" l="1"/>
  <c r="G106" i="2" s="1"/>
  <c r="H106" i="2" s="1"/>
  <c r="P107" i="2"/>
  <c r="R107" i="2" s="1"/>
  <c r="T106" i="2"/>
  <c r="V106" i="2" s="1"/>
  <c r="AD106" i="2"/>
  <c r="AE105" i="2"/>
  <c r="AA105" i="2"/>
  <c r="U105" i="2" s="1"/>
  <c r="W105" i="2" s="1"/>
  <c r="S107" i="2" l="1"/>
  <c r="D107" i="2"/>
  <c r="AB107" i="2" s="1"/>
  <c r="AC107" i="2" s="1"/>
  <c r="Y106" i="2"/>
  <c r="Z106" i="2" s="1"/>
  <c r="L105" i="2"/>
  <c r="M105" i="2" s="1"/>
  <c r="J106" i="2"/>
  <c r="I106" i="2"/>
  <c r="K106" i="2" s="1"/>
  <c r="F107" i="2" l="1"/>
  <c r="G107" i="2" s="1"/>
  <c r="D108" i="2" s="1"/>
  <c r="AB108" i="2" s="1"/>
  <c r="AC108" i="2" s="1"/>
  <c r="P108" i="2"/>
  <c r="R108" i="2" s="1"/>
  <c r="T107" i="2"/>
  <c r="V107" i="2" s="1"/>
  <c r="AD107" i="2"/>
  <c r="AE106" i="2"/>
  <c r="AA106" i="2"/>
  <c r="U106" i="2" s="1"/>
  <c r="W106" i="2" s="1"/>
  <c r="H107" i="2" l="1"/>
  <c r="I107" i="2" s="1"/>
  <c r="K107" i="2" s="1"/>
  <c r="S108" i="2"/>
  <c r="Y107" i="2"/>
  <c r="Z107" i="2" s="1"/>
  <c r="L106" i="2"/>
  <c r="M106" i="2" s="1"/>
  <c r="F108" i="2"/>
  <c r="J107" i="2" l="1"/>
  <c r="T108" i="2"/>
  <c r="V108" i="2" s="1"/>
  <c r="P109" i="2"/>
  <c r="R109" i="2" s="1"/>
  <c r="AD108" i="2"/>
  <c r="G108" i="2"/>
  <c r="H108" i="2" s="1"/>
  <c r="AE107" i="2"/>
  <c r="AA107" i="2"/>
  <c r="U107" i="2" s="1"/>
  <c r="W107" i="2" s="1"/>
  <c r="D109" i="2" l="1"/>
  <c r="AB109" i="2" s="1"/>
  <c r="AC109" i="2" s="1"/>
  <c r="S109" i="2"/>
  <c r="Y108" i="2"/>
  <c r="Z108" i="2" s="1"/>
  <c r="L107" i="2"/>
  <c r="M107" i="2" s="1"/>
  <c r="I108" i="2"/>
  <c r="K108" i="2" s="1"/>
  <c r="J108" i="2"/>
  <c r="F109" i="2" l="1"/>
  <c r="G109" i="2" s="1"/>
  <c r="D110" i="2" s="1"/>
  <c r="AB110" i="2" s="1"/>
  <c r="AC110" i="2" s="1"/>
  <c r="T109" i="2"/>
  <c r="V109" i="2" s="1"/>
  <c r="P110" i="2"/>
  <c r="AD109" i="2"/>
  <c r="AE108" i="2"/>
  <c r="AA108" i="2"/>
  <c r="U108" i="2" s="1"/>
  <c r="W108" i="2" s="1"/>
  <c r="Y109" i="2" l="1"/>
  <c r="Z109" i="2" s="1"/>
  <c r="R110" i="2"/>
  <c r="S110" i="2" s="1"/>
  <c r="P1" i="2"/>
  <c r="H109" i="2"/>
  <c r="I109" i="2" s="1"/>
  <c r="K109" i="2" s="1"/>
  <c r="L108" i="2"/>
  <c r="M108" i="2" s="1"/>
  <c r="F110" i="2"/>
  <c r="D1" i="2"/>
  <c r="J109" i="2" l="1"/>
  <c r="T110" i="2"/>
  <c r="S1" i="2"/>
  <c r="R1" i="2"/>
  <c r="AD110" i="2"/>
  <c r="F1" i="2"/>
  <c r="AE109" i="2"/>
  <c r="AA109" i="2"/>
  <c r="U109" i="2" s="1"/>
  <c r="W109" i="2" s="1"/>
  <c r="G110" i="2"/>
  <c r="V110" i="2" l="1"/>
  <c r="V1" i="2" s="1"/>
  <c r="G4" i="2" s="1"/>
  <c r="T1" i="2"/>
  <c r="D4" i="2" s="1"/>
  <c r="L109" i="2"/>
  <c r="M109" i="2" s="1"/>
  <c r="H110" i="2"/>
  <c r="G1" i="2"/>
  <c r="Y110" i="2"/>
  <c r="Z110" i="2" l="1"/>
  <c r="I110" i="2"/>
  <c r="J110" i="2"/>
  <c r="J1" i="2" s="1"/>
  <c r="G5" i="2" s="1"/>
  <c r="H1" i="2"/>
  <c r="D5" i="2" s="1"/>
  <c r="AE110" i="2" l="1"/>
  <c r="AA110" i="2"/>
  <c r="U110" i="2" s="1"/>
  <c r="W110" i="2" s="1"/>
  <c r="W1" i="2" s="1"/>
  <c r="H4" i="2" s="1"/>
  <c r="K110" i="2"/>
  <c r="K1" i="2" s="1"/>
  <c r="H5" i="2" s="1"/>
  <c r="D27" i="1" s="1"/>
  <c r="I1" i="2"/>
  <c r="E5" i="2" s="1"/>
  <c r="L110" i="2" l="1"/>
  <c r="M110" i="2" s="1"/>
  <c r="M1" i="2" s="1"/>
  <c r="I5" i="2" s="1"/>
  <c r="U1" i="2"/>
  <c r="E4" i="2" s="1"/>
  <c r="L1" i="2" l="1"/>
  <c r="F5" i="2" s="1"/>
</calcChain>
</file>

<file path=xl/comments1.xml><?xml version="1.0" encoding="utf-8"?>
<comments xmlns="http://schemas.openxmlformats.org/spreadsheetml/2006/main">
  <authors>
    <author>masterit</author>
  </authors>
  <commentList>
    <comment ref="G10" authorId="0">
      <text>
        <r>
          <rPr>
            <b/>
            <sz val="9"/>
            <color indexed="81"/>
            <rFont val="Tahoma"/>
            <family val="2"/>
          </rPr>
          <t xml:space="preserve">half-cycle correction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" authorId="0">
      <text>
        <r>
          <rPr>
            <b/>
            <sz val="9"/>
            <color indexed="81"/>
            <rFont val="Tahoma"/>
            <family val="2"/>
          </rPr>
          <t>half-cycle correction</t>
        </r>
      </text>
    </comment>
  </commentList>
</comments>
</file>

<file path=xl/comments2.xml><?xml version="1.0" encoding="utf-8"?>
<comments xmlns="http://schemas.openxmlformats.org/spreadsheetml/2006/main">
  <authors>
    <author>Microsoft Office User</author>
  </authors>
  <commentList>
    <comment ref="D5" authorId="0">
      <text>
        <r>
          <rPr>
            <b/>
            <sz val="10"/>
            <color indexed="81"/>
            <rFont val="Calibri"/>
            <family val="2"/>
          </rPr>
          <t>updated for each cell</t>
        </r>
      </text>
    </comment>
    <comment ref="D15" authorId="0">
      <text>
        <r>
          <rPr>
            <b/>
            <sz val="10"/>
            <color indexed="81"/>
            <rFont val="Calibri"/>
            <family val="2"/>
          </rPr>
          <t>JZ: from fitted line in "population sizes"</t>
        </r>
      </text>
    </comment>
    <comment ref="D17" authorId="0">
      <text>
        <r>
          <rPr>
            <b/>
            <sz val="10"/>
            <color indexed="81"/>
            <rFont val="Calibri"/>
            <family val="2"/>
          </rPr>
          <t>JZ: from the (second) fitted line in "population sizes"</t>
        </r>
      </text>
    </comment>
    <comment ref="D21" authorId="0">
      <text>
        <r>
          <rPr>
            <b/>
            <sz val="10"/>
            <color indexed="81"/>
            <rFont val="Calibri"/>
            <family val="2"/>
          </rPr>
          <t>JZ: "CVD prev"</t>
        </r>
      </text>
    </comment>
  </commentList>
</comments>
</file>

<file path=xl/comments3.xml><?xml version="1.0" encoding="utf-8"?>
<comments xmlns="http://schemas.openxmlformats.org/spreadsheetml/2006/main">
  <authors>
    <author>Microsoft Office User</author>
  </authors>
  <commentList>
    <comment ref="X4" authorId="0">
      <text>
        <r>
          <rPr>
            <b/>
            <sz val="10"/>
            <color indexed="81"/>
            <rFont val="Calibri"/>
            <family val="2"/>
          </rPr>
          <t>JZ:</t>
        </r>
        <r>
          <rPr>
            <sz val="10"/>
            <color indexed="81"/>
            <rFont val="Calibri"/>
            <family val="2"/>
          </rPr>
          <t xml:space="preserve">
pCVD takes on 0 or 1</t>
        </r>
      </text>
    </comment>
    <comment ref="AD5" authorId="0">
      <text>
        <r>
          <rPr>
            <sz val="10"/>
            <color indexed="81"/>
            <rFont val="Calibri"/>
            <family val="2"/>
          </rPr>
          <t xml:space="preserve">JZ:
updated for waning
</t>
        </r>
      </text>
    </comment>
  </commentList>
</comments>
</file>

<file path=xl/comments4.xml><?xml version="1.0" encoding="utf-8"?>
<comments xmlns="http://schemas.openxmlformats.org/spreadsheetml/2006/main">
  <authors>
    <author>Microsoft Office User</author>
  </authors>
  <commentList>
    <comment ref="B4" authorId="0">
      <text>
        <r>
          <rPr>
            <sz val="10"/>
            <color indexed="81"/>
            <rFont val="Calibri"/>
            <family val="2"/>
          </rPr>
          <t>Updated:
New data obtained from the "pop 2014" sheet</t>
        </r>
      </text>
    </comment>
    <comment ref="G24" authorId="0">
      <text>
        <r>
          <rPr>
            <b/>
            <sz val="10"/>
            <color indexed="81"/>
            <rFont val="Calibri"/>
            <family val="2"/>
          </rPr>
          <t xml:space="preserve">JZ:
age 0-9
</t>
        </r>
      </text>
    </comment>
  </commentList>
</comments>
</file>

<file path=xl/comments5.xml><?xml version="1.0" encoding="utf-8"?>
<comments xmlns="http://schemas.openxmlformats.org/spreadsheetml/2006/main">
  <authors>
    <author>Microsoft Office User</author>
  </authors>
  <commentList>
    <comment ref="F2" authorId="0">
      <text>
        <r>
          <rPr>
            <b/>
            <sz val="10"/>
            <color indexed="81"/>
            <rFont val="Calibri"/>
            <family val="2"/>
          </rPr>
          <t>same table as in "Calc QOF Rates"</t>
        </r>
      </text>
    </comment>
    <comment ref="B4" authorId="0">
      <text>
        <r>
          <rPr>
            <sz val="10"/>
            <color indexed="81"/>
            <rFont val="Calibri"/>
            <family val="2"/>
          </rPr>
          <t xml:space="preserve">used in "population sizes"
</t>
        </r>
      </text>
    </comment>
  </commentList>
</comments>
</file>

<file path=xl/comments6.xml><?xml version="1.0" encoding="utf-8"?>
<comments xmlns="http://schemas.openxmlformats.org/spreadsheetml/2006/main">
  <authors>
    <author>Microsoft Office User</author>
  </authors>
  <commentList>
    <comment ref="AE16" authorId="0">
      <text>
        <r>
          <rPr>
            <b/>
            <sz val="10"/>
            <color indexed="81"/>
            <rFont val="Calibri"/>
            <family val="2"/>
          </rPr>
          <t>JZ:</t>
        </r>
        <r>
          <rPr>
            <sz val="10"/>
            <color indexed="81"/>
            <rFont val="Calibri"/>
            <family val="2"/>
          </rPr>
          <t xml:space="preserve">
Goal Seek: set adj delta = 3.68 by changing delta
</t>
        </r>
      </text>
    </comment>
    <comment ref="AE23" authorId="0">
      <text>
        <r>
          <rPr>
            <b/>
            <sz val="10"/>
            <color indexed="81"/>
            <rFont val="Calibri"/>
            <family val="2"/>
          </rPr>
          <t>JZ:</t>
        </r>
        <r>
          <rPr>
            <sz val="10"/>
            <color indexed="81"/>
            <rFont val="Calibri"/>
            <family val="2"/>
          </rPr>
          <t xml:space="preserve">
Goal Seek: set adj delta = 3.68 by changing delta
</t>
        </r>
      </text>
    </comment>
  </commentList>
</comments>
</file>

<file path=xl/comments7.xml><?xml version="1.0" encoding="utf-8"?>
<comments xmlns="http://schemas.openxmlformats.org/spreadsheetml/2006/main">
  <authors>
    <author>Microsoft Office User</author>
    <author>masterit</author>
  </authors>
  <commentList>
    <comment ref="V5" authorId="0">
      <text>
        <r>
          <rPr>
            <b/>
            <sz val="10"/>
            <color indexed="81"/>
            <rFont val="Calibri"/>
            <family val="2"/>
          </rPr>
          <t>JZ:</t>
        </r>
        <r>
          <rPr>
            <sz val="10"/>
            <color indexed="81"/>
            <rFont val="Calibri"/>
            <family val="2"/>
          </rPr>
          <t xml:space="preserve">
Updated --&gt; now 2014 data</t>
        </r>
      </text>
    </comment>
    <comment ref="Y8" authorId="1">
      <text>
        <r>
          <rPr>
            <b/>
            <sz val="9"/>
            <color indexed="81"/>
            <rFont val="Tahoma"/>
            <family val="2"/>
          </rPr>
          <t xml:space="preserve">not included per CVD modeling convention (ICD-9 codes I20-25; I60-69)
</t>
        </r>
      </text>
    </comment>
    <comment ref="Z8" authorId="1">
      <text>
        <r>
          <rPr>
            <b/>
            <sz val="9"/>
            <color indexed="81"/>
            <rFont val="Tahoma"/>
            <family val="2"/>
          </rPr>
          <t>divide by two because "2013/14" implies two years of data collection</t>
        </r>
      </text>
    </comment>
    <comment ref="Z14" authorId="0">
      <text>
        <r>
          <rPr>
            <b/>
            <sz val="10"/>
            <color indexed="81"/>
            <rFont val="Calibri"/>
            <family val="2"/>
          </rPr>
          <t>JZ: Non-fatal CVD multiplier</t>
        </r>
      </text>
    </comment>
    <comment ref="V29" authorId="1">
      <text>
        <r>
          <rPr>
            <b/>
            <sz val="9"/>
            <color indexed="81"/>
            <rFont val="Tahoma"/>
            <family val="2"/>
          </rPr>
          <t>alternative approach and source for fatal/non-fatal ratio</t>
        </r>
      </text>
    </comment>
  </commentList>
</comments>
</file>

<file path=xl/sharedStrings.xml><?xml version="1.0" encoding="utf-8"?>
<sst xmlns="http://schemas.openxmlformats.org/spreadsheetml/2006/main" count="1331" uniqueCount="378">
  <si>
    <t>Parameter</t>
  </si>
  <si>
    <t>var name</t>
  </si>
  <si>
    <t>Base-case value</t>
  </si>
  <si>
    <t>Low value</t>
  </si>
  <si>
    <t>Std dev</t>
  </si>
  <si>
    <t>High value</t>
  </si>
  <si>
    <t>Source</t>
  </si>
  <si>
    <t>Notes</t>
  </si>
  <si>
    <t>Subgroup:</t>
  </si>
  <si>
    <t>X</t>
  </si>
  <si>
    <t>Starting</t>
  </si>
  <si>
    <t>Died</t>
  </si>
  <si>
    <t>Entering?</t>
  </si>
  <si>
    <t>Cycle</t>
  </si>
  <si>
    <t>LYs</t>
  </si>
  <si>
    <t>QALYs</t>
  </si>
  <si>
    <t xml:space="preserve">disc LYs </t>
  </si>
  <si>
    <t>disc QALYs</t>
  </si>
  <si>
    <t>age</t>
  </si>
  <si>
    <t>lx</t>
  </si>
  <si>
    <t>qx</t>
  </si>
  <si>
    <t>ex</t>
  </si>
  <si>
    <t>males</t>
  </si>
  <si>
    <t>females</t>
  </si>
  <si>
    <t>qx_m</t>
  </si>
  <si>
    <t>qx_f</t>
  </si>
  <si>
    <t>discount rate</t>
  </si>
  <si>
    <t>QOF mortality benefit</t>
  </si>
  <si>
    <t>QOF cost</t>
  </si>
  <si>
    <t>qx_comb</t>
  </si>
  <si>
    <t>% male</t>
  </si>
  <si>
    <t>pmale</t>
  </si>
  <si>
    <t>DiscRate</t>
  </si>
  <si>
    <t>The QOFst Effectiveness Model</t>
  </si>
  <si>
    <t>Quality of life</t>
  </si>
  <si>
    <t>util</t>
  </si>
  <si>
    <t>Ending</t>
  </si>
  <si>
    <t>Non-QOF</t>
  </si>
  <si>
    <t>QOF</t>
  </si>
  <si>
    <t>delta</t>
  </si>
  <si>
    <t>Life years</t>
  </si>
  <si>
    <t>Costs</t>
  </si>
  <si>
    <t xml:space="preserve">Disc LYs </t>
  </si>
  <si>
    <t>Disc QALYs</t>
  </si>
  <si>
    <t>Disc Costs</t>
  </si>
  <si>
    <t>ICER</t>
  </si>
  <si>
    <t>--</t>
  </si>
  <si>
    <t>NICE recc</t>
  </si>
  <si>
    <t>rate_m</t>
  </si>
  <si>
    <t>rate_f</t>
  </si>
  <si>
    <t>updated_qx_m</t>
  </si>
  <si>
    <t>updated_qx_f</t>
  </si>
  <si>
    <t>updated_qx_comb</t>
  </si>
  <si>
    <t>QOFrate</t>
  </si>
  <si>
    <t>Ryan 2016</t>
  </si>
  <si>
    <t>Age</t>
  </si>
  <si>
    <t>pMale</t>
  </si>
  <si>
    <t>pCVD</t>
  </si>
  <si>
    <t>per-person</t>
  </si>
  <si>
    <t>number of people</t>
  </si>
  <si>
    <t>fff</t>
  </si>
  <si>
    <t>population totals</t>
  </si>
  <si>
    <t>totals</t>
  </si>
  <si>
    <t>num cells</t>
  </si>
  <si>
    <t>num inputs</t>
  </si>
  <si>
    <t>num outputs</t>
  </si>
  <si>
    <t>Utility</t>
  </si>
  <si>
    <t>Group 1:</t>
  </si>
  <si>
    <t>Group 2:</t>
  </si>
  <si>
    <t>Group 3:</t>
  </si>
  <si>
    <t>proportion with CVD</t>
  </si>
  <si>
    <t>Group 4 :</t>
  </si>
  <si>
    <t>Group 5:</t>
  </si>
  <si>
    <t>Group 6:</t>
  </si>
  <si>
    <t>Group 7:</t>
  </si>
  <si>
    <t>Group 8:</t>
  </si>
  <si>
    <t>Group X:</t>
  </si>
  <si>
    <t>Default value</t>
  </si>
  <si>
    <t>max cells</t>
  </si>
  <si>
    <t>Ageyr</t>
  </si>
  <si>
    <t>disc Costs</t>
  </si>
  <si>
    <t>QOFcost</t>
  </si>
  <si>
    <t>Source:</t>
  </si>
  <si>
    <t>Row Labels</t>
  </si>
  <si>
    <t xml:space="preserve">Estimated Population 2014 </t>
  </si>
  <si>
    <t xml:space="preserve">Deaths </t>
  </si>
  <si>
    <t>0-4</t>
  </si>
  <si>
    <t>Female</t>
  </si>
  <si>
    <t>Male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</si>
  <si>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</si>
  <si>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</si>
  <si>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</si>
  <si>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</si>
  <si>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</si>
  <si>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</si>
  <si>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</si>
  <si>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</si>
  <si>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</si>
  <si>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</si>
  <si>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</si>
  <si>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</si>
  <si>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</si>
  <si>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</si>
  <si>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n</t>
  </si>
  <si>
    <t>mort rate</t>
  </si>
  <si>
    <t>wt</t>
  </si>
  <si>
    <t>0-39</t>
  </si>
  <si>
    <t>age-adj rate</t>
  </si>
  <si>
    <t>n CVD</t>
  </si>
  <si>
    <t>n no CVD</t>
  </si>
  <si>
    <t>Table 2.8a Prevalence of cardiovascular conditions in men by age, Great Britain 1988-2011</t>
  </si>
  <si>
    <t>%</t>
  </si>
  <si>
    <t>Myocardial infarction</t>
  </si>
  <si>
    <t>16-44</t>
  </si>
  <si>
    <t>*</t>
  </si>
  <si>
    <t>45-64</t>
  </si>
  <si>
    <t>65-74</t>
  </si>
  <si>
    <t>75+</t>
  </si>
  <si>
    <t>All Ages</t>
  </si>
  <si>
    <t>Stroke</t>
  </si>
  <si>
    <t>CVD</t>
  </si>
  <si>
    <t>Notes:</t>
  </si>
  <si>
    <t xml:space="preserve">*  Information is suppressed for low cell count as a measure of disclosure control. </t>
  </si>
  <si>
    <t>Office for National Statistics (2006) 2005 General Household Survey.</t>
  </si>
  <si>
    <t>Office for National Statistics (2007-2012) General Lifestyle Survey 2006-2011.</t>
  </si>
  <si>
    <t>chap2</t>
  </si>
  <si>
    <t>https://www.bhf.org.uk/research/heart-statistics/heart-statistics-publications/cardiovascular-disease-statistics-2015</t>
  </si>
  <si>
    <t>Table 2.8b Prevalence of cardiovascular conditions in women by age, Great Britain 1988-2011</t>
  </si>
  <si>
    <t>m</t>
  </si>
  <si>
    <t>f</t>
  </si>
  <si>
    <t>CVD prev</t>
  </si>
  <si>
    <t>cell</t>
  </si>
  <si>
    <t>N</t>
  </si>
  <si>
    <t>CVD utility</t>
  </si>
  <si>
    <t>uCVD</t>
  </si>
  <si>
    <t>cvd</t>
  </si>
  <si>
    <t>nocvd</t>
  </si>
  <si>
    <t>ref</t>
  </si>
  <si>
    <t>ages 40-44 no CVD</t>
  </si>
  <si>
    <t>ages 45-49 no CVD</t>
  </si>
  <si>
    <t>ages 50-54 no CVD</t>
  </si>
  <si>
    <t>ages 55-59 no CVD</t>
  </si>
  <si>
    <t>60-64 no CVD</t>
  </si>
  <si>
    <t>65-69 no CVD</t>
  </si>
  <si>
    <t>70-74 no CVD</t>
  </si>
  <si>
    <t>40-44 CVD</t>
  </si>
  <si>
    <t>Group 9:</t>
  </si>
  <si>
    <t>45-49 CVD</t>
  </si>
  <si>
    <t>Group 10:</t>
  </si>
  <si>
    <t>50-54 CVD</t>
  </si>
  <si>
    <t>Group 11:</t>
  </si>
  <si>
    <t>55-59 CVD</t>
  </si>
  <si>
    <t>Group 12:</t>
  </si>
  <si>
    <t>60-64 CVD</t>
  </si>
  <si>
    <t>Group 13:</t>
  </si>
  <si>
    <t>65-69 CVD</t>
  </si>
  <si>
    <t>Group 14:</t>
  </si>
  <si>
    <t>70-74 CVD</t>
  </si>
  <si>
    <t>Sullivan 2006</t>
  </si>
  <si>
    <t>British Heart Foundation 2011</t>
  </si>
  <si>
    <t>CVD mort multiplier male</t>
  </si>
  <si>
    <t>CVD mort multiplier female</t>
  </si>
  <si>
    <t>mCVDmort</t>
  </si>
  <si>
    <t>fCVDmort</t>
  </si>
  <si>
    <t>Smolina 2012</t>
  </si>
  <si>
    <t>annual per-person QOF costs *only for those we assumed to be affected by QOF (all aged 40-74 years)</t>
  </si>
  <si>
    <t>CHD mort multipiler; stroke is 2.3 (but not used here)</t>
  </si>
  <si>
    <t>How good is QOF (age-adjusted mortality reduction per 100,000 for ages 0-74)?</t>
  </si>
  <si>
    <t>Lifetime results for starting population in UK ages 40-74 years (through death, no future cohorts added)</t>
  </si>
  <si>
    <t>I'm willing to pay this much per QALY:</t>
  </si>
  <si>
    <t>NMB</t>
  </si>
  <si>
    <t>40-74 years only</t>
  </si>
  <si>
    <t>0-74 years only</t>
  </si>
  <si>
    <t>THESE VALUES ARE USED IN THE 'CELLS' SHEET</t>
  </si>
  <si>
    <t>QOF benefit ages 40-74</t>
  </si>
  <si>
    <t>QOF benefit ages 0-74</t>
  </si>
  <si>
    <t>Increased utilization cost multiplier</t>
  </si>
  <si>
    <t>CostMult</t>
  </si>
  <si>
    <t>Non-fatal CVD multiplier</t>
  </si>
  <si>
    <t>NFCVDMult</t>
  </si>
  <si>
    <t># of more people in pop</t>
  </si>
  <si>
    <t># of people that would have</t>
  </si>
  <si>
    <t>had CVD if not for QOF</t>
  </si>
  <si>
    <t>extra QALYs from non-fatal</t>
  </si>
  <si>
    <t>CVD averted</t>
  </si>
  <si>
    <t>QOF incentives payments (annual, population level, in millions)</t>
  </si>
  <si>
    <t>QOF mortality benefit (age-adjusted mortality reduction per 100,000, for those 0-74 years)</t>
  </si>
  <si>
    <t>What combination of QOF benefits and incentive payments results in a cost-effective outcome?</t>
  </si>
  <si>
    <t>Green = positive net monetary benefit difference (i.e., QOF is cost-effective)</t>
  </si>
  <si>
    <t>Red = negative net monetary benefit difference (i.e., QOF is NOT cost-effective)</t>
  </si>
  <si>
    <t>Lower confidence interval:</t>
  </si>
  <si>
    <t>Upper confidence interval:</t>
  </si>
  <si>
    <t>= base-case value falls in this range</t>
  </si>
  <si>
    <t>mortLCL</t>
  </si>
  <si>
    <t>mortUCL</t>
  </si>
  <si>
    <t>Lower 95% CI benefit</t>
  </si>
  <si>
    <t>Upper 95% CI benefit</t>
  </si>
  <si>
    <t xml:space="preserve">Discounted LYs </t>
  </si>
  <si>
    <t>Discounted QALYs</t>
  </si>
  <si>
    <t>Discounted Costs</t>
  </si>
  <si>
    <t>What is the probability that the QOF is cost-effective?</t>
  </si>
  <si>
    <t>Parameters for PSA</t>
  </si>
  <si>
    <t>Results of PSA</t>
  </si>
  <si>
    <t>Min Cost</t>
  </si>
  <si>
    <t>Cost-Effectiveness Acceptability Curve</t>
  </si>
  <si>
    <t>Based on model:</t>
  </si>
  <si>
    <t>Base-Case</t>
  </si>
  <si>
    <t>Distribution type</t>
  </si>
  <si>
    <t>Current value</t>
  </si>
  <si>
    <t>SD</t>
  </si>
  <si>
    <t>Iteration</t>
  </si>
  <si>
    <t>Max Cost</t>
  </si>
  <si>
    <t>Threshold</t>
  </si>
  <si>
    <t>Fraction</t>
  </si>
  <si>
    <t>Para(#)</t>
  </si>
  <si>
    <t>Number samples:</t>
  </si>
  <si>
    <t>Beta</t>
  </si>
  <si>
    <t>Cost-Effectiveness Line</t>
  </si>
  <si>
    <t>Threshold:</t>
  </si>
  <si>
    <t>PSA</t>
  </si>
  <si>
    <t>IncrEfficacy</t>
  </si>
  <si>
    <t>IncrCost</t>
  </si>
  <si>
    <t>Mean</t>
  </si>
  <si>
    <t>Median</t>
  </si>
  <si>
    <t>CE Threshold Plot Data:</t>
  </si>
  <si>
    <t>Gamma</t>
  </si>
  <si>
    <t>Forced value (vlookup):</t>
  </si>
  <si>
    <t>CEA Curve:</t>
  </si>
  <si>
    <t>Moving Point Based on Threshold:</t>
  </si>
  <si>
    <t>Incremental Costs:</t>
  </si>
  <si>
    <t>Probability</t>
  </si>
  <si>
    <t>ICER(iteration):</t>
  </si>
  <si>
    <t>ScrollBar Threshold:</t>
  </si>
  <si>
    <t>Distribution types:</t>
  </si>
  <si>
    <t>currency symbol:</t>
  </si>
  <si>
    <t>Threshold Value:</t>
  </si>
  <si>
    <t>Moving Boundary Lines:</t>
  </si>
  <si>
    <t>PSA ICERs</t>
  </si>
  <si>
    <t>€</t>
  </si>
  <si>
    <t>Text Description:</t>
  </si>
  <si>
    <t>₤</t>
  </si>
  <si>
    <t>LogNormal</t>
  </si>
  <si>
    <t>Normal</t>
  </si>
  <si>
    <t>$</t>
  </si>
  <si>
    <t>x</t>
  </si>
  <si>
    <t>y</t>
  </si>
  <si>
    <t>Uniform</t>
  </si>
  <si>
    <t>Selected Threshold:</t>
  </si>
  <si>
    <t>ICER Confidence Intervals</t>
  </si>
  <si>
    <t>Interval</t>
  </si>
  <si>
    <t>LCL</t>
  </si>
  <si>
    <t>UCL</t>
  </si>
  <si>
    <t>CEAC CE CI data:</t>
  </si>
  <si>
    <t>CEAC axis</t>
  </si>
  <si>
    <t xml:space="preserve">Probabilistic Sensitivity Analysis Results of Incremental Cost-Effectiveness for the QOF </t>
  </si>
  <si>
    <t>QOF effectiveness</t>
  </si>
  <si>
    <t>QOF Incremental Cost</t>
  </si>
  <si>
    <t>QOF Incremental LYs</t>
  </si>
  <si>
    <t>2-way sensitivity analysis</t>
  </si>
  <si>
    <t>Base-case analysis</t>
  </si>
  <si>
    <t>----------------------------------------------------------------------------------------------------------------------------------------------------------------------------------------------------------------------</t>
  </si>
  <si>
    <t>How much do the QOF incentives cost (per year, population-level)?</t>
  </si>
  <si>
    <t>For every death prevented because of the QOF, I think that there will be this many non-fatal cardiovascular disease events averted (for those &gt;40 years of age):</t>
  </si>
  <si>
    <t>Probabilistic sensitivity analysis (PSA)</t>
  </si>
  <si>
    <t>Willingness-to-pay (i.e., cost-effectiveness threshold):</t>
  </si>
  <si>
    <t>Current QOF benefit draw in the PSA:</t>
  </si>
  <si>
    <t>Current ICER in the PSA:</t>
  </si>
  <si>
    <t>w/o QOF</t>
  </si>
  <si>
    <t>adj delta</t>
  </si>
  <si>
    <t>Do you think the QOF only affects those with disease (CVD) or those with and without disease?</t>
  </si>
  <si>
    <t>Those with and without disease</t>
  </si>
  <si>
    <t>Only those with disease</t>
  </si>
  <si>
    <t>QOF benefit ages 40-74 CVD only</t>
  </si>
  <si>
    <t>ages 40-74 (note whether or not population is limited to those with CVD is address in N sizes for those w/o CVD using IF statements)</t>
  </si>
  <si>
    <t>popsize</t>
  </si>
  <si>
    <t>cvd incidence</t>
  </si>
  <si>
    <t>cvd mortality</t>
  </si>
  <si>
    <t>ratio</t>
  </si>
  <si>
    <t>stroke</t>
  </si>
  <si>
    <t>CHD</t>
  </si>
  <si>
    <t>pdf page 14</t>
  </si>
  <si>
    <t>British Heart Foundation 2014</t>
  </si>
  <si>
    <t>bhf_cvd-statistics-2014_web.pdf</t>
  </si>
  <si>
    <t>ages 0-74 (primary prevention i.e., QOF affects those with and w/o CVD) : NOTE: changing pCVD not really an option here</t>
  </si>
  <si>
    <t>Total</t>
  </si>
  <si>
    <t>total check 
/ popsize</t>
  </si>
  <si>
    <t>w/ QOF</t>
  </si>
  <si>
    <t>Source: ONS</t>
  </si>
  <si>
    <t xml:space="preserve">QOF </t>
  </si>
  <si>
    <t>Non QOF</t>
  </si>
  <si>
    <t>Based on data for the years 2013-2015</t>
  </si>
  <si>
    <t>source: https://www.ons.gov.uk/peoplepopulationandcommunity/birthsdeathsandmarriages/lifeexpectancies/datasets/nationallifetablesunitedkingdomreferencetables</t>
  </si>
  <si>
    <t>2004 population</t>
  </si>
  <si>
    <t>ALL AGES</t>
  </si>
  <si>
    <t>Death</t>
  </si>
  <si>
    <t xml:space="preserve"> ALL AGES 0-74</t>
  </si>
  <si>
    <t>2014 population / QOF</t>
  </si>
  <si>
    <t>adj mort rate</t>
  </si>
  <si>
    <t>mort rate_w/ QOF</t>
  </si>
  <si>
    <t>popualtion weight 2004</t>
  </si>
  <si>
    <t>Affect all 40-74</t>
  </si>
  <si>
    <t xml:space="preserve">Affect 40-74 &amp; CVD </t>
  </si>
  <si>
    <t>mort rate_w/o QOF</t>
  </si>
  <si>
    <t>CVD Prev</t>
  </si>
  <si>
    <t>40-64</t>
  </si>
  <si>
    <t>Affect 40-74 &amp; CVD</t>
  </si>
  <si>
    <t>Total (0-74)</t>
  </si>
  <si>
    <t>sum</t>
  </si>
  <si>
    <t xml:space="preserve">total </t>
  </si>
  <si>
    <t>death</t>
  </si>
  <si>
    <t>check</t>
  </si>
  <si>
    <t>2014 population (w/ QOF)</t>
  </si>
  <si>
    <t>pdf page 62</t>
  </si>
  <si>
    <t>mort rate w/o QOF &amp; w/o CVD</t>
  </si>
  <si>
    <t>Other</t>
  </si>
  <si>
    <t>(QOF - Non-QOF)</t>
  </si>
  <si>
    <t>ONS</t>
  </si>
  <si>
    <t>https://www.ons.gov.uk/peoplepopulationandcommunity/populationandmigration/populationestimates/datasets/populationestimatesforukenglandandwalesscotlandandnorthernireland</t>
  </si>
  <si>
    <t>https://www.ons.gov.uk/peoplepopulationandcommunity/birthsdeathsandmarriages/deaths/datasets/deathregistrationssummarytablesenglandandwalesdeathsbysingleyearofagetables</t>
  </si>
  <si>
    <t>Population Sizes</t>
  </si>
  <si>
    <t>0/1, this is actually determined in the "population sizes" worksheet</t>
  </si>
  <si>
    <t>Util</t>
  </si>
  <si>
    <t>(median EQ5D, UK, from Sullivan et al -- data from MEPS 2000-2003)</t>
  </si>
  <si>
    <t>UK EQ5D value from Sullivan 2006 (acute MI and coronary atherosclerosis/other heart conditions median value)</t>
  </si>
  <si>
    <t>CTT statin efficacy/safety review, Lancet 2005</t>
  </si>
  <si>
    <t>deaths</t>
  </si>
  <si>
    <t>statin</t>
  </si>
  <si>
    <t>placebo</t>
  </si>
  <si>
    <t>diff</t>
  </si>
  <si>
    <t>chd deaths</t>
  </si>
  <si>
    <t xml:space="preserve"> </t>
  </si>
  <si>
    <t>primary CHD endpoint</t>
  </si>
  <si>
    <t xml:space="preserve">non-fatal CHD </t>
  </si>
  <si>
    <t>Is keeping the QOF good value for money?</t>
  </si>
  <si>
    <t>How many years would it take to lose QOF mortality benefit (i.e., how many years after stopping the QOF would it take for the QOF effect to decrease to zero)?</t>
  </si>
  <si>
    <r>
      <t xml:space="preserve">For every </t>
    </r>
    <r>
      <rPr>
        <sz val="11"/>
        <color theme="4" tint="0.79998168889431442"/>
        <rFont val="Calibri"/>
        <family val="2"/>
      </rPr>
      <t>£ spent on QOF incentives, I think that this many additional £s spent on increased utilitization:</t>
    </r>
  </si>
  <si>
    <t>Prob QOF is cost-effective</t>
  </si>
  <si>
    <t>Incremental QALYs:</t>
  </si>
  <si>
    <t>Probability QOF is Cost-Effective vs.</t>
  </si>
  <si>
    <t>No QOF at Alternate Thresholds:</t>
  </si>
  <si>
    <t>QOFDmnt</t>
  </si>
  <si>
    <t>NonQOFDmnt</t>
  </si>
  <si>
    <t>13k</t>
  </si>
  <si>
    <t>20k</t>
  </si>
  <si>
    <t>30k</t>
  </si>
  <si>
    <t>Dom</t>
  </si>
  <si>
    <t>average NHS spend (m/f combined)</t>
  </si>
  <si>
    <t>defaults</t>
  </si>
  <si>
    <t>Table 3: Average annual NHS spend broken down by age and deprivation quintile group 2011/12</t>
  </si>
  <si>
    <t xml:space="preserve">     1,396,843,151</t>
  </si>
  <si>
    <t>2016 ajd</t>
  </si>
  <si>
    <t>cpi 2012</t>
  </si>
  <si>
    <t>cpi 2016</t>
  </si>
  <si>
    <t>iNHB</t>
  </si>
  <si>
    <t>2x</t>
  </si>
  <si>
    <t>NHB</t>
  </si>
  <si>
    <t>Cost of an acute CVD event (1st year of the event):</t>
  </si>
  <si>
    <t>Chronic costs post-CVD event (annual cost all years after 1st year post-CVD event):</t>
  </si>
  <si>
    <t xml:space="preserve">Acute cost of CVD event </t>
  </si>
  <si>
    <t>cCVDacute</t>
  </si>
  <si>
    <t>Chronic cost after CVD event</t>
  </si>
  <si>
    <t>cCVDchronic</t>
  </si>
  <si>
    <t>Walker 2016</t>
  </si>
  <si>
    <t>this is utilty for being in non-CVD state (actually age-based utility table)</t>
  </si>
  <si>
    <t>Sullivan 2011</t>
  </si>
  <si>
    <t>MacBride-Stewart 2008</t>
  </si>
  <si>
    <t>averted costs</t>
  </si>
  <si>
    <t>acute CVD costs</t>
  </si>
  <si>
    <t>chronic CVD costs</t>
  </si>
  <si>
    <t>fatal and non-fatal</t>
  </si>
  <si>
    <t>averted mortality from QOF</t>
  </si>
  <si>
    <t>CVD events averted</t>
  </si>
  <si>
    <t>diff in mort probs*QOF start</t>
  </si>
  <si>
    <t>Acute cost</t>
  </si>
  <si>
    <t>Chronic cost</t>
  </si>
  <si>
    <t>From Walker 2016:</t>
  </si>
  <si>
    <t>2012 cost (from paper)</t>
  </si>
  <si>
    <t>2016 adj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</si>
</sst>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00"/>
    <numFmt numFmtId="165" formatCode="0.0000"/>
    <numFmt numFmtId="166" formatCode="_(* #,##0_);_(* \(#,##0\);_(* &quot;-&quot;??_);_(@_)"/>
    <numFmt numFmtId="167" formatCode="_(* #,##0.0_);_(* \(#,##0.0\);_(* &quot;-&quot;??_);_(@_)"/>
    <numFmt numFmtId="168" formatCode="0.000"/>
    <numFmt numFmtId="169" formatCode="0.0"/>
    <numFmt numFmtId="170" formatCode="_-[$£-809]* #,##0.00_-;\-[$£-809]* #,##0.00_-;_-[$£-809]* &quot;-&quot;??_-;_-@_-"/>
    <numFmt numFmtId="171" formatCode="_-[$£-809]* #,##0_-;\-[$£-809]* #,##0_-;_-[$£-809]* &quot;-&quot;??_-;_-@_-"/>
    <numFmt numFmtId="172" formatCode="&quot;$&quot;#,##0"/>
    <numFmt numFmtId="173" formatCode="0.00000000"/>
    <numFmt numFmtId="174" formatCode="[$£-809]#,##0;\-[$£-809]#,##0"/>
    <numFmt numFmtId="175" formatCode=";;;"/>
    <numFmt numFmtId="176" formatCode="_(&quot;$&quot;* #,##0_);_(&quot;$&quot;* \(#,##0\);_(&quot;$&quot;* &quot;-&quot;??_);_(@_)"/>
    <numFmt numFmtId="177" formatCode="0.0%"/>
    <numFmt numFmtId="178" formatCode="0.000000000"/>
    <numFmt numFmtId="179" formatCode="0.000000"/>
    <numFmt numFmtId="180" formatCode="0.000000_)"/>
    <numFmt numFmtId="181" formatCode="0.0_)"/>
    <numFmt numFmtId="182" formatCode="0.00_)"/>
    <numFmt numFmtId="183" formatCode="_-* #,##0.00_-;\-* #,##0.00_-;_-* &quot;-&quot;??_-;_-@_-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48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i/>
      <sz val="10"/>
      <color theme="9" tint="-0.249977111117893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6"/>
      <name val="Calibri"/>
      <family val="2"/>
      <scheme val="minor"/>
    </font>
    <font>
      <sz val="11"/>
      <color theme="4" tint="0.79998168889431442"/>
      <name val="Calibri"/>
      <family val="2"/>
    </font>
    <font>
      <sz val="2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8"/>
      <color theme="4" tint="0.7999816888943144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81"/>
      <name val="Calibri"/>
      <family val="2"/>
    </font>
    <font>
      <sz val="11"/>
      <color theme="2" tint="-0.249977111117893"/>
      <name val="Calibri"/>
      <family val="2"/>
      <scheme val="minor"/>
    </font>
    <font>
      <sz val="10"/>
      <color indexed="81"/>
      <name val="Calibri"/>
      <family val="2"/>
    </font>
    <font>
      <u/>
      <sz val="11"/>
      <color theme="11"/>
      <name val="Calibri"/>
      <family val="2"/>
      <scheme val="minor"/>
    </font>
    <font>
      <b/>
      <sz val="11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gradientFill degree="225">
        <stop position="0">
          <color theme="4" tint="0.80001220740379042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183" fontId="4" fillId="0" borderId="0" applyFont="0" applyFill="0" applyBorder="0" applyAlignment="0" applyProtection="0"/>
  </cellStyleXfs>
  <cellXfs count="408">
    <xf numFmtId="0" fontId="0" fillId="0" borderId="0" xfId="0"/>
    <xf numFmtId="0" fontId="0" fillId="2" borderId="0" xfId="0" applyFill="1"/>
    <xf numFmtId="0" fontId="2" fillId="3" borderId="0" xfId="0" applyFont="1" applyFill="1"/>
    <xf numFmtId="0" fontId="1" fillId="2" borderId="1" xfId="0" applyFont="1" applyFill="1" applyBorder="1"/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3" xfId="0" applyFill="1" applyBorder="1"/>
    <xf numFmtId="0" fontId="6" fillId="2" borderId="0" xfId="0" applyFont="1" applyFill="1"/>
    <xf numFmtId="0" fontId="8" fillId="2" borderId="0" xfId="0" applyFont="1" applyFill="1"/>
    <xf numFmtId="2" fontId="0" fillId="2" borderId="0" xfId="0" applyNumberFormat="1" applyFill="1" applyAlignment="1">
      <alignment horizontal="center"/>
    </xf>
    <xf numFmtId="2" fontId="10" fillId="2" borderId="3" xfId="0" applyNumberFormat="1" applyFont="1" applyFill="1" applyBorder="1" applyAlignment="1">
      <alignment horizontal="center"/>
    </xf>
    <xf numFmtId="2" fontId="7" fillId="2" borderId="3" xfId="0" applyNumberFormat="1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2" fontId="10" fillId="2" borderId="0" xfId="0" applyNumberFormat="1" applyFont="1" applyFill="1" applyBorder="1" applyAlignment="1">
      <alignment horizontal="center"/>
    </xf>
    <xf numFmtId="2" fontId="7" fillId="2" borderId="0" xfId="0" applyNumberFormat="1" applyFon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0" fontId="1" fillId="2" borderId="8" xfId="0" applyFont="1" applyFill="1" applyBorder="1"/>
    <xf numFmtId="0" fontId="1" fillId="2" borderId="9" xfId="0" applyFont="1" applyFill="1" applyBorder="1"/>
    <xf numFmtId="0" fontId="1" fillId="2" borderId="16" xfId="0" applyFont="1" applyFill="1" applyBorder="1"/>
    <xf numFmtId="0" fontId="0" fillId="2" borderId="16" xfId="0" applyFont="1" applyFill="1" applyBorder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0" fontId="0" fillId="6" borderId="3" xfId="0" applyFill="1" applyBorder="1" applyAlignment="1">
      <alignment horizontal="center"/>
    </xf>
    <xf numFmtId="0" fontId="1" fillId="2" borderId="0" xfId="0" applyFont="1" applyFill="1" applyAlignment="1">
      <alignment horizontal="right"/>
    </xf>
    <xf numFmtId="0" fontId="5" fillId="7" borderId="14" xfId="0" applyFont="1" applyFill="1" applyBorder="1"/>
    <xf numFmtId="0" fontId="5" fillId="7" borderId="20" xfId="0" applyFont="1" applyFill="1" applyBorder="1" applyAlignment="1">
      <alignment horizontal="center"/>
    </xf>
    <xf numFmtId="0" fontId="5" fillId="7" borderId="23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7" borderId="21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/>
    </xf>
    <xf numFmtId="0" fontId="9" fillId="8" borderId="21" xfId="0" applyFont="1" applyFill="1" applyBorder="1" applyAlignment="1">
      <alignment horizontal="center"/>
    </xf>
    <xf numFmtId="0" fontId="9" fillId="8" borderId="22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left"/>
    </xf>
    <xf numFmtId="0" fontId="5" fillId="7" borderId="19" xfId="0" applyFont="1" applyFill="1" applyBorder="1" applyAlignment="1">
      <alignment horizontal="left"/>
    </xf>
    <xf numFmtId="0" fontId="9" fillId="8" borderId="18" xfId="0" applyFont="1" applyFill="1" applyBorder="1" applyAlignment="1">
      <alignment horizontal="left"/>
    </xf>
    <xf numFmtId="0" fontId="9" fillId="8" borderId="19" xfId="0" applyFont="1" applyFill="1" applyBorder="1" applyAlignment="1">
      <alignment horizontal="left"/>
    </xf>
    <xf numFmtId="0" fontId="9" fillId="8" borderId="18" xfId="0" applyFont="1" applyFill="1" applyBorder="1"/>
    <xf numFmtId="0" fontId="9" fillId="8" borderId="26" xfId="0" applyFont="1" applyFill="1" applyBorder="1"/>
    <xf numFmtId="0" fontId="0" fillId="6" borderId="11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166" fontId="8" fillId="6" borderId="10" xfId="1" applyNumberFormat="1" applyFont="1" applyFill="1" applyBorder="1" applyAlignment="1">
      <alignment horizontal="center"/>
    </xf>
    <xf numFmtId="0" fontId="0" fillId="2" borderId="0" xfId="0" applyFont="1" applyFill="1" applyBorder="1"/>
    <xf numFmtId="0" fontId="13" fillId="2" borderId="0" xfId="0" applyFont="1" applyFill="1"/>
    <xf numFmtId="166" fontId="9" fillId="8" borderId="23" xfId="0" applyNumberFormat="1" applyFont="1" applyFill="1" applyBorder="1" applyAlignment="1">
      <alignment horizontal="center"/>
    </xf>
    <xf numFmtId="166" fontId="8" fillId="8" borderId="24" xfId="0" applyNumberFormat="1" applyFont="1" applyFill="1" applyBorder="1"/>
    <xf numFmtId="166" fontId="9" fillId="8" borderId="15" xfId="0" applyNumberFormat="1" applyFont="1" applyFill="1" applyBorder="1" applyAlignment="1">
      <alignment horizontal="center"/>
    </xf>
    <xf numFmtId="166" fontId="8" fillId="8" borderId="12" xfId="0" applyNumberFormat="1" applyFont="1" applyFill="1" applyBorder="1" applyAlignment="1">
      <alignment horizontal="center"/>
    </xf>
    <xf numFmtId="166" fontId="8" fillId="8" borderId="12" xfId="0" applyNumberFormat="1" applyFont="1" applyFill="1" applyBorder="1"/>
    <xf numFmtId="166" fontId="9" fillId="8" borderId="17" xfId="0" applyNumberFormat="1" applyFont="1" applyFill="1" applyBorder="1" applyAlignment="1">
      <alignment horizontal="center"/>
    </xf>
    <xf numFmtId="166" fontId="8" fillId="8" borderId="13" xfId="0" applyNumberFormat="1" applyFont="1" applyFill="1" applyBorder="1"/>
    <xf numFmtId="0" fontId="5" fillId="7" borderId="12" xfId="0" applyFont="1" applyFill="1" applyBorder="1" applyAlignment="1">
      <alignment horizontal="center"/>
    </xf>
    <xf numFmtId="0" fontId="5" fillId="7" borderId="24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166" fontId="8" fillId="8" borderId="28" xfId="1" applyNumberFormat="1" applyFont="1" applyFill="1" applyBorder="1" applyAlignment="1">
      <alignment horizontal="center"/>
    </xf>
    <xf numFmtId="166" fontId="8" fillId="8" borderId="12" xfId="1" applyNumberFormat="1" applyFont="1" applyFill="1" applyBorder="1" applyAlignment="1">
      <alignment horizontal="center"/>
    </xf>
    <xf numFmtId="166" fontId="8" fillId="8" borderId="13" xfId="1" applyNumberFormat="1" applyFont="1" applyFill="1" applyBorder="1" applyAlignment="1">
      <alignment horizontal="center"/>
    </xf>
    <xf numFmtId="166" fontId="8" fillId="8" borderId="29" xfId="0" applyNumberFormat="1" applyFont="1" applyFill="1" applyBorder="1"/>
    <xf numFmtId="166" fontId="8" fillId="8" borderId="30" xfId="0" applyNumberFormat="1" applyFont="1" applyFill="1" applyBorder="1" applyAlignment="1">
      <alignment horizontal="center"/>
    </xf>
    <xf numFmtId="166" fontId="8" fillId="8" borderId="30" xfId="0" applyNumberFormat="1" applyFont="1" applyFill="1" applyBorder="1"/>
    <xf numFmtId="166" fontId="8" fillId="8" borderId="31" xfId="0" applyNumberFormat="1" applyFont="1" applyFill="1" applyBorder="1"/>
    <xf numFmtId="166" fontId="9" fillId="8" borderId="27" xfId="0" applyNumberFormat="1" applyFont="1" applyFill="1" applyBorder="1" applyAlignment="1">
      <alignment horizontal="center"/>
    </xf>
    <xf numFmtId="0" fontId="9" fillId="8" borderId="14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166" fontId="9" fillId="8" borderId="21" xfId="0" applyNumberFormat="1" applyFont="1" applyFill="1" applyBorder="1" applyAlignment="1">
      <alignment horizontal="center"/>
    </xf>
    <xf numFmtId="166" fontId="9" fillId="8" borderId="22" xfId="0" applyNumberFormat="1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0" xfId="0" applyFill="1" applyAlignment="1">
      <alignment horizontal="left"/>
    </xf>
    <xf numFmtId="166" fontId="0" fillId="9" borderId="5" xfId="1" applyNumberFormat="1" applyFont="1" applyFill="1" applyBorder="1" applyAlignment="1">
      <alignment horizontal="center"/>
    </xf>
    <xf numFmtId="166" fontId="0" fillId="9" borderId="3" xfId="1" applyNumberFormat="1" applyFont="1" applyFill="1" applyBorder="1" applyAlignment="1">
      <alignment horizontal="center"/>
    </xf>
    <xf numFmtId="0" fontId="0" fillId="9" borderId="30" xfId="0" quotePrefix="1" applyFill="1" applyBorder="1" applyAlignment="1">
      <alignment horizontal="center"/>
    </xf>
    <xf numFmtId="0" fontId="0" fillId="9" borderId="35" xfId="0" quotePrefix="1" applyFill="1" applyBorder="1" applyAlignment="1">
      <alignment horizontal="center"/>
    </xf>
    <xf numFmtId="166" fontId="0" fillId="2" borderId="0" xfId="1" applyNumberFormat="1" applyFont="1" applyFill="1"/>
    <xf numFmtId="166" fontId="0" fillId="2" borderId="0" xfId="1" applyNumberFormat="1" applyFont="1" applyFill="1" applyAlignment="1">
      <alignment horizontal="center"/>
    </xf>
    <xf numFmtId="166" fontId="0" fillId="2" borderId="33" xfId="1" quotePrefix="1" applyNumberFormat="1" applyFont="1" applyFill="1" applyBorder="1" applyAlignment="1">
      <alignment horizontal="center"/>
    </xf>
    <xf numFmtId="0" fontId="18" fillId="0" borderId="0" xfId="2"/>
    <xf numFmtId="0" fontId="0" fillId="2" borderId="0" xfId="0" applyFill="1" applyAlignment="1">
      <alignment horizontal="center" vertical="top" wrapText="1"/>
    </xf>
    <xf numFmtId="43" fontId="0" fillId="2" borderId="0" xfId="0" applyNumberFormat="1" applyFill="1" applyAlignment="1">
      <alignment horizontal="center"/>
    </xf>
    <xf numFmtId="0" fontId="0" fillId="10" borderId="0" xfId="0" applyFill="1" applyAlignment="1">
      <alignment horizontal="center"/>
    </xf>
    <xf numFmtId="168" fontId="0" fillId="10" borderId="0" xfId="0" applyNumberFormat="1" applyFill="1" applyAlignment="1">
      <alignment horizontal="center"/>
    </xf>
    <xf numFmtId="0" fontId="20" fillId="0" borderId="0" xfId="0" applyFont="1"/>
    <xf numFmtId="0" fontId="1" fillId="0" borderId="2" xfId="0" applyFont="1" applyBorder="1" applyAlignment="1">
      <alignment horizontal="center"/>
    </xf>
    <xf numFmtId="0" fontId="21" fillId="0" borderId="0" xfId="0" applyFont="1"/>
    <xf numFmtId="0" fontId="0" fillId="2" borderId="36" xfId="0" applyFill="1" applyBorder="1" applyAlignment="1">
      <alignment horizontal="center"/>
    </xf>
    <xf numFmtId="0" fontId="0" fillId="10" borderId="0" xfId="0" quotePrefix="1" applyFill="1" applyAlignment="1">
      <alignment horizontal="center"/>
    </xf>
    <xf numFmtId="0" fontId="0" fillId="10" borderId="38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42" xfId="0" applyFill="1" applyBorder="1" applyAlignment="1">
      <alignment horizontal="center"/>
    </xf>
    <xf numFmtId="168" fontId="0" fillId="8" borderId="38" xfId="0" applyNumberFormat="1" applyFill="1" applyBorder="1" applyAlignment="1">
      <alignment horizontal="center"/>
    </xf>
    <xf numFmtId="168" fontId="0" fillId="8" borderId="0" xfId="0" applyNumberFormat="1" applyFill="1" applyBorder="1" applyAlignment="1">
      <alignment horizontal="center"/>
    </xf>
    <xf numFmtId="168" fontId="0" fillId="8" borderId="42" xfId="0" applyNumberFormat="1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8" borderId="40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166" fontId="0" fillId="8" borderId="38" xfId="1" applyNumberFormat="1" applyFont="1" applyFill="1" applyBorder="1" applyAlignment="1">
      <alignment horizontal="center"/>
    </xf>
    <xf numFmtId="166" fontId="0" fillId="8" borderId="0" xfId="1" applyNumberFormat="1" applyFont="1" applyFill="1" applyBorder="1" applyAlignment="1">
      <alignment horizontal="center"/>
    </xf>
    <xf numFmtId="166" fontId="0" fillId="8" borderId="41" xfId="1" applyNumberFormat="1" applyFont="1" applyFill="1" applyBorder="1" applyAlignment="1">
      <alignment horizontal="center"/>
    </xf>
    <xf numFmtId="166" fontId="0" fillId="8" borderId="42" xfId="1" applyNumberFormat="1" applyFont="1" applyFill="1" applyBorder="1" applyAlignment="1">
      <alignment horizontal="center"/>
    </xf>
    <xf numFmtId="166" fontId="0" fillId="8" borderId="43" xfId="1" applyNumberFormat="1" applyFont="1" applyFill="1" applyBorder="1" applyAlignment="1">
      <alignment horizontal="center"/>
    </xf>
    <xf numFmtId="43" fontId="0" fillId="8" borderId="39" xfId="1" applyNumberFormat="1" applyFont="1" applyFill="1" applyBorder="1" applyAlignment="1">
      <alignment horizontal="center"/>
    </xf>
    <xf numFmtId="3" fontId="8" fillId="6" borderId="10" xfId="0" applyNumberFormat="1" applyFont="1" applyFill="1" applyBorder="1" applyAlignment="1">
      <alignment horizontal="center"/>
    </xf>
    <xf numFmtId="168" fontId="0" fillId="6" borderId="25" xfId="0" applyNumberFormat="1" applyFill="1" applyBorder="1" applyAlignment="1">
      <alignment horizontal="center"/>
    </xf>
    <xf numFmtId="171" fontId="14" fillId="6" borderId="33" xfId="0" applyNumberFormat="1" applyFont="1" applyFill="1" applyBorder="1"/>
    <xf numFmtId="0" fontId="0" fillId="2" borderId="44" xfId="0" applyFill="1" applyBorder="1" applyAlignment="1">
      <alignment horizontal="center"/>
    </xf>
    <xf numFmtId="165" fontId="0" fillId="2" borderId="44" xfId="0" applyNumberFormat="1" applyFill="1" applyBorder="1" applyAlignment="1">
      <alignment horizontal="center"/>
    </xf>
    <xf numFmtId="166" fontId="0" fillId="2" borderId="44" xfId="1" applyNumberFormat="1" applyFont="1" applyFill="1" applyBorder="1" applyAlignment="1">
      <alignment horizontal="center"/>
    </xf>
    <xf numFmtId="170" fontId="2" fillId="3" borderId="0" xfId="0" applyNumberFormat="1" applyFont="1" applyFill="1"/>
    <xf numFmtId="172" fontId="0" fillId="9" borderId="5" xfId="1" applyNumberFormat="1" applyFont="1" applyFill="1" applyBorder="1" applyAlignment="1">
      <alignment horizontal="center"/>
    </xf>
    <xf numFmtId="172" fontId="0" fillId="9" borderId="3" xfId="1" applyNumberFormat="1" applyFont="1" applyFill="1" applyBorder="1" applyAlignment="1">
      <alignment horizontal="center"/>
    </xf>
    <xf numFmtId="171" fontId="0" fillId="9" borderId="5" xfId="1" applyNumberFormat="1" applyFont="1" applyFill="1" applyBorder="1" applyAlignment="1">
      <alignment horizontal="center"/>
    </xf>
    <xf numFmtId="171" fontId="0" fillId="9" borderId="3" xfId="1" applyNumberFormat="1" applyFont="1" applyFill="1" applyBorder="1" applyAlignment="1">
      <alignment horizontal="center"/>
    </xf>
    <xf numFmtId="173" fontId="0" fillId="2" borderId="0" xfId="0" applyNumberFormat="1" applyFill="1"/>
    <xf numFmtId="0" fontId="2" fillId="11" borderId="0" xfId="0" applyFont="1" applyFill="1"/>
    <xf numFmtId="171" fontId="14" fillId="6" borderId="3" xfId="0" applyNumberFormat="1" applyFont="1" applyFill="1" applyBorder="1"/>
    <xf numFmtId="0" fontId="0" fillId="12" borderId="5" xfId="0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34" xfId="0" applyFill="1" applyBorder="1" applyAlignment="1">
      <alignment horizontal="center"/>
    </xf>
    <xf numFmtId="0" fontId="0" fillId="12" borderId="32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12" borderId="0" xfId="0" applyFill="1" applyAlignment="1">
      <alignment horizontal="center"/>
    </xf>
    <xf numFmtId="3" fontId="0" fillId="7" borderId="2" xfId="0" applyNumberFormat="1" applyFill="1" applyBorder="1" applyAlignment="1">
      <alignment horizontal="center"/>
    </xf>
    <xf numFmtId="3" fontId="0" fillId="7" borderId="36" xfId="0" applyNumberFormat="1" applyFill="1" applyBorder="1" applyAlignment="1">
      <alignment horizontal="center"/>
    </xf>
    <xf numFmtId="168" fontId="0" fillId="7" borderId="0" xfId="0" applyNumberFormat="1" applyFill="1" applyBorder="1" applyAlignment="1">
      <alignment horizontal="center"/>
    </xf>
    <xf numFmtId="168" fontId="0" fillId="7" borderId="34" xfId="0" applyNumberForma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3" fontId="0" fillId="12" borderId="2" xfId="0" applyNumberFormat="1" applyFill="1" applyBorder="1" applyAlignment="1">
      <alignment horizontal="center"/>
    </xf>
    <xf numFmtId="3" fontId="0" fillId="12" borderId="36" xfId="0" applyNumberFormat="1" applyFill="1" applyBorder="1" applyAlignment="1">
      <alignment horizontal="center"/>
    </xf>
    <xf numFmtId="168" fontId="0" fillId="12" borderId="0" xfId="0" applyNumberFormat="1" applyFill="1" applyBorder="1" applyAlignment="1">
      <alignment horizontal="center"/>
    </xf>
    <xf numFmtId="168" fontId="0" fillId="12" borderId="34" xfId="0" applyNumberFormat="1" applyFill="1" applyBorder="1" applyAlignment="1">
      <alignment horizontal="center"/>
    </xf>
    <xf numFmtId="2" fontId="14" fillId="6" borderId="33" xfId="0" applyNumberFormat="1" applyFont="1" applyFill="1" applyBorder="1"/>
    <xf numFmtId="173" fontId="0" fillId="2" borderId="0" xfId="0" applyNumberFormat="1" applyFill="1" applyAlignment="1">
      <alignment horizontal="center"/>
    </xf>
    <xf numFmtId="3" fontId="2" fillId="3" borderId="0" xfId="0" applyNumberFormat="1" applyFont="1" applyFill="1"/>
    <xf numFmtId="166" fontId="2" fillId="3" borderId="0" xfId="1" applyNumberFormat="1" applyFont="1" applyFill="1"/>
    <xf numFmtId="0" fontId="12" fillId="13" borderId="0" xfId="0" applyFont="1" applyFill="1" applyAlignment="1">
      <alignment horizontal="center"/>
    </xf>
    <xf numFmtId="0" fontId="0" fillId="13" borderId="0" xfId="0" applyFill="1"/>
    <xf numFmtId="0" fontId="0" fillId="13" borderId="0" xfId="0" applyFill="1" applyAlignment="1">
      <alignment vertical="center"/>
    </xf>
    <xf numFmtId="174" fontId="0" fillId="13" borderId="0" xfId="1" applyNumberFormat="1" applyFont="1" applyFill="1" applyAlignment="1">
      <alignment vertical="center"/>
    </xf>
    <xf numFmtId="0" fontId="0" fillId="13" borderId="37" xfId="0" applyFill="1" applyBorder="1" applyAlignment="1">
      <alignment vertical="center"/>
    </xf>
    <xf numFmtId="0" fontId="0" fillId="13" borderId="38" xfId="0" applyFill="1" applyBorder="1" applyAlignment="1">
      <alignment vertical="center"/>
    </xf>
    <xf numFmtId="0" fontId="0" fillId="13" borderId="39" xfId="0" applyFill="1" applyBorder="1" applyAlignment="1">
      <alignment vertical="center"/>
    </xf>
    <xf numFmtId="0" fontId="0" fillId="13" borderId="40" xfId="0" applyFill="1" applyBorder="1" applyAlignment="1">
      <alignment vertical="center"/>
    </xf>
    <xf numFmtId="0" fontId="0" fillId="13" borderId="0" xfId="0" applyFill="1" applyBorder="1" applyAlignment="1">
      <alignment vertical="center"/>
    </xf>
    <xf numFmtId="0" fontId="0" fillId="13" borderId="41" xfId="0" applyFill="1" applyBorder="1" applyAlignment="1">
      <alignment vertical="center"/>
    </xf>
    <xf numFmtId="0" fontId="0" fillId="13" borderId="40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41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19" xfId="0" applyFill="1" applyBorder="1" applyAlignment="1">
      <alignment vertical="center"/>
    </xf>
    <xf numFmtId="0" fontId="0" fillId="13" borderId="42" xfId="0" applyFill="1" applyBorder="1" applyAlignment="1">
      <alignment vertical="center"/>
    </xf>
    <xf numFmtId="0" fontId="0" fillId="13" borderId="43" xfId="0" applyFill="1" applyBorder="1" applyAlignment="1">
      <alignment vertical="center"/>
    </xf>
    <xf numFmtId="169" fontId="0" fillId="13" borderId="0" xfId="0" applyNumberFormat="1" applyFill="1" applyAlignment="1">
      <alignment horizontal="center"/>
    </xf>
    <xf numFmtId="175" fontId="0" fillId="13" borderId="37" xfId="0" applyNumberFormat="1" applyFill="1" applyBorder="1" applyAlignment="1">
      <alignment vertical="center"/>
    </xf>
    <xf numFmtId="175" fontId="0" fillId="13" borderId="38" xfId="0" applyNumberFormat="1" applyFill="1" applyBorder="1" applyAlignment="1">
      <alignment vertical="center"/>
    </xf>
    <xf numFmtId="175" fontId="0" fillId="13" borderId="39" xfId="0" applyNumberFormat="1" applyFill="1" applyBorder="1" applyAlignment="1">
      <alignment vertical="center"/>
    </xf>
    <xf numFmtId="175" fontId="0" fillId="13" borderId="40" xfId="0" applyNumberFormat="1" applyFill="1" applyBorder="1" applyAlignment="1">
      <alignment vertical="center"/>
    </xf>
    <xf numFmtId="175" fontId="0" fillId="13" borderId="0" xfId="0" applyNumberFormat="1" applyFill="1" applyBorder="1" applyAlignment="1">
      <alignment vertical="center"/>
    </xf>
    <xf numFmtId="175" fontId="0" fillId="13" borderId="41" xfId="0" applyNumberFormat="1" applyFill="1" applyBorder="1" applyAlignment="1">
      <alignment vertical="center"/>
    </xf>
    <xf numFmtId="175" fontId="0" fillId="13" borderId="40" xfId="0" applyNumberFormat="1" applyFill="1" applyBorder="1" applyAlignment="1">
      <alignment horizontal="center" vertical="center"/>
    </xf>
    <xf numFmtId="175" fontId="0" fillId="13" borderId="0" xfId="0" applyNumberFormat="1" applyFill="1" applyBorder="1" applyAlignment="1">
      <alignment horizontal="center" vertical="center"/>
    </xf>
    <xf numFmtId="175" fontId="0" fillId="13" borderId="41" xfId="0" applyNumberFormat="1" applyFill="1" applyBorder="1" applyAlignment="1">
      <alignment horizontal="center" vertical="center"/>
    </xf>
    <xf numFmtId="175" fontId="0" fillId="13" borderId="19" xfId="0" applyNumberFormat="1" applyFill="1" applyBorder="1" applyAlignment="1">
      <alignment vertical="center"/>
    </xf>
    <xf numFmtId="175" fontId="0" fillId="13" borderId="42" xfId="0" applyNumberFormat="1" applyFill="1" applyBorder="1" applyAlignment="1">
      <alignment vertical="center"/>
    </xf>
    <xf numFmtId="175" fontId="0" fillId="13" borderId="43" xfId="0" applyNumberFormat="1" applyFill="1" applyBorder="1" applyAlignment="1">
      <alignment vertical="center"/>
    </xf>
    <xf numFmtId="0" fontId="14" fillId="6" borderId="33" xfId="0" applyFont="1" applyFill="1" applyBorder="1" applyAlignment="1">
      <alignment horizontal="center"/>
    </xf>
    <xf numFmtId="0" fontId="0" fillId="14" borderId="33" xfId="0" applyFill="1" applyBorder="1"/>
    <xf numFmtId="0" fontId="0" fillId="13" borderId="0" xfId="0" quotePrefix="1" applyFill="1"/>
    <xf numFmtId="169" fontId="0" fillId="14" borderId="45" xfId="0" applyNumberFormat="1" applyFill="1" applyBorder="1" applyAlignment="1">
      <alignment horizontal="center"/>
    </xf>
    <xf numFmtId="169" fontId="0" fillId="14" borderId="46" xfId="0" applyNumberFormat="1" applyFill="1" applyBorder="1" applyAlignment="1">
      <alignment horizontal="center"/>
    </xf>
    <xf numFmtId="174" fontId="0" fillId="14" borderId="47" xfId="1" applyNumberFormat="1" applyFont="1" applyFill="1" applyBorder="1" applyAlignment="1">
      <alignment vertical="center"/>
    </xf>
    <xf numFmtId="174" fontId="0" fillId="14" borderId="48" xfId="1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26" fillId="2" borderId="0" xfId="3" applyFont="1" applyFill="1"/>
    <xf numFmtId="0" fontId="25" fillId="2" borderId="0" xfId="3" applyFill="1"/>
    <xf numFmtId="176" fontId="25" fillId="2" borderId="0" xfId="3" applyNumberFormat="1" applyFill="1"/>
    <xf numFmtId="176" fontId="25" fillId="2" borderId="0" xfId="5" applyNumberFormat="1" applyFont="1" applyFill="1"/>
    <xf numFmtId="2" fontId="25" fillId="2" borderId="0" xfId="3" applyNumberFormat="1" applyFill="1"/>
    <xf numFmtId="0" fontId="25" fillId="2" borderId="3" xfId="3" applyFill="1" applyBorder="1"/>
    <xf numFmtId="10" fontId="25" fillId="2" borderId="0" xfId="6" applyNumberFormat="1" applyFont="1" applyFill="1"/>
    <xf numFmtId="10" fontId="28" fillId="2" borderId="3" xfId="6" applyNumberFormat="1" applyFont="1" applyFill="1" applyBorder="1" applyAlignment="1">
      <alignment horizontal="left"/>
    </xf>
    <xf numFmtId="9" fontId="27" fillId="2" borderId="0" xfId="3" applyNumberFormat="1" applyFont="1" applyFill="1"/>
    <xf numFmtId="43" fontId="25" fillId="2" borderId="0" xfId="3" applyNumberFormat="1" applyFill="1"/>
    <xf numFmtId="176" fontId="25" fillId="2" borderId="3" xfId="5" applyNumberFormat="1" applyFont="1" applyFill="1" applyBorder="1"/>
    <xf numFmtId="0" fontId="29" fillId="3" borderId="0" xfId="0" applyFont="1" applyFill="1"/>
    <xf numFmtId="0" fontId="2" fillId="3" borderId="0" xfId="0" quotePrefix="1" applyFont="1" applyFill="1"/>
    <xf numFmtId="2" fontId="14" fillId="10" borderId="33" xfId="0" applyNumberFormat="1" applyFont="1" applyFill="1" applyBorder="1" applyAlignment="1">
      <alignment horizontal="center"/>
    </xf>
    <xf numFmtId="0" fontId="14" fillId="10" borderId="33" xfId="0" applyFont="1" applyFill="1" applyBorder="1" applyAlignment="1">
      <alignment horizontal="center"/>
    </xf>
    <xf numFmtId="43" fontId="28" fillId="2" borderId="3" xfId="1" applyFont="1" applyFill="1" applyBorder="1" applyAlignment="1">
      <alignment horizontal="center"/>
    </xf>
    <xf numFmtId="171" fontId="13" fillId="9" borderId="33" xfId="1" quotePrefix="1" applyNumberFormat="1" applyFont="1" applyFill="1" applyBorder="1" applyAlignment="1">
      <alignment horizontal="center"/>
    </xf>
    <xf numFmtId="0" fontId="2" fillId="3" borderId="49" xfId="0" applyFont="1" applyFill="1" applyBorder="1" applyAlignment="1">
      <alignment horizontal="center"/>
    </xf>
    <xf numFmtId="171" fontId="2" fillId="3" borderId="49" xfId="0" applyNumberFormat="1" applyFont="1" applyFill="1" applyBorder="1"/>
    <xf numFmtId="166" fontId="0" fillId="2" borderId="0" xfId="0" applyNumberFormat="1" applyFill="1" applyAlignment="1"/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7" borderId="50" xfId="0" applyFill="1" applyBorder="1" applyAlignment="1">
      <alignment horizontal="center"/>
    </xf>
    <xf numFmtId="0" fontId="0" fillId="7" borderId="51" xfId="0" applyFill="1" applyBorder="1" applyAlignment="1">
      <alignment horizontal="center"/>
    </xf>
    <xf numFmtId="0" fontId="0" fillId="7" borderId="52" xfId="0" applyFill="1" applyBorder="1" applyAlignment="1">
      <alignment horizontal="center"/>
    </xf>
    <xf numFmtId="2" fontId="0" fillId="2" borderId="0" xfId="0" applyNumberFormat="1" applyFill="1"/>
    <xf numFmtId="0" fontId="0" fillId="17" borderId="0" xfId="0" applyFont="1" applyFill="1" applyBorder="1"/>
    <xf numFmtId="0" fontId="0" fillId="17" borderId="0" xfId="0" applyFill="1"/>
    <xf numFmtId="0" fontId="0" fillId="2" borderId="2" xfId="0" applyFill="1" applyBorder="1" applyAlignment="1">
      <alignment horizontal="center" vertical="top" wrapText="1"/>
    </xf>
    <xf numFmtId="3" fontId="0" fillId="2" borderId="2" xfId="0" applyNumberFormat="1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3" fontId="0" fillId="2" borderId="0" xfId="0" applyNumberFormat="1" applyFill="1" applyBorder="1" applyAlignment="1">
      <alignment horizontal="center"/>
    </xf>
    <xf numFmtId="167" fontId="0" fillId="2" borderId="0" xfId="1" applyNumberFormat="1" applyFont="1" applyFill="1" applyBorder="1" applyAlignment="1">
      <alignment horizontal="center"/>
    </xf>
    <xf numFmtId="168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3" fontId="0" fillId="2" borderId="2" xfId="1" applyNumberFormat="1" applyFont="1" applyFill="1" applyBorder="1" applyAlignment="1">
      <alignment horizontal="center" vertical="center"/>
    </xf>
    <xf numFmtId="0" fontId="0" fillId="2" borderId="52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168" fontId="0" fillId="2" borderId="34" xfId="0" applyNumberFormat="1" applyFill="1" applyBorder="1" applyAlignment="1">
      <alignment horizontal="center"/>
    </xf>
    <xf numFmtId="43" fontId="0" fillId="2" borderId="2" xfId="1" applyNumberFormat="1" applyFont="1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18" borderId="52" xfId="0" applyFill="1" applyBorder="1" applyAlignment="1">
      <alignment horizontal="center"/>
    </xf>
    <xf numFmtId="0" fontId="0" fillId="18" borderId="36" xfId="0" applyFill="1" applyBorder="1" applyAlignment="1">
      <alignment horizontal="center"/>
    </xf>
    <xf numFmtId="164" fontId="0" fillId="18" borderId="2" xfId="0" applyNumberFormat="1" applyFill="1" applyBorder="1" applyAlignment="1">
      <alignment horizontal="center"/>
    </xf>
    <xf numFmtId="0" fontId="0" fillId="18" borderId="4" xfId="0" applyFill="1" applyBorder="1" applyAlignment="1">
      <alignment horizontal="center" vertical="top" wrapText="1"/>
    </xf>
    <xf numFmtId="0" fontId="0" fillId="18" borderId="51" xfId="0" applyFill="1" applyBorder="1" applyAlignment="1">
      <alignment horizontal="center"/>
    </xf>
    <xf numFmtId="0" fontId="0" fillId="18" borderId="2" xfId="0" applyFill="1" applyBorder="1" applyAlignment="1">
      <alignment horizontal="center"/>
    </xf>
    <xf numFmtId="3" fontId="0" fillId="2" borderId="0" xfId="0" applyNumberFormat="1" applyFill="1" applyAlignment="1">
      <alignment horizontal="left"/>
    </xf>
    <xf numFmtId="0" fontId="0" fillId="2" borderId="0" xfId="0" applyFill="1" applyBorder="1" applyAlignment="1">
      <alignment horizontal="left"/>
    </xf>
    <xf numFmtId="166" fontId="0" fillId="2" borderId="0" xfId="1" applyNumberFormat="1" applyFont="1" applyFill="1" applyBorder="1" applyAlignment="1">
      <alignment horizontal="center"/>
    </xf>
    <xf numFmtId="0" fontId="0" fillId="2" borderId="0" xfId="0" quotePrefix="1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166" fontId="0" fillId="2" borderId="2" xfId="1" applyNumberFormat="1" applyFont="1" applyFill="1" applyBorder="1" applyAlignment="1">
      <alignment horizontal="center"/>
    </xf>
    <xf numFmtId="0" fontId="0" fillId="2" borderId="2" xfId="0" quotePrefix="1" applyFill="1" applyBorder="1" applyAlignment="1">
      <alignment horizontal="center"/>
    </xf>
    <xf numFmtId="0" fontId="0" fillId="2" borderId="34" xfId="0" applyFill="1" applyBorder="1" applyAlignment="1">
      <alignment horizontal="left"/>
    </xf>
    <xf numFmtId="0" fontId="0" fillId="2" borderId="36" xfId="0" applyFill="1" applyBorder="1" applyAlignment="1">
      <alignment horizontal="left"/>
    </xf>
    <xf numFmtId="0" fontId="0" fillId="18" borderId="7" xfId="0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0" fillId="0" borderId="0" xfId="0" applyBorder="1"/>
    <xf numFmtId="169" fontId="0" fillId="0" borderId="0" xfId="0" applyNumberFormat="1" applyBorder="1" applyAlignment="1">
      <alignment horizontal="center"/>
    </xf>
    <xf numFmtId="0" fontId="0" fillId="0" borderId="0" xfId="0" applyBorder="1" applyAlignment="1">
      <alignment wrapText="1"/>
    </xf>
    <xf numFmtId="169" fontId="0" fillId="5" borderId="0" xfId="0" applyNumberFormat="1" applyFill="1" applyBorder="1" applyAlignment="1">
      <alignment horizontal="center"/>
    </xf>
    <xf numFmtId="0" fontId="0" fillId="0" borderId="2" xfId="0" applyBorder="1"/>
    <xf numFmtId="0" fontId="0" fillId="0" borderId="51" xfId="0" applyBorder="1"/>
    <xf numFmtId="0" fontId="1" fillId="0" borderId="51" xfId="0" applyFont="1" applyBorder="1" applyAlignment="1">
      <alignment horizontal="center"/>
    </xf>
    <xf numFmtId="0" fontId="0" fillId="0" borderId="52" xfId="0" applyBorder="1"/>
    <xf numFmtId="0" fontId="0" fillId="0" borderId="36" xfId="0" applyBorder="1"/>
    <xf numFmtId="0" fontId="0" fillId="0" borderId="34" xfId="0" applyBorder="1"/>
    <xf numFmtId="0" fontId="0" fillId="0" borderId="0" xfId="0" applyBorder="1" applyAlignment="1">
      <alignment horizontal="center"/>
    </xf>
    <xf numFmtId="0" fontId="1" fillId="0" borderId="36" xfId="0" applyFont="1" applyBorder="1"/>
    <xf numFmtId="169" fontId="1" fillId="0" borderId="2" xfId="0" applyNumberFormat="1" applyFont="1" applyBorder="1" applyAlignment="1">
      <alignment horizontal="center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166" fontId="1" fillId="2" borderId="0" xfId="1" applyNumberFormat="1" applyFont="1" applyFill="1" applyBorder="1" applyAlignment="1">
      <alignment horizontal="center"/>
    </xf>
    <xf numFmtId="166" fontId="0" fillId="0" borderId="0" xfId="0" applyNumberFormat="1" applyBorder="1"/>
    <xf numFmtId="0" fontId="0" fillId="0" borderId="19" xfId="0" applyBorder="1"/>
    <xf numFmtId="165" fontId="0" fillId="0" borderId="42" xfId="0" applyNumberFormat="1" applyBorder="1"/>
    <xf numFmtId="0" fontId="0" fillId="0" borderId="43" xfId="0" applyBorder="1"/>
    <xf numFmtId="0" fontId="0" fillId="18" borderId="3" xfId="0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2" fontId="0" fillId="2" borderId="32" xfId="0" applyNumberFormat="1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0" fontId="0" fillId="19" borderId="0" xfId="0" applyFill="1" applyAlignment="1">
      <alignment horizontal="center"/>
    </xf>
    <xf numFmtId="3" fontId="0" fillId="8" borderId="0" xfId="0" applyNumberFormat="1" applyFill="1" applyAlignment="1">
      <alignment horizontal="center"/>
    </xf>
    <xf numFmtId="168" fontId="0" fillId="2" borderId="0" xfId="0" applyNumberFormat="1" applyFill="1" applyBorder="1" applyAlignment="1">
      <alignment horizontal="center"/>
    </xf>
    <xf numFmtId="168" fontId="0" fillId="2" borderId="0" xfId="0" applyNumberFormat="1" applyFill="1" applyBorder="1" applyAlignment="1">
      <alignment horizontal="right"/>
    </xf>
    <xf numFmtId="0" fontId="1" fillId="10" borderId="2" xfId="0" applyNumberFormat="1" applyFont="1" applyFill="1" applyBorder="1" applyAlignment="1">
      <alignment horizontal="right"/>
    </xf>
    <xf numFmtId="0" fontId="1" fillId="2" borderId="0" xfId="0" applyNumberFormat="1" applyFont="1" applyFill="1" applyBorder="1" applyAlignment="1">
      <alignment horizontal="right"/>
    </xf>
    <xf numFmtId="0" fontId="0" fillId="2" borderId="0" xfId="0" applyNumberFormat="1" applyFill="1" applyBorder="1" applyAlignment="1">
      <alignment horizontal="right"/>
    </xf>
    <xf numFmtId="0" fontId="1" fillId="2" borderId="2" xfId="0" applyNumberFormat="1" applyFont="1" applyFill="1" applyBorder="1" applyAlignment="1">
      <alignment horizontal="right"/>
    </xf>
    <xf numFmtId="0" fontId="0" fillId="2" borderId="2" xfId="1" applyNumberFormat="1" applyFont="1" applyFill="1" applyBorder="1" applyAlignment="1">
      <alignment horizontal="right"/>
    </xf>
    <xf numFmtId="2" fontId="1" fillId="10" borderId="2" xfId="0" applyNumberFormat="1" applyFont="1" applyFill="1" applyBorder="1" applyAlignment="1">
      <alignment horizontal="right"/>
    </xf>
    <xf numFmtId="2" fontId="1" fillId="2" borderId="0" xfId="0" applyNumberFormat="1" applyFont="1" applyFill="1" applyBorder="1" applyAlignment="1">
      <alignment horizontal="right"/>
    </xf>
    <xf numFmtId="168" fontId="1" fillId="2" borderId="0" xfId="0" applyNumberFormat="1" applyFont="1" applyFill="1" applyBorder="1" applyAlignment="1">
      <alignment horizontal="right"/>
    </xf>
    <xf numFmtId="3" fontId="0" fillId="2" borderId="51" xfId="0" applyNumberFormat="1" applyFill="1" applyBorder="1" applyAlignment="1">
      <alignment horizontal="center"/>
    </xf>
    <xf numFmtId="3" fontId="0" fillId="2" borderId="50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8" fontId="0" fillId="2" borderId="5" xfId="0" applyNumberFormat="1" applyFill="1" applyBorder="1" applyAlignment="1">
      <alignment horizontal="center"/>
    </xf>
    <xf numFmtId="3" fontId="0" fillId="2" borderId="52" xfId="0" applyNumberFormat="1" applyFill="1" applyBorder="1" applyAlignment="1">
      <alignment horizontal="center"/>
    </xf>
    <xf numFmtId="3" fontId="0" fillId="2" borderId="34" xfId="0" applyNumberFormat="1" applyFill="1" applyBorder="1" applyAlignment="1">
      <alignment horizontal="center"/>
    </xf>
    <xf numFmtId="0" fontId="0" fillId="8" borderId="0" xfId="0" applyFill="1" applyAlignment="1">
      <alignment horizontal="center" wrapText="1"/>
    </xf>
    <xf numFmtId="0" fontId="18" fillId="2" borderId="0" xfId="2" applyFill="1" applyAlignment="1">
      <alignment horizontal="left"/>
    </xf>
    <xf numFmtId="178" fontId="0" fillId="2" borderId="0" xfId="0" applyNumberFormat="1" applyFill="1" applyAlignment="1">
      <alignment horizontal="center"/>
    </xf>
    <xf numFmtId="0" fontId="32" fillId="3" borderId="0" xfId="0" applyFont="1" applyFill="1"/>
    <xf numFmtId="0" fontId="19" fillId="2" borderId="0" xfId="0" applyFont="1" applyFill="1" applyAlignment="1" applyProtection="1">
      <alignment horizontal="left"/>
      <protection hidden="1"/>
    </xf>
    <xf numFmtId="0" fontId="0" fillId="18" borderId="50" xfId="0" applyFill="1" applyBorder="1" applyAlignment="1">
      <alignment horizontal="center"/>
    </xf>
    <xf numFmtId="0" fontId="0" fillId="18" borderId="51" xfId="0" applyFill="1" applyBorder="1" applyAlignment="1">
      <alignment horizontal="center"/>
    </xf>
    <xf numFmtId="0" fontId="0" fillId="18" borderId="52" xfId="0" applyFill="1" applyBorder="1" applyAlignment="1">
      <alignment horizontal="center"/>
    </xf>
    <xf numFmtId="0" fontId="25" fillId="2" borderId="15" xfId="0" applyFont="1" applyFill="1" applyBorder="1" applyAlignment="1">
      <alignment horizontal="right"/>
    </xf>
    <xf numFmtId="169" fontId="0" fillId="2" borderId="15" xfId="0" applyNumberFormat="1" applyFill="1" applyBorder="1" applyAlignment="1">
      <alignment horizontal="right"/>
    </xf>
    <xf numFmtId="179" fontId="0" fillId="2" borderId="15" xfId="0" applyNumberFormat="1" applyFill="1" applyBorder="1" applyAlignment="1">
      <alignment horizontal="right"/>
    </xf>
    <xf numFmtId="2" fontId="0" fillId="2" borderId="15" xfId="0" applyNumberFormat="1" applyFill="1" applyBorder="1" applyAlignment="1">
      <alignment horizontal="right"/>
    </xf>
    <xf numFmtId="181" fontId="25" fillId="2" borderId="15" xfId="0" applyNumberFormat="1" applyFont="1" applyFill="1" applyBorder="1" applyAlignment="1" applyProtection="1">
      <alignment horizontal="right"/>
    </xf>
    <xf numFmtId="180" fontId="25" fillId="2" borderId="15" xfId="0" applyNumberFormat="1" applyFont="1" applyFill="1" applyBorder="1" applyAlignment="1" applyProtection="1">
      <alignment horizontal="right"/>
    </xf>
    <xf numFmtId="182" fontId="25" fillId="2" borderId="34" xfId="0" applyNumberFormat="1" applyFont="1" applyFill="1" applyBorder="1" applyAlignment="1" applyProtection="1">
      <alignment horizontal="right"/>
    </xf>
    <xf numFmtId="0" fontId="25" fillId="2" borderId="30" xfId="0" applyFont="1" applyFill="1" applyBorder="1" applyAlignment="1">
      <alignment horizontal="right"/>
    </xf>
    <xf numFmtId="169" fontId="0" fillId="2" borderId="30" xfId="0" applyNumberFormat="1" applyFill="1" applyBorder="1" applyAlignment="1">
      <alignment horizontal="right"/>
    </xf>
    <xf numFmtId="179" fontId="0" fillId="2" borderId="30" xfId="0" applyNumberFormat="1" applyFill="1" applyBorder="1" applyAlignment="1">
      <alignment horizontal="right"/>
    </xf>
    <xf numFmtId="2" fontId="0" fillId="2" borderId="30" xfId="0" applyNumberFormat="1" applyFill="1" applyBorder="1" applyAlignment="1">
      <alignment horizontal="right"/>
    </xf>
    <xf numFmtId="181" fontId="25" fillId="2" borderId="30" xfId="0" applyNumberFormat="1" applyFont="1" applyFill="1" applyBorder="1" applyAlignment="1" applyProtection="1">
      <alignment horizontal="right"/>
    </xf>
    <xf numFmtId="180" fontId="25" fillId="2" borderId="30" xfId="0" applyNumberFormat="1" applyFont="1" applyFill="1" applyBorder="1" applyAlignment="1" applyProtection="1">
      <alignment horizontal="right"/>
    </xf>
    <xf numFmtId="182" fontId="25" fillId="2" borderId="36" xfId="0" applyNumberFormat="1" applyFont="1" applyFill="1" applyBorder="1" applyAlignment="1" applyProtection="1">
      <alignment horizontal="right"/>
    </xf>
    <xf numFmtId="164" fontId="0" fillId="2" borderId="0" xfId="0" applyNumberFormat="1" applyFont="1" applyFill="1" applyBorder="1" applyAlignment="1">
      <alignment horizontal="center"/>
    </xf>
    <xf numFmtId="164" fontId="0" fillId="2" borderId="32" xfId="0" applyNumberFormat="1" applyFont="1" applyFill="1" applyBorder="1" applyAlignment="1">
      <alignment horizontal="center"/>
    </xf>
    <xf numFmtId="164" fontId="0" fillId="2" borderId="2" xfId="0" applyNumberFormat="1" applyFont="1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0" fontId="0" fillId="2" borderId="34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18" borderId="52" xfId="0" applyFont="1" applyFill="1" applyBorder="1" applyAlignment="1">
      <alignment horizontal="center"/>
    </xf>
    <xf numFmtId="0" fontId="0" fillId="18" borderId="36" xfId="0" applyFont="1" applyFill="1" applyBorder="1" applyAlignment="1">
      <alignment horizontal="center"/>
    </xf>
    <xf numFmtId="0" fontId="0" fillId="2" borderId="36" xfId="0" applyFont="1" applyFill="1" applyBorder="1" applyAlignment="1">
      <alignment horizontal="center"/>
    </xf>
    <xf numFmtId="0" fontId="1" fillId="18" borderId="6" xfId="0" applyFont="1" applyFill="1" applyBorder="1" applyAlignment="1"/>
    <xf numFmtId="0" fontId="1" fillId="18" borderId="4" xfId="0" applyFont="1" applyFill="1" applyBorder="1" applyAlignment="1"/>
    <xf numFmtId="0" fontId="0" fillId="0" borderId="33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19" borderId="2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0" fillId="20" borderId="5" xfId="0" applyFill="1" applyBorder="1" applyAlignment="1">
      <alignment horizontal="center"/>
    </xf>
    <xf numFmtId="0" fontId="0" fillId="20" borderId="0" xfId="0" applyFill="1" applyBorder="1" applyAlignment="1">
      <alignment horizontal="center"/>
    </xf>
    <xf numFmtId="0" fontId="0" fillId="20" borderId="34" xfId="0" applyFill="1" applyBorder="1" applyAlignment="1">
      <alignment horizontal="center"/>
    </xf>
    <xf numFmtId="3" fontId="0" fillId="2" borderId="2" xfId="0" applyNumberFormat="1" applyFill="1" applyBorder="1" applyAlignment="1">
      <alignment horizontal="center" vertical="top" wrapText="1"/>
    </xf>
    <xf numFmtId="0" fontId="0" fillId="12" borderId="6" xfId="0" applyFill="1" applyBorder="1" applyAlignment="1"/>
    <xf numFmtId="0" fontId="0" fillId="12" borderId="4" xfId="0" applyFill="1" applyBorder="1" applyAlignment="1"/>
    <xf numFmtId="0" fontId="0" fillId="12" borderId="7" xfId="0" applyFill="1" applyBorder="1" applyAlignment="1"/>
    <xf numFmtId="0" fontId="0" fillId="7" borderId="6" xfId="0" applyFill="1" applyBorder="1" applyAlignment="1"/>
    <xf numFmtId="0" fontId="0" fillId="7" borderId="4" xfId="0" applyFill="1" applyBorder="1" applyAlignment="1"/>
    <xf numFmtId="0" fontId="0" fillId="7" borderId="7" xfId="0" applyFill="1" applyBorder="1" applyAlignment="1"/>
    <xf numFmtId="2" fontId="1" fillId="10" borderId="51" xfId="0" applyNumberFormat="1" applyFont="1" applyFill="1" applyBorder="1" applyAlignment="1"/>
    <xf numFmtId="0" fontId="0" fillId="18" borderId="32" xfId="0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166" fontId="0" fillId="2" borderId="0" xfId="1" applyNumberFormat="1" applyFont="1" applyFill="1" applyAlignment="1">
      <alignment horizontal="center" vertical="center"/>
    </xf>
    <xf numFmtId="0" fontId="0" fillId="2" borderId="2" xfId="0" applyFill="1" applyBorder="1"/>
    <xf numFmtId="0" fontId="0" fillId="0" borderId="42" xfId="0" applyBorder="1"/>
    <xf numFmtId="0" fontId="0" fillId="2" borderId="0" xfId="0" applyFill="1" applyBorder="1"/>
    <xf numFmtId="166" fontId="0" fillId="2" borderId="0" xfId="1" applyNumberFormat="1" applyFont="1" applyFill="1" applyBorder="1"/>
    <xf numFmtId="43" fontId="0" fillId="0" borderId="42" xfId="0" applyNumberFormat="1" applyBorder="1"/>
    <xf numFmtId="43" fontId="0" fillId="0" borderId="43" xfId="0" applyNumberFormat="1" applyBorder="1"/>
    <xf numFmtId="43" fontId="0" fillId="0" borderId="0" xfId="0" applyNumberFormat="1" applyBorder="1"/>
    <xf numFmtId="168" fontId="14" fillId="6" borderId="33" xfId="0" applyNumberFormat="1" applyFont="1" applyFill="1" applyBorder="1"/>
    <xf numFmtId="175" fontId="0" fillId="13" borderId="53" xfId="0" applyNumberFormat="1" applyFill="1" applyBorder="1" applyAlignment="1">
      <alignment vertical="center"/>
    </xf>
    <xf numFmtId="175" fontId="0" fillId="13" borderId="54" xfId="0" applyNumberFormat="1" applyFill="1" applyBorder="1" applyAlignment="1">
      <alignment vertical="center"/>
    </xf>
    <xf numFmtId="175" fontId="0" fillId="13" borderId="55" xfId="0" applyNumberFormat="1" applyFill="1" applyBorder="1" applyAlignment="1">
      <alignment vertical="center"/>
    </xf>
    <xf numFmtId="175" fontId="0" fillId="13" borderId="56" xfId="0" applyNumberFormat="1" applyFill="1" applyBorder="1" applyAlignment="1">
      <alignment vertical="center"/>
    </xf>
    <xf numFmtId="2" fontId="32" fillId="3" borderId="0" xfId="0" applyNumberFormat="1" applyFont="1" applyFill="1" applyAlignment="1">
      <alignment horizontal="right"/>
    </xf>
    <xf numFmtId="43" fontId="3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9" fontId="2" fillId="3" borderId="0" xfId="0" applyNumberFormat="1" applyFont="1" applyFill="1"/>
    <xf numFmtId="43" fontId="0" fillId="2" borderId="0" xfId="1" applyNumberFormat="1" applyFont="1" applyFill="1" applyAlignment="1">
      <alignment horizontal="center"/>
    </xf>
    <xf numFmtId="3" fontId="0" fillId="2" borderId="0" xfId="0" applyNumberFormat="1" applyFill="1"/>
    <xf numFmtId="0" fontId="35" fillId="0" borderId="0" xfId="0" applyFont="1" applyAlignment="1">
      <alignment vertical="center"/>
    </xf>
    <xf numFmtId="0" fontId="0" fillId="2" borderId="0" xfId="0" quotePrefix="1" applyFill="1" applyAlignment="1">
      <alignment horizontal="center"/>
    </xf>
    <xf numFmtId="166" fontId="0" fillId="2" borderId="0" xfId="0" applyNumberFormat="1" applyFill="1" applyAlignment="1">
      <alignment horizontal="center"/>
    </xf>
    <xf numFmtId="0" fontId="0" fillId="10" borderId="2" xfId="0" applyFill="1" applyBorder="1" applyAlignment="1">
      <alignment horizontal="center"/>
    </xf>
    <xf numFmtId="0" fontId="1" fillId="18" borderId="4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1" fillId="18" borderId="4" xfId="0" applyFont="1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178" fontId="0" fillId="2" borderId="0" xfId="0" applyNumberForma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2" fillId="9" borderId="0" xfId="0" applyFont="1" applyFill="1" applyAlignment="1">
      <alignment horizontal="center" vertical="center" wrapText="1"/>
    </xf>
    <xf numFmtId="177" fontId="22" fillId="9" borderId="0" xfId="0" applyNumberFormat="1" applyFont="1" applyFill="1" applyAlignment="1">
      <alignment horizontal="center" vertical="center" wrapText="1"/>
    </xf>
    <xf numFmtId="37" fontId="30" fillId="10" borderId="35" xfId="1" applyNumberFormat="1" applyFont="1" applyFill="1" applyBorder="1" applyAlignment="1">
      <alignment horizontal="center" vertical="center"/>
    </xf>
    <xf numFmtId="37" fontId="30" fillId="10" borderId="30" xfId="1" applyNumberFormat="1" applyFont="1" applyFill="1" applyBorder="1" applyAlignment="1">
      <alignment horizontal="center" vertical="center"/>
    </xf>
    <xf numFmtId="0" fontId="1" fillId="18" borderId="6" xfId="0" applyFont="1" applyFill="1" applyBorder="1" applyAlignment="1">
      <alignment horizontal="center"/>
    </xf>
    <xf numFmtId="0" fontId="1" fillId="18" borderId="4" xfId="0" applyFont="1" applyFill="1" applyBorder="1" applyAlignment="1">
      <alignment horizontal="center"/>
    </xf>
    <xf numFmtId="0" fontId="1" fillId="18" borderId="7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164" fontId="1" fillId="18" borderId="4" xfId="0" applyNumberFormat="1" applyFont="1" applyFill="1" applyBorder="1" applyAlignment="1">
      <alignment horizontal="center"/>
    </xf>
    <xf numFmtId="164" fontId="1" fillId="18" borderId="6" xfId="0" applyNumberFormat="1" applyFont="1" applyFill="1" applyBorder="1" applyAlignment="1">
      <alignment horizontal="center"/>
    </xf>
    <xf numFmtId="0" fontId="0" fillId="18" borderId="35" xfId="0" applyFill="1" applyBorder="1" applyAlignment="1">
      <alignment horizontal="center" vertical="center"/>
    </xf>
    <xf numFmtId="0" fontId="0" fillId="18" borderId="3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8" borderId="50" xfId="0" applyFill="1" applyBorder="1" applyAlignment="1">
      <alignment horizontal="center"/>
    </xf>
    <xf numFmtId="0" fontId="0" fillId="18" borderId="51" xfId="0" applyFill="1" applyBorder="1" applyAlignment="1">
      <alignment horizontal="center"/>
    </xf>
    <xf numFmtId="0" fontId="0" fillId="18" borderId="52" xfId="0" applyFill="1" applyBorder="1" applyAlignment="1">
      <alignment horizontal="center"/>
    </xf>
    <xf numFmtId="0" fontId="0" fillId="19" borderId="32" xfId="0" applyFill="1" applyBorder="1" applyAlignment="1">
      <alignment horizontal="center"/>
    </xf>
    <xf numFmtId="0" fontId="0" fillId="19" borderId="2" xfId="0" applyFill="1" applyBorder="1" applyAlignment="1">
      <alignment horizontal="center"/>
    </xf>
    <xf numFmtId="0" fontId="1" fillId="18" borderId="50" xfId="0" applyFont="1" applyFill="1" applyBorder="1" applyAlignment="1">
      <alignment horizontal="center"/>
    </xf>
    <xf numFmtId="0" fontId="1" fillId="18" borderId="51" xfId="0" applyFont="1" applyFill="1" applyBorder="1" applyAlignment="1">
      <alignment horizontal="center"/>
    </xf>
    <xf numFmtId="0" fontId="1" fillId="18" borderId="5" xfId="0" applyFont="1" applyFill="1" applyBorder="1" applyAlignment="1">
      <alignment horizontal="center"/>
    </xf>
    <xf numFmtId="0" fontId="1" fillId="18" borderId="34" xfId="0" applyFont="1" applyFill="1" applyBorder="1" applyAlignment="1">
      <alignment horizontal="center"/>
    </xf>
    <xf numFmtId="0" fontId="1" fillId="18" borderId="52" xfId="0" applyFont="1" applyFill="1" applyBorder="1" applyAlignment="1">
      <alignment horizontal="center"/>
    </xf>
    <xf numFmtId="0" fontId="13" fillId="13" borderId="0" xfId="0" applyFont="1" applyFill="1" applyAlignment="1">
      <alignment horizontal="center" vertical="center"/>
    </xf>
    <xf numFmtId="0" fontId="13" fillId="13" borderId="0" xfId="0" applyFont="1" applyFill="1" applyAlignment="1">
      <alignment horizontal="right" vertical="center" textRotation="90"/>
    </xf>
    <xf numFmtId="0" fontId="24" fillId="13" borderId="0" xfId="0" applyFont="1" applyFill="1" applyAlignment="1">
      <alignment horizontal="center" vertical="center"/>
    </xf>
  </cellXfs>
  <cellStyles count="9">
    <cellStyle name="Comma" xfId="1" builtinId="3"/>
    <cellStyle name="Comma 2" xfId="4"/>
    <cellStyle name="Comma 3" xfId="8"/>
    <cellStyle name="Currency 2" xfId="5"/>
    <cellStyle name="Followed Hyperlink" xfId="7" builtinId="9" hidden="1"/>
    <cellStyle name="Hyperlink" xfId="2" builtinId="8"/>
    <cellStyle name="Normal" xfId="0" builtinId="0"/>
    <cellStyle name="Normal 2" xfId="3"/>
    <cellStyle name="Percent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486842105263"/>
          <c:y val="7.4074280165709994E-2"/>
          <c:w val="0.81743421052631604"/>
          <c:h val="0.72934675855468301"/>
        </c:manualLayout>
      </c:layout>
      <c:scatterChart>
        <c:scatterStyle val="lineMarker"/>
        <c:varyColors val="0"/>
        <c:ser>
          <c:idx val="0"/>
          <c:order val="0"/>
          <c:tx>
            <c:v>CEAC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PSA!$AK$3:$AK$103</c:f>
              <c:numCache>
                <c:formatCode>General</c:formatCode>
                <c:ptCount val="101"/>
                <c:pt idx="0">
                  <c:v>0</c:v>
                </c:pt>
                <c:pt idx="1">
                  <c:v>2000</c:v>
                </c:pt>
                <c:pt idx="2">
                  <c:v>4000</c:v>
                </c:pt>
                <c:pt idx="3">
                  <c:v>6000</c:v>
                </c:pt>
                <c:pt idx="4">
                  <c:v>8000</c:v>
                </c:pt>
                <c:pt idx="5">
                  <c:v>10000</c:v>
                </c:pt>
                <c:pt idx="6">
                  <c:v>12000</c:v>
                </c:pt>
                <c:pt idx="7">
                  <c:v>14000</c:v>
                </c:pt>
                <c:pt idx="8">
                  <c:v>16000</c:v>
                </c:pt>
                <c:pt idx="9">
                  <c:v>18000</c:v>
                </c:pt>
                <c:pt idx="10">
                  <c:v>20000</c:v>
                </c:pt>
                <c:pt idx="11">
                  <c:v>22000</c:v>
                </c:pt>
                <c:pt idx="12">
                  <c:v>24000</c:v>
                </c:pt>
                <c:pt idx="13">
                  <c:v>26000</c:v>
                </c:pt>
                <c:pt idx="14">
                  <c:v>28000</c:v>
                </c:pt>
                <c:pt idx="15">
                  <c:v>30000</c:v>
                </c:pt>
                <c:pt idx="16">
                  <c:v>32000</c:v>
                </c:pt>
                <c:pt idx="17">
                  <c:v>34000</c:v>
                </c:pt>
                <c:pt idx="18">
                  <c:v>36000</c:v>
                </c:pt>
                <c:pt idx="19">
                  <c:v>38000</c:v>
                </c:pt>
                <c:pt idx="20">
                  <c:v>40000</c:v>
                </c:pt>
                <c:pt idx="21">
                  <c:v>42000</c:v>
                </c:pt>
                <c:pt idx="22">
                  <c:v>44000</c:v>
                </c:pt>
                <c:pt idx="23">
                  <c:v>46000</c:v>
                </c:pt>
                <c:pt idx="24">
                  <c:v>48000</c:v>
                </c:pt>
                <c:pt idx="25">
                  <c:v>50000</c:v>
                </c:pt>
                <c:pt idx="26">
                  <c:v>52000</c:v>
                </c:pt>
                <c:pt idx="27">
                  <c:v>54000</c:v>
                </c:pt>
                <c:pt idx="28">
                  <c:v>56000</c:v>
                </c:pt>
                <c:pt idx="29">
                  <c:v>58000</c:v>
                </c:pt>
                <c:pt idx="30">
                  <c:v>60000</c:v>
                </c:pt>
                <c:pt idx="31">
                  <c:v>62000</c:v>
                </c:pt>
                <c:pt idx="32">
                  <c:v>64000</c:v>
                </c:pt>
                <c:pt idx="33">
                  <c:v>66000</c:v>
                </c:pt>
                <c:pt idx="34">
                  <c:v>68000</c:v>
                </c:pt>
                <c:pt idx="35">
                  <c:v>70000</c:v>
                </c:pt>
                <c:pt idx="36">
                  <c:v>72000</c:v>
                </c:pt>
                <c:pt idx="37">
                  <c:v>74000</c:v>
                </c:pt>
                <c:pt idx="38">
                  <c:v>76000</c:v>
                </c:pt>
                <c:pt idx="39">
                  <c:v>78000</c:v>
                </c:pt>
                <c:pt idx="40">
                  <c:v>80000</c:v>
                </c:pt>
                <c:pt idx="41">
                  <c:v>82000</c:v>
                </c:pt>
                <c:pt idx="42">
                  <c:v>84000</c:v>
                </c:pt>
                <c:pt idx="43">
                  <c:v>86000</c:v>
                </c:pt>
                <c:pt idx="44">
                  <c:v>88000</c:v>
                </c:pt>
                <c:pt idx="45">
                  <c:v>90000</c:v>
                </c:pt>
                <c:pt idx="46">
                  <c:v>92000</c:v>
                </c:pt>
                <c:pt idx="47">
                  <c:v>94000</c:v>
                </c:pt>
                <c:pt idx="48">
                  <c:v>96000</c:v>
                </c:pt>
                <c:pt idx="49">
                  <c:v>98000</c:v>
                </c:pt>
                <c:pt idx="50">
                  <c:v>100000</c:v>
                </c:pt>
                <c:pt idx="51">
                  <c:v>102000</c:v>
                </c:pt>
                <c:pt idx="52">
                  <c:v>104000</c:v>
                </c:pt>
                <c:pt idx="53">
                  <c:v>106000</c:v>
                </c:pt>
                <c:pt idx="54">
                  <c:v>108000</c:v>
                </c:pt>
                <c:pt idx="55">
                  <c:v>110000</c:v>
                </c:pt>
                <c:pt idx="56">
                  <c:v>112000</c:v>
                </c:pt>
                <c:pt idx="57">
                  <c:v>114000</c:v>
                </c:pt>
                <c:pt idx="58">
                  <c:v>116000</c:v>
                </c:pt>
                <c:pt idx="59">
                  <c:v>118000</c:v>
                </c:pt>
                <c:pt idx="60">
                  <c:v>120000</c:v>
                </c:pt>
                <c:pt idx="61">
                  <c:v>122000</c:v>
                </c:pt>
                <c:pt idx="62">
                  <c:v>124000</c:v>
                </c:pt>
                <c:pt idx="63">
                  <c:v>126000</c:v>
                </c:pt>
                <c:pt idx="64">
                  <c:v>128000</c:v>
                </c:pt>
                <c:pt idx="65">
                  <c:v>130000</c:v>
                </c:pt>
                <c:pt idx="66">
                  <c:v>132000</c:v>
                </c:pt>
                <c:pt idx="67">
                  <c:v>134000</c:v>
                </c:pt>
                <c:pt idx="68">
                  <c:v>136000</c:v>
                </c:pt>
                <c:pt idx="69">
                  <c:v>138000</c:v>
                </c:pt>
                <c:pt idx="70">
                  <c:v>140000</c:v>
                </c:pt>
                <c:pt idx="71">
                  <c:v>142000</c:v>
                </c:pt>
                <c:pt idx="72">
                  <c:v>144000</c:v>
                </c:pt>
                <c:pt idx="73">
                  <c:v>146000</c:v>
                </c:pt>
                <c:pt idx="74">
                  <c:v>148000</c:v>
                </c:pt>
                <c:pt idx="75">
                  <c:v>150000</c:v>
                </c:pt>
                <c:pt idx="76">
                  <c:v>152000</c:v>
                </c:pt>
                <c:pt idx="77">
                  <c:v>154000</c:v>
                </c:pt>
                <c:pt idx="78">
                  <c:v>156000</c:v>
                </c:pt>
                <c:pt idx="79">
                  <c:v>158000</c:v>
                </c:pt>
                <c:pt idx="80">
                  <c:v>160000</c:v>
                </c:pt>
                <c:pt idx="81">
                  <c:v>162000</c:v>
                </c:pt>
                <c:pt idx="82">
                  <c:v>164000</c:v>
                </c:pt>
                <c:pt idx="83">
                  <c:v>166000</c:v>
                </c:pt>
                <c:pt idx="84">
                  <c:v>168000</c:v>
                </c:pt>
                <c:pt idx="85">
                  <c:v>170000</c:v>
                </c:pt>
                <c:pt idx="86">
                  <c:v>172000</c:v>
                </c:pt>
                <c:pt idx="87">
                  <c:v>174000</c:v>
                </c:pt>
                <c:pt idx="88">
                  <c:v>176000</c:v>
                </c:pt>
                <c:pt idx="89">
                  <c:v>178000</c:v>
                </c:pt>
                <c:pt idx="90">
                  <c:v>180000</c:v>
                </c:pt>
                <c:pt idx="91">
                  <c:v>182000</c:v>
                </c:pt>
                <c:pt idx="92">
                  <c:v>184000</c:v>
                </c:pt>
                <c:pt idx="93">
                  <c:v>186000</c:v>
                </c:pt>
                <c:pt idx="94">
                  <c:v>188000</c:v>
                </c:pt>
                <c:pt idx="95">
                  <c:v>190000</c:v>
                </c:pt>
                <c:pt idx="96">
                  <c:v>192000</c:v>
                </c:pt>
                <c:pt idx="97">
                  <c:v>194000</c:v>
                </c:pt>
                <c:pt idx="98">
                  <c:v>196000</c:v>
                </c:pt>
                <c:pt idx="99">
                  <c:v>198000</c:v>
                </c:pt>
                <c:pt idx="100">
                  <c:v>200000</c:v>
                </c:pt>
              </c:numCache>
            </c:numRef>
          </c:xVal>
          <c:yVal>
            <c:numRef>
              <c:f>PSA!$AL$3:$AL$103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2.0000000949949026E-3</c:v>
                </c:pt>
                <c:pt idx="8">
                  <c:v>3.0000000260770321E-3</c:v>
                </c:pt>
                <c:pt idx="9">
                  <c:v>1.4000000432133675E-2</c:v>
                </c:pt>
                <c:pt idx="10">
                  <c:v>2.8999999165534973E-2</c:v>
                </c:pt>
                <c:pt idx="11">
                  <c:v>5.000000074505806E-2</c:v>
                </c:pt>
                <c:pt idx="12">
                  <c:v>7.2999998927116394E-2</c:v>
                </c:pt>
                <c:pt idx="13">
                  <c:v>0.11699999868869781</c:v>
                </c:pt>
                <c:pt idx="14">
                  <c:v>0.15800000727176666</c:v>
                </c:pt>
                <c:pt idx="15">
                  <c:v>0.18299999833106995</c:v>
                </c:pt>
                <c:pt idx="16">
                  <c:v>0.20900000631809235</c:v>
                </c:pt>
                <c:pt idx="17">
                  <c:v>0.25299999117851257</c:v>
                </c:pt>
                <c:pt idx="18">
                  <c:v>0.29199999570846558</c:v>
                </c:pt>
                <c:pt idx="19">
                  <c:v>0.32300001382827759</c:v>
                </c:pt>
                <c:pt idx="20">
                  <c:v>0.36399999260902405</c:v>
                </c:pt>
                <c:pt idx="21">
                  <c:v>0.3970000147819519</c:v>
                </c:pt>
                <c:pt idx="22">
                  <c:v>0.41999998688697815</c:v>
                </c:pt>
                <c:pt idx="23">
                  <c:v>0.44100001454353333</c:v>
                </c:pt>
                <c:pt idx="24">
                  <c:v>0.4779999852180481</c:v>
                </c:pt>
                <c:pt idx="25">
                  <c:v>0.50499999523162842</c:v>
                </c:pt>
                <c:pt idx="26">
                  <c:v>0.53799998760223389</c:v>
                </c:pt>
                <c:pt idx="27">
                  <c:v>0.55900001525878906</c:v>
                </c:pt>
                <c:pt idx="28">
                  <c:v>0.57899999618530273</c:v>
                </c:pt>
                <c:pt idx="29">
                  <c:v>0.59700000286102295</c:v>
                </c:pt>
                <c:pt idx="30">
                  <c:v>0.61100000143051147</c:v>
                </c:pt>
                <c:pt idx="31">
                  <c:v>0.62900000810623169</c:v>
                </c:pt>
                <c:pt idx="32">
                  <c:v>0.64200001955032349</c:v>
                </c:pt>
                <c:pt idx="33">
                  <c:v>0.65799999237060547</c:v>
                </c:pt>
                <c:pt idx="34">
                  <c:v>0.67299997806549072</c:v>
                </c:pt>
                <c:pt idx="35">
                  <c:v>0.67799997329711914</c:v>
                </c:pt>
                <c:pt idx="36">
                  <c:v>0.69199997186660767</c:v>
                </c:pt>
                <c:pt idx="37">
                  <c:v>0.70399999618530273</c:v>
                </c:pt>
                <c:pt idx="38">
                  <c:v>0.71700000762939453</c:v>
                </c:pt>
                <c:pt idx="39">
                  <c:v>0.72600001096725464</c:v>
                </c:pt>
                <c:pt idx="40">
                  <c:v>0.73199999332427979</c:v>
                </c:pt>
                <c:pt idx="41">
                  <c:v>0.73600000143051147</c:v>
                </c:pt>
                <c:pt idx="42">
                  <c:v>0.74199998378753662</c:v>
                </c:pt>
                <c:pt idx="43">
                  <c:v>0.75199997425079346</c:v>
                </c:pt>
                <c:pt idx="44">
                  <c:v>0.75800001621246338</c:v>
                </c:pt>
                <c:pt idx="45">
                  <c:v>0.76099997758865356</c:v>
                </c:pt>
                <c:pt idx="46">
                  <c:v>0.7720000147819519</c:v>
                </c:pt>
                <c:pt idx="47">
                  <c:v>0.78200000524520874</c:v>
                </c:pt>
                <c:pt idx="48">
                  <c:v>0.78700000047683716</c:v>
                </c:pt>
                <c:pt idx="49">
                  <c:v>0.7929999828338623</c:v>
                </c:pt>
                <c:pt idx="50">
                  <c:v>0.79400002956390381</c:v>
                </c:pt>
                <c:pt idx="51">
                  <c:v>0.79500001668930054</c:v>
                </c:pt>
                <c:pt idx="52">
                  <c:v>0.79799997806549072</c:v>
                </c:pt>
                <c:pt idx="53">
                  <c:v>0.80299997329711914</c:v>
                </c:pt>
                <c:pt idx="54">
                  <c:v>0.80699998140335083</c:v>
                </c:pt>
                <c:pt idx="55">
                  <c:v>0.80800002813339233</c:v>
                </c:pt>
                <c:pt idx="56">
                  <c:v>0.81400001049041748</c:v>
                </c:pt>
                <c:pt idx="57">
                  <c:v>0.81699997186660767</c:v>
                </c:pt>
                <c:pt idx="58">
                  <c:v>0.8190000057220459</c:v>
                </c:pt>
                <c:pt idx="59">
                  <c:v>0.8190000057220459</c:v>
                </c:pt>
                <c:pt idx="60">
                  <c:v>0.82200002670288086</c:v>
                </c:pt>
                <c:pt idx="61">
                  <c:v>0.82300001382827759</c:v>
                </c:pt>
                <c:pt idx="62">
                  <c:v>0.82700002193450928</c:v>
                </c:pt>
                <c:pt idx="63">
                  <c:v>0.82899999618530273</c:v>
                </c:pt>
                <c:pt idx="64">
                  <c:v>0.83399999141693115</c:v>
                </c:pt>
                <c:pt idx="65">
                  <c:v>0.83899998664855957</c:v>
                </c:pt>
                <c:pt idx="66">
                  <c:v>0.84200000762939453</c:v>
                </c:pt>
                <c:pt idx="67">
                  <c:v>0.84299999475479126</c:v>
                </c:pt>
                <c:pt idx="68">
                  <c:v>0.84500002861022949</c:v>
                </c:pt>
                <c:pt idx="69">
                  <c:v>0.84700000286102295</c:v>
                </c:pt>
                <c:pt idx="70">
                  <c:v>0.85000002384185791</c:v>
                </c:pt>
                <c:pt idx="71">
                  <c:v>0.85199999809265137</c:v>
                </c:pt>
                <c:pt idx="72">
                  <c:v>0.8529999852180481</c:v>
                </c:pt>
                <c:pt idx="73">
                  <c:v>0.8529999852180481</c:v>
                </c:pt>
                <c:pt idx="74">
                  <c:v>0.85600000619888306</c:v>
                </c:pt>
                <c:pt idx="75">
                  <c:v>0.85900002717971802</c:v>
                </c:pt>
                <c:pt idx="76">
                  <c:v>0.8619999885559082</c:v>
                </c:pt>
                <c:pt idx="77">
                  <c:v>0.86500000953674316</c:v>
                </c:pt>
                <c:pt idx="78">
                  <c:v>0.86799997091293335</c:v>
                </c:pt>
                <c:pt idx="79">
                  <c:v>0.87000000476837158</c:v>
                </c:pt>
                <c:pt idx="80">
                  <c:v>0.87199997901916504</c:v>
                </c:pt>
                <c:pt idx="81">
                  <c:v>0.87199997901916504</c:v>
                </c:pt>
                <c:pt idx="82">
                  <c:v>0.87400001287460327</c:v>
                </c:pt>
                <c:pt idx="83">
                  <c:v>0.87599998712539673</c:v>
                </c:pt>
                <c:pt idx="84">
                  <c:v>0.87599998712539673</c:v>
                </c:pt>
                <c:pt idx="85">
                  <c:v>0.87599998712539673</c:v>
                </c:pt>
                <c:pt idx="86">
                  <c:v>0.87699997425079346</c:v>
                </c:pt>
                <c:pt idx="87">
                  <c:v>0.88099998235702515</c:v>
                </c:pt>
                <c:pt idx="88">
                  <c:v>0.88499999046325684</c:v>
                </c:pt>
                <c:pt idx="89">
                  <c:v>0.8880000114440918</c:v>
                </c:pt>
                <c:pt idx="90">
                  <c:v>0.8880000114440918</c:v>
                </c:pt>
                <c:pt idx="91">
                  <c:v>0.8880000114440918</c:v>
                </c:pt>
                <c:pt idx="92">
                  <c:v>0.88899999856948853</c:v>
                </c:pt>
                <c:pt idx="93">
                  <c:v>0.88899999856948853</c:v>
                </c:pt>
                <c:pt idx="94">
                  <c:v>0.89099997282028198</c:v>
                </c:pt>
                <c:pt idx="95">
                  <c:v>0.89099997282028198</c:v>
                </c:pt>
                <c:pt idx="96">
                  <c:v>0.89300000667572021</c:v>
                </c:pt>
                <c:pt idx="97">
                  <c:v>0.89399999380111694</c:v>
                </c:pt>
                <c:pt idx="98">
                  <c:v>0.89399999380111694</c:v>
                </c:pt>
                <c:pt idx="99">
                  <c:v>0.89499998092651367</c:v>
                </c:pt>
                <c:pt idx="100">
                  <c:v>0.89499998092651367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781-47C7-BB9D-7E07471106EF}"/>
            </c:ext>
          </c:extLst>
        </c:ser>
        <c:ser>
          <c:idx val="1"/>
          <c:order val="1"/>
          <c:tx>
            <c:v>CEAChigh</c:v>
          </c:tx>
          <c:spPr>
            <a:ln w="3175">
              <a:solidFill>
                <a:srgbClr val="000090"/>
              </a:solidFill>
              <a:prstDash val="sysDash"/>
            </a:ln>
          </c:spPr>
          <c:marker>
            <c:symbol val="none"/>
          </c:marker>
          <c:xVal>
            <c:numRef>
              <c:f>PSA!$O$54:$O$55</c:f>
              <c:numCache>
                <c:formatCode>_("$"* #,##0_);_("$"* \(#,##0\);_("$"* "-"??_);_(@_)</c:formatCode>
                <c:ptCount val="2"/>
                <c:pt idx="0">
                  <c:v>19699.335098266602</c:v>
                </c:pt>
                <c:pt idx="1">
                  <c:v>19699.335098266602</c:v>
                </c:pt>
              </c:numCache>
            </c:numRef>
          </c:xVal>
          <c:yVal>
            <c:numRef>
              <c:f>PSA!$N$54:$N$55</c:f>
              <c:numCache>
                <c:formatCode>General</c:formatCode>
                <c:ptCount val="2"/>
                <c:pt idx="0">
                  <c:v>0</c:v>
                </c:pt>
                <c:pt idx="1">
                  <c:v>2.5000000000000001E-2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781-47C7-BB9D-7E07471106EF}"/>
            </c:ext>
          </c:extLst>
        </c:ser>
        <c:ser>
          <c:idx val="2"/>
          <c:order val="2"/>
          <c:tx>
            <c:v>CEACperchigh</c:v>
          </c:tx>
          <c:spPr>
            <a:ln w="3175">
              <a:solidFill>
                <a:srgbClr val="000090"/>
              </a:solidFill>
              <a:prstDash val="sysDash"/>
            </a:ln>
          </c:spPr>
          <c:marker>
            <c:symbol val="none"/>
          </c:marker>
          <c:xVal>
            <c:numRef>
              <c:f>PSA!$O$57:$O$58</c:f>
              <c:numCache>
                <c:formatCode>_("$"* #,##0_);_("$"* \(#,##0\);_("$"* "-"??_);_(@_)</c:formatCode>
                <c:ptCount val="2"/>
                <c:pt idx="0" formatCode="General">
                  <c:v>0</c:v>
                </c:pt>
                <c:pt idx="1">
                  <c:v>19699.335098266602</c:v>
                </c:pt>
              </c:numCache>
            </c:numRef>
          </c:xVal>
          <c:yVal>
            <c:numRef>
              <c:f>PSA!$N$57:$N$58</c:f>
              <c:numCache>
                <c:formatCode>General</c:formatCode>
                <c:ptCount val="2"/>
                <c:pt idx="0">
                  <c:v>2.5000000000000001E-2</c:v>
                </c:pt>
                <c:pt idx="1">
                  <c:v>2.5000000000000001E-2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781-47C7-BB9D-7E07471106EF}"/>
            </c:ext>
          </c:extLst>
        </c:ser>
        <c:ser>
          <c:idx val="3"/>
          <c:order val="3"/>
          <c:tx>
            <c:v>CEAClow</c:v>
          </c:tx>
          <c:spPr>
            <a:ln w="3175">
              <a:solidFill>
                <a:srgbClr val="000090"/>
              </a:solidFill>
              <a:prstDash val="sysDash"/>
            </a:ln>
          </c:spPr>
          <c:marker>
            <c:symbol val="none"/>
          </c:marker>
          <c:xVal>
            <c:strRef>
              <c:f>PSA!$O$60:$O$61</c:f>
              <c:strCache>
                <c:ptCount val="2"/>
                <c:pt idx="0">
                  <c:v> Dom </c:v>
                </c:pt>
                <c:pt idx="1">
                  <c:v> Dom </c:v>
                </c:pt>
              </c:strCache>
            </c:strRef>
          </c:xVal>
          <c:yVal>
            <c:numRef>
              <c:f>PSA!$N$60:$N$61</c:f>
              <c:numCache>
                <c:formatCode>General</c:formatCode>
                <c:ptCount val="2"/>
                <c:pt idx="0">
                  <c:v>0</c:v>
                </c:pt>
                <c:pt idx="1">
                  <c:v>0.97499999999999998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781-47C7-BB9D-7E07471106EF}"/>
            </c:ext>
          </c:extLst>
        </c:ser>
        <c:ser>
          <c:idx val="4"/>
          <c:order val="4"/>
          <c:tx>
            <c:v>CEACperclow</c:v>
          </c:tx>
          <c:spPr>
            <a:ln w="12700">
              <a:solidFill>
                <a:srgbClr val="000090"/>
              </a:solidFill>
              <a:prstDash val="sysDash"/>
            </a:ln>
          </c:spPr>
          <c:marker>
            <c:symbol val="none"/>
          </c:marker>
          <c:xVal>
            <c:strRef>
              <c:f>PSA!$O$63:$O$64</c:f>
              <c:strCache>
                <c:ptCount val="2"/>
                <c:pt idx="0">
                  <c:v>0</c:v>
                </c:pt>
                <c:pt idx="1">
                  <c:v> Dom </c:v>
                </c:pt>
              </c:strCache>
            </c:strRef>
          </c:xVal>
          <c:yVal>
            <c:numRef>
              <c:f>PSA!$N$63:$N$64</c:f>
              <c:numCache>
                <c:formatCode>General</c:formatCode>
                <c:ptCount val="2"/>
                <c:pt idx="0">
                  <c:v>0.97499999999999998</c:v>
                </c:pt>
                <c:pt idx="1">
                  <c:v>0.97499999999999998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A781-47C7-BB9D-7E07471106EF}"/>
            </c:ext>
          </c:extLst>
        </c:ser>
        <c:ser>
          <c:idx val="5"/>
          <c:order val="5"/>
          <c:tx>
            <c:v>Threshold1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PSA!$AR$16:$AR$17</c:f>
              <c:numCache>
                <c:formatCode>General</c:formatCode>
                <c:ptCount val="2"/>
                <c:pt idx="0">
                  <c:v>0</c:v>
                </c:pt>
                <c:pt idx="1">
                  <c:v>30000</c:v>
                </c:pt>
              </c:numCache>
            </c:numRef>
          </c:xVal>
          <c:yVal>
            <c:numRef>
              <c:f>PSA!$AS$16:$AS$17</c:f>
              <c:numCache>
                <c:formatCode>General</c:formatCode>
                <c:ptCount val="2"/>
                <c:pt idx="0">
                  <c:v>0.18299999833106995</c:v>
                </c:pt>
                <c:pt idx="1">
                  <c:v>0.18299999833106995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A781-47C7-BB9D-7E07471106EF}"/>
            </c:ext>
          </c:extLst>
        </c:ser>
        <c:ser>
          <c:idx val="6"/>
          <c:order val="6"/>
          <c:tx>
            <c:v>Threshold2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PSA!$AR$17:$AR$18</c:f>
              <c:numCache>
                <c:formatCode>General</c:formatCode>
                <c:ptCount val="2"/>
                <c:pt idx="0">
                  <c:v>30000</c:v>
                </c:pt>
                <c:pt idx="1">
                  <c:v>30000</c:v>
                </c:pt>
              </c:numCache>
            </c:numRef>
          </c:xVal>
          <c:yVal>
            <c:numRef>
              <c:f>PSA!$AS$17:$AS$18</c:f>
              <c:numCache>
                <c:formatCode>General</c:formatCode>
                <c:ptCount val="2"/>
                <c:pt idx="0">
                  <c:v>0.18299999833106995</c:v>
                </c:pt>
                <c:pt idx="1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A781-47C7-BB9D-7E07471106EF}"/>
            </c:ext>
          </c:extLst>
        </c:ser>
        <c:ser>
          <c:idx val="7"/>
          <c:order val="7"/>
          <c:tx>
            <c:v>ThresholdMarker</c:v>
          </c:tx>
          <c:spPr>
            <a:ln w="28575">
              <a:noFill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PSA!$AR$17</c:f>
              <c:numCache>
                <c:formatCode>General</c:formatCode>
                <c:ptCount val="1"/>
                <c:pt idx="0">
                  <c:v>30000</c:v>
                </c:pt>
              </c:numCache>
            </c:numRef>
          </c:xVal>
          <c:yVal>
            <c:numRef>
              <c:f>PSA!$AS$17</c:f>
              <c:numCache>
                <c:formatCode>General</c:formatCode>
                <c:ptCount val="1"/>
                <c:pt idx="0">
                  <c:v>0.18299999833106995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7-A781-47C7-BB9D-7E07471106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767552"/>
        <c:axId val="49769856"/>
      </c:scatterChart>
      <c:valAx>
        <c:axId val="49767552"/>
        <c:scaling>
          <c:orientation val="minMax"/>
          <c:max val="20000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Willingness</a:t>
                </a:r>
                <a:r>
                  <a:rPr lang="en-US" baseline="0"/>
                  <a:t>-to-Pay for QALY 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43421047229431498"/>
              <c:y val="0.89174019914177405"/>
            </c:manualLayout>
          </c:layout>
          <c:overlay val="0"/>
          <c:spPr>
            <a:noFill/>
            <a:ln w="25400">
              <a:noFill/>
            </a:ln>
          </c:spPr>
        </c:title>
        <c:numFmt formatCode="[$£-809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769856"/>
        <c:crosses val="autoZero"/>
        <c:crossBetween val="midCat"/>
        <c:majorUnit val="50000"/>
      </c:valAx>
      <c:valAx>
        <c:axId val="49769856"/>
        <c:scaling>
          <c:orientation val="minMax"/>
          <c:max val="1"/>
        </c:scaling>
        <c:delete val="0"/>
        <c:axPos val="l"/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Probability QOF is Cost</a:t>
                </a:r>
                <a:r>
                  <a:rPr lang="en-US" baseline="0"/>
                  <a:t> </a:t>
                </a:r>
                <a:r>
                  <a:rPr lang="en-US"/>
                  <a:t>Effective</a:t>
                </a:r>
              </a:p>
            </c:rich>
          </c:tx>
          <c:layout>
            <c:manualLayout>
              <c:xMode val="edge"/>
              <c:yMode val="edge"/>
              <c:x val="2.6315732879758701E-2"/>
              <c:y val="0.2079776694579839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767552"/>
        <c:crosses val="autoZero"/>
        <c:crossBetween val="midCat"/>
        <c:majorUnit val="0.2"/>
      </c:valAx>
      <c:spPr>
        <a:solidFill>
          <a:schemeClr val="bg1">
            <a:lumMod val="85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chemeClr val="accent1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Scroll" dx="16" fmlaLink="PSA!$AQ$14" horiz="1" inc="200" max="20000" page="10" val="3000"/>
</file>

<file path=xl/ctrlProps/ctrlProp6.xml><?xml version="1.0" encoding="utf-8"?>
<formControlPr xmlns="http://schemas.microsoft.com/office/spreadsheetml/2009/9/main" objectType="Drop" dropLines="51" dropStyle="combo" dx="16" fmlaLink="'population sizes'!$P$42" fmlaRange="'population sizes'!$M$42:$M$43" noThreeD="1" sel="2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43</xdr:row>
          <xdr:rowOff>28575</xdr:rowOff>
        </xdr:from>
        <xdr:to>
          <xdr:col>3</xdr:col>
          <xdr:colOff>276225</xdr:colOff>
          <xdr:row>46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Run the model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65</xdr:row>
          <xdr:rowOff>161925</xdr:rowOff>
        </xdr:from>
        <xdr:to>
          <xdr:col>2</xdr:col>
          <xdr:colOff>904875</xdr:colOff>
          <xdr:row>69</xdr:row>
          <xdr:rowOff>66675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Using all base-case assumptions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161925</xdr:colOff>
          <xdr:row>65</xdr:row>
          <xdr:rowOff>161925</xdr:rowOff>
        </xdr:from>
        <xdr:to>
          <xdr:col>4</xdr:col>
          <xdr:colOff>723900</xdr:colOff>
          <xdr:row>69</xdr:row>
          <xdr:rowOff>85725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Using the assumptions I entered/selected above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73</xdr:row>
          <xdr:rowOff>104775</xdr:rowOff>
        </xdr:from>
        <xdr:to>
          <xdr:col>3</xdr:col>
          <xdr:colOff>676275</xdr:colOff>
          <xdr:row>76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Run PSA (it takes a couple of minutes to run)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609599</xdr:colOff>
      <xdr:row>76</xdr:row>
      <xdr:rowOff>114299</xdr:rowOff>
    </xdr:from>
    <xdr:to>
      <xdr:col>6</xdr:col>
      <xdr:colOff>781050</xdr:colOff>
      <xdr:row>101</xdr:row>
      <xdr:rowOff>161925</xdr:rowOff>
    </xdr:to>
    <xdr:graphicFrame macro="">
      <xdr:nvGraphicFramePr>
        <xdr:cNvPr id="8" name="Chart 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85</xdr:row>
          <xdr:rowOff>114300</xdr:rowOff>
        </xdr:from>
        <xdr:to>
          <xdr:col>8</xdr:col>
          <xdr:colOff>657225</xdr:colOff>
          <xdr:row>86</xdr:row>
          <xdr:rowOff>142875</xdr:rowOff>
        </xdr:to>
        <xdr:sp macro="" textlink="">
          <xdr:nvSpPr>
            <xdr:cNvPr id="3084" name="Scroll Bar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20</xdr:row>
          <xdr:rowOff>104775</xdr:rowOff>
        </xdr:from>
        <xdr:to>
          <xdr:col>2</xdr:col>
          <xdr:colOff>790575</xdr:colOff>
          <xdr:row>21</xdr:row>
          <xdr:rowOff>180975</xdr:rowOff>
        </xdr:to>
        <xdr:sp macro="" textlink="">
          <xdr:nvSpPr>
            <xdr:cNvPr id="3087" name="Drop Dow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466725</xdr:colOff>
          <xdr:row>7</xdr:row>
          <xdr:rowOff>85725</xdr:rowOff>
        </xdr:from>
        <xdr:to>
          <xdr:col>9</xdr:col>
          <xdr:colOff>257175</xdr:colOff>
          <xdr:row>10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Run model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639561</xdr:colOff>
      <xdr:row>2</xdr:row>
      <xdr:rowOff>147458</xdr:rowOff>
    </xdr:from>
    <xdr:ext cx="5373304" cy="129791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608561" y="540003"/>
          <a:ext cx="5373304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Notes:</a:t>
          </a:r>
        </a:p>
        <a:p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lx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is the number of survivors to exact age x of 100,000 live births of the same sex who are assumed to be subject throughout their lives to the mortality rates experienced in the three year period 2010-2012</a:t>
          </a:r>
        </a:p>
        <a:p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qx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is the mortality rate 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between age x and (x +1), that is the probability that a person aged x exactly will die before reaching age (x +1)</a:t>
          </a:r>
        </a:p>
        <a:p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ex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is the average period expectation of life at exact age x</a:t>
          </a:r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297138</xdr:colOff>
      <xdr:row>0</xdr:row>
      <xdr:rowOff>98198</xdr:rowOff>
    </xdr:from>
    <xdr:to>
      <xdr:col>40</xdr:col>
      <xdr:colOff>258177</xdr:colOff>
      <xdr:row>14</xdr:row>
      <xdr:rowOff>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33778" y="98198"/>
          <a:ext cx="8678319" cy="2740100"/>
        </a:xfrm>
        <a:prstGeom prst="rect">
          <a:avLst/>
        </a:prstGeom>
      </xdr:spPr>
    </xdr:pic>
    <xdr:clientData/>
  </xdr:twoCellAnchor>
  <xdr:twoCellAnchor editAs="oneCell">
    <xdr:from>
      <xdr:col>27</xdr:col>
      <xdr:colOff>268872</xdr:colOff>
      <xdr:row>15</xdr:row>
      <xdr:rowOff>64</xdr:rowOff>
    </xdr:from>
    <xdr:to>
      <xdr:col>46</xdr:col>
      <xdr:colOff>226644</xdr:colOff>
      <xdr:row>25</xdr:row>
      <xdr:rowOff>74704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299028" y="3016314"/>
          <a:ext cx="12776835" cy="2059015"/>
        </a:xfrm>
        <a:prstGeom prst="rect">
          <a:avLst/>
        </a:prstGeom>
      </xdr:spPr>
    </xdr:pic>
    <xdr:clientData/>
  </xdr:twoCellAnchor>
  <xdr:twoCellAnchor editAs="oneCell">
    <xdr:from>
      <xdr:col>27</xdr:col>
      <xdr:colOff>50800</xdr:colOff>
      <xdr:row>29</xdr:row>
      <xdr:rowOff>88900</xdr:rowOff>
    </xdr:from>
    <xdr:to>
      <xdr:col>33</xdr:col>
      <xdr:colOff>101814</xdr:colOff>
      <xdr:row>37</xdr:row>
      <xdr:rowOff>101600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45100" y="5702300"/>
          <a:ext cx="3632414" cy="1587500"/>
        </a:xfrm>
        <a:prstGeom prst="rect">
          <a:avLst/>
        </a:prstGeom>
      </xdr:spPr>
    </xdr:pic>
    <xdr:clientData/>
  </xdr:twoCellAnchor>
  <xdr:twoCellAnchor editAs="oneCell">
    <xdr:from>
      <xdr:col>33</xdr:col>
      <xdr:colOff>431800</xdr:colOff>
      <xdr:row>30</xdr:row>
      <xdr:rowOff>63500</xdr:rowOff>
    </xdr:from>
    <xdr:to>
      <xdr:col>39</xdr:col>
      <xdr:colOff>90400</xdr:colOff>
      <xdr:row>38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907500" y="5867400"/>
          <a:ext cx="3240000" cy="1524000"/>
        </a:xfrm>
        <a:prstGeom prst="rect">
          <a:avLst/>
        </a:prstGeom>
      </xdr:spPr>
    </xdr:pic>
    <xdr:clientData/>
  </xdr:twoCellAnchor>
  <xdr:twoCellAnchor editAs="oneCell">
    <xdr:from>
      <xdr:col>39</xdr:col>
      <xdr:colOff>342900</xdr:colOff>
      <xdr:row>31</xdr:row>
      <xdr:rowOff>0</xdr:rowOff>
    </xdr:from>
    <xdr:to>
      <xdr:col>47</xdr:col>
      <xdr:colOff>491510</xdr:colOff>
      <xdr:row>37</xdr:row>
      <xdr:rowOff>72867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400000" y="5994400"/>
          <a:ext cx="4923810" cy="126666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114300</xdr:rowOff>
        </xdr:from>
        <xdr:to>
          <xdr:col>4</xdr:col>
          <xdr:colOff>276225</xdr:colOff>
          <xdr:row>4</xdr:row>
          <xdr:rowOff>85725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Run new two-way sensitivity analysis (can take a couple of minutes)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0</xdr:rowOff>
        </xdr:from>
        <xdr:to>
          <xdr:col>9</xdr:col>
          <xdr:colOff>66675</xdr:colOff>
          <xdr:row>4</xdr:row>
          <xdr:rowOff>66675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Return to Interface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1</xdr:row>
          <xdr:rowOff>0</xdr:rowOff>
        </xdr:from>
        <xdr:to>
          <xdr:col>2</xdr:col>
          <xdr:colOff>504825</xdr:colOff>
          <xdr:row>3</xdr:row>
          <xdr:rowOff>152400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Return to Interface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409575</xdr:colOff>
          <xdr:row>1</xdr:row>
          <xdr:rowOff>180975</xdr:rowOff>
        </xdr:from>
        <xdr:to>
          <xdr:col>12</xdr:col>
          <xdr:colOff>333375</xdr:colOff>
          <xdr:row>4</xdr:row>
          <xdr:rowOff>180975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run PSA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hyperlink" Target="https://www.ons.gov.uk/peoplepopulationandcommunity/populationandmigration/populationestimates/datasets/populationestimatesforukenglandandwalesscotlandandnorthernireland" TargetMode="External"/><Relationship Id="rId1" Type="http://schemas.openxmlformats.org/officeDocument/2006/relationships/hyperlink" Target="https://www.ons.gov.uk/peoplepopulationandcommunity/birthsdeathsandmarriages/deaths/datasets/deathregistrationssummarytablesenglandandwalesdeathsbysingleyearofagetables" TargetMode="External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4.xml"/><Relationship Id="rId1" Type="http://schemas.openxmlformats.org/officeDocument/2006/relationships/hyperlink" Target="https://www.bhf.org.uk/research/heart-statistics/heart-statistics-publications/cardiovascular-disease-statistics-2015" TargetMode="External"/><Relationship Id="rId4" Type="http://schemas.openxmlformats.org/officeDocument/2006/relationships/comments" Target="../comments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93"/>
  <sheetViews>
    <sheetView tabSelected="1" zoomScale="131" zoomScaleNormal="131" workbookViewId="0">
      <selection activeCell="E43" sqref="E43"/>
    </sheetView>
  </sheetViews>
  <sheetFormatPr defaultColWidth="8.85546875" defaultRowHeight="15" x14ac:dyDescent="0.25"/>
  <cols>
    <col min="1" max="1" width="8.85546875" style="2"/>
    <col min="2" max="2" width="18" style="2" customWidth="1"/>
    <col min="3" max="3" width="18.7109375" style="2" customWidth="1"/>
    <col min="4" max="4" width="18.28515625" style="2" customWidth="1"/>
    <col min="5" max="5" width="21.7109375" style="2" customWidth="1"/>
    <col min="6" max="6" width="15.7109375" style="2" customWidth="1"/>
    <col min="7" max="7" width="17.28515625" style="2" customWidth="1"/>
    <col min="8" max="8" width="22" style="2" customWidth="1"/>
    <col min="9" max="9" width="18.28515625" style="2" customWidth="1"/>
    <col min="10" max="10" width="11.28515625" style="2" customWidth="1"/>
    <col min="11" max="11" width="8.85546875" style="2"/>
    <col min="12" max="12" width="39.140625" style="2" customWidth="1"/>
    <col min="13" max="16384" width="8.85546875" style="2"/>
  </cols>
  <sheetData>
    <row r="1" spans="1:12" x14ac:dyDescent="0.25">
      <c r="A1" s="381" t="s">
        <v>33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</row>
    <row r="2" spans="1:12" x14ac:dyDescent="0.25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</row>
    <row r="3" spans="1:12" x14ac:dyDescent="0.25">
      <c r="A3" s="381"/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</row>
    <row r="4" spans="1:12" x14ac:dyDescent="0.25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</row>
    <row r="5" spans="1:12" x14ac:dyDescent="0.25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</row>
    <row r="6" spans="1:12" x14ac:dyDescent="0.25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</row>
    <row r="7" spans="1:12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</row>
    <row r="8" spans="1:12" x14ac:dyDescent="0.25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</row>
    <row r="9" spans="1:12" x14ac:dyDescent="0.25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</row>
    <row r="10" spans="1:12" x14ac:dyDescent="0.25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</row>
    <row r="12" spans="1:12" ht="15.75" thickBot="1" x14ac:dyDescent="0.3">
      <c r="B12" s="2" t="s">
        <v>167</v>
      </c>
    </row>
    <row r="13" spans="1:12" ht="15.75" thickBot="1" x14ac:dyDescent="0.3">
      <c r="C13" s="185">
        <v>3.68</v>
      </c>
      <c r="F13" s="369"/>
    </row>
    <row r="14" spans="1:12" ht="15.75" thickBot="1" x14ac:dyDescent="0.3">
      <c r="B14" s="2" t="s">
        <v>190</v>
      </c>
      <c r="D14" s="2" t="s">
        <v>191</v>
      </c>
    </row>
    <row r="15" spans="1:12" ht="15.75" thickBot="1" x14ac:dyDescent="0.3">
      <c r="B15" s="207">
        <v>-0.8</v>
      </c>
      <c r="D15" s="208">
        <v>8.16</v>
      </c>
    </row>
    <row r="17" spans="2:6" ht="15.75" thickBot="1" x14ac:dyDescent="0.3">
      <c r="B17" s="2" t="s">
        <v>261</v>
      </c>
    </row>
    <row r="18" spans="2:6" ht="15.75" thickBot="1" x14ac:dyDescent="0.3">
      <c r="B18" s="115" t="s">
        <v>349</v>
      </c>
      <c r="D18" s="369"/>
      <c r="F18" s="153"/>
    </row>
    <row r="20" spans="2:6" x14ac:dyDescent="0.25">
      <c r="B20" s="2" t="s">
        <v>269</v>
      </c>
    </row>
    <row r="24" spans="2:6" ht="15.95" customHeight="1" thickBot="1" x14ac:dyDescent="0.3">
      <c r="B24" s="2" t="s">
        <v>334</v>
      </c>
    </row>
    <row r="25" spans="2:6" ht="15.75" thickBot="1" x14ac:dyDescent="0.3">
      <c r="B25" s="151">
        <v>0</v>
      </c>
    </row>
    <row r="27" spans="2:6" ht="15.75" thickBot="1" x14ac:dyDescent="0.3">
      <c r="B27" s="2" t="s">
        <v>335</v>
      </c>
    </row>
    <row r="28" spans="2:6" ht="15.75" thickBot="1" x14ac:dyDescent="0.3">
      <c r="B28" s="361">
        <v>1.12E-2</v>
      </c>
    </row>
    <row r="29" spans="2:6" x14ac:dyDescent="0.25">
      <c r="D29" s="368"/>
      <c r="E29" s="368"/>
      <c r="F29" s="368"/>
    </row>
    <row r="30" spans="2:6" ht="15.75" thickBot="1" x14ac:dyDescent="0.3">
      <c r="B30" s="2" t="s">
        <v>262</v>
      </c>
    </row>
    <row r="31" spans="2:6" ht="15.75" thickBot="1" x14ac:dyDescent="0.3">
      <c r="B31" s="151">
        <v>1.6286407766990292</v>
      </c>
      <c r="C31" s="305">
        <v>0</v>
      </c>
    </row>
    <row r="32" spans="2:6" x14ac:dyDescent="0.25">
      <c r="C32" s="366">
        <v>1.63</v>
      </c>
      <c r="D32" s="369"/>
    </row>
    <row r="33" spans="2:5" x14ac:dyDescent="0.25">
      <c r="C33" s="367">
        <v>5</v>
      </c>
    </row>
    <row r="34" spans="2:5" x14ac:dyDescent="0.25">
      <c r="C34" s="367"/>
    </row>
    <row r="35" spans="2:5" ht="15.75" thickBot="1" x14ac:dyDescent="0.3">
      <c r="B35" s="2" t="s">
        <v>356</v>
      </c>
      <c r="C35" s="367"/>
    </row>
    <row r="36" spans="2:5" ht="15.75" thickBot="1" x14ac:dyDescent="0.3">
      <c r="B36" s="115">
        <f>costtable!AB4</f>
        <v>10871.142857142857</v>
      </c>
      <c r="C36" s="367"/>
    </row>
    <row r="37" spans="2:5" x14ac:dyDescent="0.25">
      <c r="C37" s="367"/>
    </row>
    <row r="38" spans="2:5" ht="15.75" thickBot="1" x14ac:dyDescent="0.3">
      <c r="B38" s="2" t="s">
        <v>357</v>
      </c>
      <c r="C38" s="367"/>
    </row>
    <row r="39" spans="2:5" ht="15.75" thickBot="1" x14ac:dyDescent="0.3">
      <c r="B39" s="115">
        <f>costtable!AB5</f>
        <v>3282.1904761904761</v>
      </c>
      <c r="C39" s="367"/>
    </row>
    <row r="40" spans="2:5" x14ac:dyDescent="0.25">
      <c r="C40" s="367"/>
    </row>
    <row r="41" spans="2:5" x14ac:dyDescent="0.25">
      <c r="B41" s="206" t="s">
        <v>260</v>
      </c>
      <c r="D41" s="206" t="s">
        <v>260</v>
      </c>
    </row>
    <row r="42" spans="2:5" ht="23.25" x14ac:dyDescent="0.35">
      <c r="B42" s="205" t="s">
        <v>259</v>
      </c>
    </row>
    <row r="43" spans="2:5" ht="6" customHeight="1" x14ac:dyDescent="0.25"/>
    <row r="44" spans="2:5" x14ac:dyDescent="0.25">
      <c r="E44" s="119"/>
    </row>
    <row r="48" spans="2:5" x14ac:dyDescent="0.25">
      <c r="C48" s="2" t="s">
        <v>168</v>
      </c>
    </row>
    <row r="49" spans="2:9" x14ac:dyDescent="0.25">
      <c r="B49" s="78"/>
      <c r="C49" s="79" t="s">
        <v>40</v>
      </c>
      <c r="D49" s="79" t="s">
        <v>15</v>
      </c>
      <c r="E49" s="79" t="s">
        <v>41</v>
      </c>
      <c r="F49" s="79" t="s">
        <v>197</v>
      </c>
      <c r="G49" s="79" t="s">
        <v>198</v>
      </c>
      <c r="H49" s="79" t="s">
        <v>199</v>
      </c>
      <c r="I49" s="79" t="s">
        <v>45</v>
      </c>
    </row>
    <row r="50" spans="2:9" ht="15.75" thickBot="1" x14ac:dyDescent="0.3">
      <c r="B50" s="80" t="s">
        <v>37</v>
      </c>
      <c r="C50" s="81">
        <f>cells!D4</f>
        <v>78805931.197819114</v>
      </c>
      <c r="D50" s="81">
        <f>cells!E4</f>
        <v>59562301.313592792</v>
      </c>
      <c r="E50" s="81">
        <f>cells!F4</f>
        <v>0</v>
      </c>
      <c r="F50" s="81">
        <f>cells!G4</f>
        <v>52426797.464991793</v>
      </c>
      <c r="G50" s="81">
        <f>cells!H4</f>
        <v>39966375.299194217</v>
      </c>
      <c r="H50" s="81">
        <f>cells!I4</f>
        <v>0</v>
      </c>
      <c r="I50" s="84" t="s">
        <v>46</v>
      </c>
    </row>
    <row r="51" spans="2:9" ht="24" thickBot="1" x14ac:dyDescent="0.4">
      <c r="B51" s="80" t="s">
        <v>38</v>
      </c>
      <c r="C51" s="81">
        <f>cells!D5</f>
        <v>79433681.344704553</v>
      </c>
      <c r="D51" s="81">
        <f>cells!E5</f>
        <v>60237415.691842586</v>
      </c>
      <c r="E51" s="122">
        <f>cells!F5</f>
        <v>25881916783.639214</v>
      </c>
      <c r="F51" s="81">
        <f>cells!G5</f>
        <v>52750331.189939044</v>
      </c>
      <c r="G51" s="81">
        <f>cells!H5</f>
        <v>40316707.486213535</v>
      </c>
      <c r="H51" s="120">
        <f>cells!I5</f>
        <v>17293239871.894897</v>
      </c>
      <c r="I51" s="210">
        <f>Results!I5</f>
        <v>49362.406631912752</v>
      </c>
    </row>
    <row r="52" spans="2:9" x14ac:dyDescent="0.25">
      <c r="B52" s="80" t="s">
        <v>39</v>
      </c>
      <c r="C52" s="82">
        <f>C51-C50</f>
        <v>627750.14688543975</v>
      </c>
      <c r="D52" s="82">
        <f t="shared" ref="D52:H52" si="0">D51-D50</f>
        <v>675114.37824979424</v>
      </c>
      <c r="E52" s="123">
        <f>E51-E50</f>
        <v>25881916783.639214</v>
      </c>
      <c r="F52" s="82">
        <f>F51-F50</f>
        <v>323533.72494725138</v>
      </c>
      <c r="G52" s="82">
        <f t="shared" si="0"/>
        <v>350332.18701931834</v>
      </c>
      <c r="H52" s="121">
        <f t="shared" si="0"/>
        <v>17293239871.894897</v>
      </c>
      <c r="I52" s="83" t="s">
        <v>46</v>
      </c>
    </row>
    <row r="54" spans="2:9" x14ac:dyDescent="0.25">
      <c r="B54" s="2" t="s">
        <v>169</v>
      </c>
    </row>
    <row r="55" spans="2:9" x14ac:dyDescent="0.25">
      <c r="B55" s="126">
        <v>30000</v>
      </c>
      <c r="I55" s="154"/>
    </row>
    <row r="57" spans="2:9" x14ac:dyDescent="0.25">
      <c r="B57" s="125" t="s">
        <v>333</v>
      </c>
      <c r="C57" s="125"/>
    </row>
    <row r="58" spans="2:9" x14ac:dyDescent="0.25">
      <c r="B58" s="382" t="str">
        <f>IF(NMB&lt;WTP,"NOPE!","YUP!")</f>
        <v>NOPE!</v>
      </c>
      <c r="C58" s="382"/>
    </row>
    <row r="59" spans="2:9" x14ac:dyDescent="0.25">
      <c r="B59" s="382"/>
      <c r="C59" s="382"/>
    </row>
    <row r="60" spans="2:9" x14ac:dyDescent="0.25">
      <c r="B60" s="382"/>
      <c r="C60" s="382"/>
    </row>
    <row r="62" spans="2:9" x14ac:dyDescent="0.25">
      <c r="B62" s="206" t="s">
        <v>260</v>
      </c>
    </row>
    <row r="63" spans="2:9" ht="27.75" customHeight="1" x14ac:dyDescent="0.35">
      <c r="B63" s="205" t="s">
        <v>258</v>
      </c>
    </row>
    <row r="64" spans="2:9" ht="11.25" customHeight="1" x14ac:dyDescent="0.25"/>
    <row r="65" spans="2:10" x14ac:dyDescent="0.25">
      <c r="B65" s="125" t="s">
        <v>187</v>
      </c>
      <c r="C65" s="125"/>
      <c r="D65" s="125"/>
      <c r="E65" s="125"/>
      <c r="F65" s="125"/>
    </row>
    <row r="72" spans="2:10" x14ac:dyDescent="0.25">
      <c r="B72" s="206" t="s">
        <v>260</v>
      </c>
    </row>
    <row r="73" spans="2:10" ht="23.25" x14ac:dyDescent="0.35">
      <c r="B73" s="205" t="s">
        <v>263</v>
      </c>
    </row>
    <row r="78" spans="2:10" x14ac:dyDescent="0.25">
      <c r="H78" s="125" t="s">
        <v>200</v>
      </c>
      <c r="I78" s="125"/>
      <c r="J78" s="125"/>
    </row>
    <row r="79" spans="2:10" x14ac:dyDescent="0.25">
      <c r="H79" s="383">
        <f>PSA!M27</f>
        <v>0.18299999833106995</v>
      </c>
      <c r="I79" s="383"/>
    </row>
    <row r="80" spans="2:10" x14ac:dyDescent="0.25">
      <c r="H80" s="383"/>
      <c r="I80" s="383"/>
    </row>
    <row r="81" spans="8:10" x14ac:dyDescent="0.25">
      <c r="H81" s="383"/>
      <c r="I81" s="383"/>
    </row>
    <row r="83" spans="8:10" x14ac:dyDescent="0.25">
      <c r="H83" s="125" t="s">
        <v>264</v>
      </c>
      <c r="I83" s="125"/>
      <c r="J83" s="125"/>
    </row>
    <row r="84" spans="8:10" x14ac:dyDescent="0.25">
      <c r="H84" s="384" t="str">
        <f>PSA!AP17</f>
        <v>₤30000</v>
      </c>
    </row>
    <row r="85" spans="8:10" x14ac:dyDescent="0.25">
      <c r="H85" s="385"/>
    </row>
    <row r="89" spans="8:10" x14ac:dyDescent="0.25">
      <c r="H89" s="2" t="s">
        <v>265</v>
      </c>
    </row>
    <row r="90" spans="8:10" x14ac:dyDescent="0.25">
      <c r="H90" s="211">
        <f>GUI_QOFeffect</f>
        <v>3.68</v>
      </c>
    </row>
    <row r="92" spans="8:10" x14ac:dyDescent="0.25">
      <c r="H92" s="2" t="s">
        <v>266</v>
      </c>
    </row>
    <row r="93" spans="8:10" x14ac:dyDescent="0.25">
      <c r="H93" s="212">
        <f>I51</f>
        <v>49362.406631912752</v>
      </c>
    </row>
  </sheetData>
  <mergeCells count="4">
    <mergeCell ref="A1:L10"/>
    <mergeCell ref="B58:C60"/>
    <mergeCell ref="H79:I81"/>
    <mergeCell ref="H84:H85"/>
  </mergeCells>
  <dataValidations count="1">
    <dataValidation type="list" allowBlank="1" showInputMessage="1" showErrorMessage="1" sqref="B31">
      <formula1>$C$31:$C$33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imulation">
                <anchor moveWithCells="1" sizeWithCells="1">
                  <from>
                    <xdr:col>0</xdr:col>
                    <xdr:colOff>533400</xdr:colOff>
                    <xdr:row>43</xdr:row>
                    <xdr:rowOff>28575</xdr:rowOff>
                  </from>
                  <to>
                    <xdr:col>3</xdr:col>
                    <xdr:colOff>276225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Base2way">
                <anchor moveWithCells="1" sizeWithCells="1">
                  <from>
                    <xdr:col>1</xdr:col>
                    <xdr:colOff>28575</xdr:colOff>
                    <xdr:row>65</xdr:row>
                    <xdr:rowOff>161925</xdr:rowOff>
                  </from>
                  <to>
                    <xdr:col>2</xdr:col>
                    <xdr:colOff>904875</xdr:colOff>
                    <xdr:row>69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6" name="Button 9">
              <controlPr defaultSize="0" print="0" autoFill="0" autoPict="0" macro="[0]!Custom2way">
                <anchor moveWithCells="1" sizeWithCells="1">
                  <from>
                    <xdr:col>3</xdr:col>
                    <xdr:colOff>161925</xdr:colOff>
                    <xdr:row>65</xdr:row>
                    <xdr:rowOff>161925</xdr:rowOff>
                  </from>
                  <to>
                    <xdr:col>4</xdr:col>
                    <xdr:colOff>723900</xdr:colOff>
                    <xdr:row>69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psa">
                <anchor moveWithCells="1" sizeWithCells="1">
                  <from>
                    <xdr:col>1</xdr:col>
                    <xdr:colOff>38100</xdr:colOff>
                    <xdr:row>73</xdr:row>
                    <xdr:rowOff>104775</xdr:rowOff>
                  </from>
                  <to>
                    <xdr:col>3</xdr:col>
                    <xdr:colOff>676275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Scroll Bar 12">
              <controlPr defaultSize="0" autoPict="0">
                <anchor moveWithCells="1">
                  <from>
                    <xdr:col>7</xdr:col>
                    <xdr:colOff>28575</xdr:colOff>
                    <xdr:row>85</xdr:row>
                    <xdr:rowOff>114300</xdr:rowOff>
                  </from>
                  <to>
                    <xdr:col>8</xdr:col>
                    <xdr:colOff>657225</xdr:colOff>
                    <xdr:row>86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9" name="Drop Down 15">
              <controlPr defaultSize="0" autoLine="0" autoPict="0">
                <anchor moveWithCells="1">
                  <from>
                    <xdr:col>1</xdr:col>
                    <xdr:colOff>38100</xdr:colOff>
                    <xdr:row>20</xdr:row>
                    <xdr:rowOff>104775</xdr:rowOff>
                  </from>
                  <to>
                    <xdr:col>2</xdr:col>
                    <xdr:colOff>790575</xdr:colOff>
                    <xdr:row>21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CV550"/>
  <sheetViews>
    <sheetView zoomScale="125" workbookViewId="0">
      <selection activeCell="CV349" sqref="CV349"/>
    </sheetView>
  </sheetViews>
  <sheetFormatPr defaultColWidth="8.85546875" defaultRowHeight="15" x14ac:dyDescent="0.25"/>
  <cols>
    <col min="1" max="1" width="8.85546875" style="1"/>
    <col min="2" max="2" width="13.28515625" style="1" customWidth="1"/>
    <col min="3" max="3" width="10.7109375" style="1" customWidth="1"/>
    <col min="4" max="4" width="19.28515625" style="1" customWidth="1"/>
    <col min="5" max="5" width="13.28515625" style="5" customWidth="1"/>
    <col min="6" max="6" width="21" style="1" customWidth="1"/>
    <col min="7" max="8" width="13.28515625" style="1" customWidth="1"/>
    <col min="9" max="9" width="18.140625" style="1" customWidth="1"/>
    <col min="10" max="16384" width="8.85546875" style="1"/>
  </cols>
  <sheetData>
    <row r="1" spans="1:100" s="26" customFormat="1" ht="12" thickBot="1" x14ac:dyDescent="0.25">
      <c r="A1" s="26">
        <v>1</v>
      </c>
      <c r="B1" s="26">
        <v>2</v>
      </c>
      <c r="C1" s="26">
        <v>3</v>
      </c>
      <c r="D1" s="26">
        <v>4</v>
      </c>
      <c r="E1" s="26">
        <v>5</v>
      </c>
      <c r="F1" s="26">
        <v>6</v>
      </c>
      <c r="G1" s="26">
        <v>7</v>
      </c>
      <c r="H1" s="26">
        <v>8</v>
      </c>
      <c r="I1" s="26">
        <v>9</v>
      </c>
      <c r="J1" s="26">
        <v>10</v>
      </c>
      <c r="K1" s="26">
        <v>11</v>
      </c>
      <c r="L1" s="26">
        <v>12</v>
      </c>
      <c r="M1" s="26">
        <v>13</v>
      </c>
      <c r="N1" s="26">
        <v>14</v>
      </c>
      <c r="O1" s="26">
        <v>15</v>
      </c>
      <c r="P1" s="26">
        <v>16</v>
      </c>
      <c r="Q1" s="26">
        <v>17</v>
      </c>
      <c r="R1" s="26">
        <v>18</v>
      </c>
      <c r="S1" s="26">
        <v>19</v>
      </c>
      <c r="T1" s="26">
        <v>20</v>
      </c>
      <c r="U1" s="26">
        <v>21</v>
      </c>
      <c r="V1" s="26">
        <v>22</v>
      </c>
      <c r="W1" s="26">
        <v>23</v>
      </c>
      <c r="X1" s="26">
        <v>24</v>
      </c>
      <c r="Y1" s="26">
        <v>25</v>
      </c>
      <c r="Z1" s="26">
        <v>26</v>
      </c>
      <c r="AA1" s="26">
        <v>27</v>
      </c>
      <c r="AB1" s="26">
        <v>28</v>
      </c>
      <c r="AC1" s="26">
        <v>29</v>
      </c>
      <c r="AD1" s="26">
        <v>30</v>
      </c>
      <c r="AE1" s="26">
        <v>31</v>
      </c>
      <c r="AF1" s="26">
        <v>32</v>
      </c>
      <c r="AG1" s="26">
        <v>33</v>
      </c>
      <c r="AH1" s="26">
        <v>34</v>
      </c>
      <c r="AI1" s="26">
        <v>35</v>
      </c>
      <c r="AJ1" s="26">
        <v>36</v>
      </c>
      <c r="AK1" s="26">
        <v>37</v>
      </c>
      <c r="AL1" s="26">
        <v>38</v>
      </c>
      <c r="AM1" s="26">
        <v>39</v>
      </c>
      <c r="AN1" s="26">
        <v>40</v>
      </c>
      <c r="AO1" s="26">
        <v>41</v>
      </c>
      <c r="AP1" s="26">
        <v>42</v>
      </c>
      <c r="AQ1" s="26">
        <v>43</v>
      </c>
      <c r="AR1" s="26">
        <v>44</v>
      </c>
      <c r="AS1" s="26">
        <v>45</v>
      </c>
      <c r="AT1" s="26">
        <v>46</v>
      </c>
      <c r="AU1" s="26">
        <v>47</v>
      </c>
      <c r="AV1" s="26">
        <v>48</v>
      </c>
      <c r="AW1" s="26">
        <v>49</v>
      </c>
      <c r="AX1" s="26">
        <v>50</v>
      </c>
      <c r="AY1" s="26">
        <v>51</v>
      </c>
      <c r="AZ1" s="26">
        <v>52</v>
      </c>
      <c r="BA1" s="26">
        <v>53</v>
      </c>
      <c r="BB1" s="26">
        <v>54</v>
      </c>
      <c r="BC1" s="26">
        <v>55</v>
      </c>
      <c r="BD1" s="26">
        <v>56</v>
      </c>
      <c r="BE1" s="26">
        <v>57</v>
      </c>
      <c r="BF1" s="26">
        <v>58</v>
      </c>
      <c r="BG1" s="26">
        <v>59</v>
      </c>
      <c r="BH1" s="26">
        <v>60</v>
      </c>
      <c r="BI1" s="26">
        <v>61</v>
      </c>
      <c r="BJ1" s="26">
        <v>62</v>
      </c>
      <c r="BK1" s="26">
        <v>63</v>
      </c>
      <c r="BL1" s="26">
        <v>64</v>
      </c>
      <c r="BM1" s="26">
        <v>65</v>
      </c>
      <c r="BN1" s="26">
        <v>66</v>
      </c>
      <c r="BO1" s="26">
        <v>67</v>
      </c>
      <c r="BP1" s="26">
        <v>68</v>
      </c>
      <c r="BQ1" s="26">
        <v>69</v>
      </c>
      <c r="BR1" s="26">
        <v>70</v>
      </c>
      <c r="BS1" s="26">
        <v>71</v>
      </c>
      <c r="BT1" s="26">
        <v>72</v>
      </c>
      <c r="BU1" s="26">
        <v>73</v>
      </c>
      <c r="BV1" s="26">
        <v>74</v>
      </c>
      <c r="BW1" s="26">
        <v>75</v>
      </c>
      <c r="BX1" s="26">
        <v>76</v>
      </c>
      <c r="BY1" s="26">
        <v>77</v>
      </c>
      <c r="BZ1" s="26">
        <v>78</v>
      </c>
      <c r="CA1" s="26">
        <v>79</v>
      </c>
      <c r="CB1" s="26">
        <v>80</v>
      </c>
      <c r="CC1" s="26">
        <v>81</v>
      </c>
      <c r="CD1" s="26">
        <v>82</v>
      </c>
      <c r="CE1" s="26">
        <v>83</v>
      </c>
      <c r="CF1" s="26">
        <v>84</v>
      </c>
      <c r="CG1" s="26">
        <v>85</v>
      </c>
      <c r="CH1" s="26">
        <v>86</v>
      </c>
      <c r="CI1" s="26">
        <v>87</v>
      </c>
      <c r="CJ1" s="26">
        <v>88</v>
      </c>
      <c r="CK1" s="26">
        <v>89</v>
      </c>
      <c r="CL1" s="26">
        <v>90</v>
      </c>
      <c r="CM1" s="26">
        <v>91</v>
      </c>
      <c r="CN1" s="26">
        <v>92</v>
      </c>
      <c r="CO1" s="26">
        <v>93</v>
      </c>
      <c r="CP1" s="26">
        <v>94</v>
      </c>
      <c r="CQ1" s="26">
        <v>95</v>
      </c>
      <c r="CR1" s="26">
        <v>96</v>
      </c>
      <c r="CS1" s="26">
        <v>97</v>
      </c>
      <c r="CT1" s="26">
        <v>98</v>
      </c>
      <c r="CU1" s="26">
        <v>99</v>
      </c>
      <c r="CV1" s="26">
        <v>100</v>
      </c>
    </row>
    <row r="2" spans="1:100" ht="15.75" thickBot="1" x14ac:dyDescent="0.3">
      <c r="D2" s="74" t="s">
        <v>61</v>
      </c>
      <c r="E2" s="75"/>
      <c r="F2" s="75"/>
      <c r="G2" s="75"/>
      <c r="H2" s="75"/>
      <c r="I2" s="75"/>
    </row>
    <row r="3" spans="1:100" ht="15.75" thickBot="1" x14ac:dyDescent="0.3">
      <c r="B3" s="11" t="s">
        <v>63</v>
      </c>
      <c r="C3" s="65">
        <v>14</v>
      </c>
      <c r="D3" s="73" t="s">
        <v>40</v>
      </c>
      <c r="E3" s="76" t="s">
        <v>15</v>
      </c>
      <c r="F3" s="76" t="s">
        <v>41</v>
      </c>
      <c r="G3" s="76" t="s">
        <v>42</v>
      </c>
      <c r="H3" s="76" t="s">
        <v>43</v>
      </c>
      <c r="I3" s="77" t="s">
        <v>44</v>
      </c>
    </row>
    <row r="4" spans="1:100" ht="15.75" thickTop="1" x14ac:dyDescent="0.25">
      <c r="B4" s="11" t="s">
        <v>78</v>
      </c>
      <c r="C4" s="65">
        <v>21</v>
      </c>
      <c r="D4" s="69">
        <f>SUM(D28,D54,D80,D106,D132,D158,D184,D210,D236,D262,D288,D314,D340,D366,D392,D418,D444,D470,D496,D522,D548)</f>
        <v>78805931.197819114</v>
      </c>
      <c r="E4" s="70">
        <f t="shared" ref="E4:I4" si="0">SUM(E28,E54,E80,E106,E132,E158,E184,E210,E236,E262,E288,E314,E340,E366,E392,E418,E444,E470,E496,E522,E548)</f>
        <v>59562301.313592792</v>
      </c>
      <c r="F4" s="71">
        <f t="shared" si="0"/>
        <v>0</v>
      </c>
      <c r="G4" s="71">
        <f t="shared" si="0"/>
        <v>52426797.464991793</v>
      </c>
      <c r="H4" s="71">
        <f t="shared" si="0"/>
        <v>39966375.299194217</v>
      </c>
      <c r="I4" s="72">
        <f t="shared" si="0"/>
        <v>0</v>
      </c>
    </row>
    <row r="5" spans="1:100" ht="15.75" thickBot="1" x14ac:dyDescent="0.3">
      <c r="B5" s="11" t="s">
        <v>64</v>
      </c>
      <c r="C5" s="65">
        <v>4</v>
      </c>
      <c r="D5" s="66">
        <f>SUM(D29,D55,D81,D107,D133,D159,D185,D211,D237,D263,D289,D315,D341,D367,D393,D419,D445,D471,D497,D523,D549)</f>
        <v>79433681.344704553</v>
      </c>
      <c r="E5" s="67">
        <f t="shared" ref="E5:I5" si="1">SUM(E29,E55,E81,E107,E133,E159,E185,E211,E237,E263,E289,E315,E341,E367,E393,E419,E445,E471,E497,E523,E549)</f>
        <v>60237415.691842586</v>
      </c>
      <c r="F5" s="67">
        <f t="shared" si="1"/>
        <v>25881916783.639214</v>
      </c>
      <c r="G5" s="67">
        <f t="shared" si="1"/>
        <v>52750331.189939044</v>
      </c>
      <c r="H5" s="67">
        <f>SUM(H29,H55,H81,H107,H133,H159,H185,H211,H237,H263,H289,H315,H341,H367,H393,H419,H445,H471,H497,H523,H549)</f>
        <v>40316707.486213535</v>
      </c>
      <c r="I5" s="68">
        <f t="shared" si="1"/>
        <v>17293239871.894897</v>
      </c>
    </row>
    <row r="6" spans="1:100" x14ac:dyDescent="0.25">
      <c r="B6" s="11" t="s">
        <v>65</v>
      </c>
      <c r="C6" s="28">
        <v>6</v>
      </c>
    </row>
    <row r="10" spans="1:100" ht="15.75" thickBot="1" x14ac:dyDescent="0.3">
      <c r="B10" s="27">
        <v>1</v>
      </c>
      <c r="D10" s="29" t="s">
        <v>67</v>
      </c>
      <c r="E10" s="10" t="s">
        <v>138</v>
      </c>
    </row>
    <row r="11" spans="1:100" x14ac:dyDescent="0.25">
      <c r="B11" s="27">
        <v>2</v>
      </c>
      <c r="C11" s="27">
        <v>1</v>
      </c>
      <c r="D11" s="22" t="s">
        <v>55</v>
      </c>
      <c r="E11" s="46">
        <f>'population sizes'!G49</f>
        <v>42</v>
      </c>
    </row>
    <row r="12" spans="1:100" x14ac:dyDescent="0.25">
      <c r="B12" s="27">
        <v>3</v>
      </c>
      <c r="C12" s="27">
        <v>2</v>
      </c>
      <c r="D12" s="23" t="s">
        <v>56</v>
      </c>
      <c r="E12" s="114">
        <f>'population sizes'!G50</f>
        <v>0.4770187854029091</v>
      </c>
    </row>
    <row r="13" spans="1:100" x14ac:dyDescent="0.25">
      <c r="B13" s="27">
        <v>4</v>
      </c>
      <c r="C13" s="27">
        <v>3</v>
      </c>
      <c r="D13" s="23" t="s">
        <v>57</v>
      </c>
      <c r="E13" s="47">
        <f>'population sizes'!G51</f>
        <v>0</v>
      </c>
    </row>
    <row r="14" spans="1:100" x14ac:dyDescent="0.25">
      <c r="B14" s="27">
        <v>5</v>
      </c>
      <c r="C14" s="27">
        <v>4</v>
      </c>
      <c r="D14" s="24" t="s">
        <v>66</v>
      </c>
      <c r="E14" s="47">
        <f>'population sizes'!G52</f>
        <v>1</v>
      </c>
    </row>
    <row r="15" spans="1:100" ht="23.25" x14ac:dyDescent="0.35">
      <c r="B15" s="27">
        <v>6</v>
      </c>
      <c r="C15" s="27">
        <v>5</v>
      </c>
      <c r="D15" s="25" t="s">
        <v>60</v>
      </c>
      <c r="E15" s="47"/>
      <c r="G15" s="54">
        <v>1</v>
      </c>
    </row>
    <row r="16" spans="1:100" x14ac:dyDescent="0.25">
      <c r="B16" s="27">
        <v>7</v>
      </c>
      <c r="C16" s="27">
        <v>6</v>
      </c>
      <c r="D16" s="25" t="s">
        <v>60</v>
      </c>
      <c r="E16" s="47"/>
    </row>
    <row r="17" spans="2:9" x14ac:dyDescent="0.25">
      <c r="B17" s="27">
        <v>8</v>
      </c>
      <c r="C17" s="27">
        <v>7</v>
      </c>
      <c r="D17" s="25" t="s">
        <v>60</v>
      </c>
      <c r="E17" s="47"/>
    </row>
    <row r="18" spans="2:9" x14ac:dyDescent="0.25">
      <c r="B18" s="27">
        <v>9</v>
      </c>
      <c r="C18" s="27">
        <v>8</v>
      </c>
      <c r="D18" s="25" t="s">
        <v>60</v>
      </c>
      <c r="E18" s="47"/>
    </row>
    <row r="19" spans="2:9" x14ac:dyDescent="0.25">
      <c r="B19" s="27">
        <v>10</v>
      </c>
      <c r="C19" s="27">
        <v>9</v>
      </c>
      <c r="D19" s="25" t="s">
        <v>60</v>
      </c>
      <c r="E19" s="47"/>
    </row>
    <row r="20" spans="2:9" ht="15.75" thickBot="1" x14ac:dyDescent="0.3">
      <c r="B20" s="27">
        <v>11</v>
      </c>
      <c r="C20" s="27">
        <v>10</v>
      </c>
      <c r="D20" s="25" t="s">
        <v>60</v>
      </c>
      <c r="E20" s="48"/>
    </row>
    <row r="21" spans="2:9" ht="15.75" thickBot="1" x14ac:dyDescent="0.3">
      <c r="B21" s="27">
        <v>12</v>
      </c>
      <c r="D21" s="30" t="s">
        <v>58</v>
      </c>
      <c r="E21" s="49"/>
      <c r="F21" s="12"/>
      <c r="G21" s="12"/>
      <c r="H21" s="12"/>
      <c r="I21" s="12"/>
    </row>
    <row r="22" spans="2:9" ht="15.75" thickBot="1" x14ac:dyDescent="0.3">
      <c r="B22" s="27">
        <v>13</v>
      </c>
      <c r="D22" s="31" t="s">
        <v>40</v>
      </c>
      <c r="E22" s="35" t="s">
        <v>15</v>
      </c>
      <c r="F22" s="35" t="s">
        <v>41</v>
      </c>
      <c r="G22" s="35" t="s">
        <v>42</v>
      </c>
      <c r="H22" s="35" t="s">
        <v>43</v>
      </c>
      <c r="I22" s="36" t="s">
        <v>44</v>
      </c>
    </row>
    <row r="23" spans="2:9" ht="15.75" thickTop="1" x14ac:dyDescent="0.25">
      <c r="B23" s="27">
        <v>14</v>
      </c>
      <c r="C23" s="40" t="s">
        <v>37</v>
      </c>
      <c r="D23" s="32">
        <v>38.683924743686511</v>
      </c>
      <c r="E23" s="33">
        <v>30.024318063664168</v>
      </c>
      <c r="F23" s="33"/>
      <c r="G23" s="33">
        <v>20.656331687126819</v>
      </c>
      <c r="H23" s="33">
        <v>16.499630442639791</v>
      </c>
      <c r="I23" s="34"/>
    </row>
    <row r="24" spans="2:9" ht="15.75" thickBot="1" x14ac:dyDescent="0.3">
      <c r="B24" s="27">
        <v>15</v>
      </c>
      <c r="C24" s="41" t="s">
        <v>38</v>
      </c>
      <c r="D24" s="63">
        <v>39.169365240238264</v>
      </c>
      <c r="E24" s="62">
        <v>30.548612670131547</v>
      </c>
      <c r="F24" s="62">
        <v>12407.430430260043</v>
      </c>
      <c r="G24" s="62">
        <v>20.847366076758817</v>
      </c>
      <c r="H24" s="62">
        <v>16.709418614695238</v>
      </c>
      <c r="I24" s="64">
        <v>6635.6773334594463</v>
      </c>
    </row>
    <row r="25" spans="2:9" ht="15.75" thickBot="1" x14ac:dyDescent="0.3">
      <c r="B25" s="27">
        <v>16</v>
      </c>
      <c r="D25" s="44" t="s">
        <v>59</v>
      </c>
      <c r="E25" s="52">
        <f>'population sizes'!G53</f>
        <v>0</v>
      </c>
      <c r="F25" s="13"/>
      <c r="G25" s="13"/>
      <c r="H25" s="13"/>
      <c r="I25" s="13"/>
    </row>
    <row r="26" spans="2:9" ht="15.75" thickBot="1" x14ac:dyDescent="0.3">
      <c r="B26" s="27">
        <v>17</v>
      </c>
      <c r="D26" s="45" t="s">
        <v>61</v>
      </c>
      <c r="E26" s="51"/>
      <c r="F26" s="13"/>
      <c r="G26" s="13"/>
      <c r="H26" s="13"/>
      <c r="I26" s="13"/>
    </row>
    <row r="27" spans="2:9" ht="15.75" thickBot="1" x14ac:dyDescent="0.3">
      <c r="B27" s="27">
        <v>18</v>
      </c>
      <c r="D27" s="37" t="s">
        <v>40</v>
      </c>
      <c r="E27" s="38" t="s">
        <v>15</v>
      </c>
      <c r="F27" s="38" t="s">
        <v>41</v>
      </c>
      <c r="G27" s="38" t="s">
        <v>42</v>
      </c>
      <c r="H27" s="38" t="s">
        <v>43</v>
      </c>
      <c r="I27" s="39" t="s">
        <v>44</v>
      </c>
    </row>
    <row r="28" spans="2:9" ht="15.75" thickTop="1" x14ac:dyDescent="0.25">
      <c r="B28" s="27">
        <v>19</v>
      </c>
      <c r="C28" s="42" t="s">
        <v>37</v>
      </c>
      <c r="D28" s="55">
        <f>D23*E25</f>
        <v>0</v>
      </c>
      <c r="E28" s="57">
        <f>E23*E25</f>
        <v>0</v>
      </c>
      <c r="F28" s="57">
        <f>F23*E25</f>
        <v>0</v>
      </c>
      <c r="G28" s="57">
        <f>G23*E25</f>
        <v>0</v>
      </c>
      <c r="H28" s="57">
        <f>H23*E25</f>
        <v>0</v>
      </c>
      <c r="I28" s="60">
        <f>I23*E25</f>
        <v>0</v>
      </c>
    </row>
    <row r="29" spans="2:9" ht="15.75" thickBot="1" x14ac:dyDescent="0.3">
      <c r="B29" s="27">
        <v>20</v>
      </c>
      <c r="C29" s="43" t="s">
        <v>38</v>
      </c>
      <c r="D29" s="56">
        <f>D24*E25</f>
        <v>0</v>
      </c>
      <c r="E29" s="58">
        <f>E24*E25</f>
        <v>0</v>
      </c>
      <c r="F29" s="59">
        <f>F24*E25</f>
        <v>0</v>
      </c>
      <c r="G29" s="59">
        <f>G24*E25</f>
        <v>0</v>
      </c>
      <c r="H29" s="59">
        <f>H24*E25</f>
        <v>0</v>
      </c>
      <c r="I29" s="61">
        <f>I24*E25</f>
        <v>0</v>
      </c>
    </row>
    <row r="30" spans="2:9" x14ac:dyDescent="0.25">
      <c r="B30" s="27">
        <v>21</v>
      </c>
      <c r="D30" s="26">
        <v>1</v>
      </c>
      <c r="E30" s="26">
        <v>2</v>
      </c>
      <c r="F30" s="26">
        <v>3</v>
      </c>
      <c r="G30" s="26">
        <v>4</v>
      </c>
      <c r="H30" s="26">
        <v>5</v>
      </c>
      <c r="I30" s="26">
        <v>6</v>
      </c>
    </row>
    <row r="31" spans="2:9" x14ac:dyDescent="0.25">
      <c r="B31" s="27">
        <v>22</v>
      </c>
    </row>
    <row r="32" spans="2:9" x14ac:dyDescent="0.25">
      <c r="B32" s="27">
        <v>23</v>
      </c>
    </row>
    <row r="33" spans="2:9" x14ac:dyDescent="0.25">
      <c r="B33" s="27">
        <v>24</v>
      </c>
    </row>
    <row r="34" spans="2:9" x14ac:dyDescent="0.25">
      <c r="B34" s="27">
        <v>25</v>
      </c>
    </row>
    <row r="35" spans="2:9" x14ac:dyDescent="0.25">
      <c r="B35" s="27">
        <v>26</v>
      </c>
    </row>
    <row r="36" spans="2:9" ht="15.75" thickBot="1" x14ac:dyDescent="0.3">
      <c r="B36" s="27">
        <v>27</v>
      </c>
      <c r="D36" s="29" t="s">
        <v>68</v>
      </c>
      <c r="E36" s="10" t="s">
        <v>139</v>
      </c>
    </row>
    <row r="37" spans="2:9" x14ac:dyDescent="0.25">
      <c r="B37" s="27">
        <v>28</v>
      </c>
      <c r="C37" s="27">
        <v>1</v>
      </c>
      <c r="D37" s="22" t="s">
        <v>55</v>
      </c>
      <c r="E37" s="46">
        <f>'population sizes'!H49</f>
        <v>47</v>
      </c>
    </row>
    <row r="38" spans="2:9" x14ac:dyDescent="0.25">
      <c r="B38" s="27">
        <v>29</v>
      </c>
      <c r="C38" s="27">
        <v>2</v>
      </c>
      <c r="D38" s="23" t="s">
        <v>56</v>
      </c>
      <c r="E38" s="114">
        <f>'population sizes'!H50</f>
        <v>0.47530232737576994</v>
      </c>
    </row>
    <row r="39" spans="2:9" x14ac:dyDescent="0.25">
      <c r="B39" s="27">
        <v>30</v>
      </c>
      <c r="C39" s="27">
        <v>3</v>
      </c>
      <c r="D39" s="23" t="s">
        <v>57</v>
      </c>
      <c r="E39" s="47">
        <f>'population sizes'!H51</f>
        <v>0</v>
      </c>
    </row>
    <row r="40" spans="2:9" x14ac:dyDescent="0.25">
      <c r="B40" s="27">
        <v>31</v>
      </c>
      <c r="C40" s="27">
        <v>4</v>
      </c>
      <c r="D40" s="24" t="s">
        <v>66</v>
      </c>
      <c r="E40" s="47">
        <f>'population sizes'!H52</f>
        <v>1</v>
      </c>
    </row>
    <row r="41" spans="2:9" x14ac:dyDescent="0.25">
      <c r="B41" s="27">
        <v>32</v>
      </c>
      <c r="C41" s="27">
        <v>5</v>
      </c>
      <c r="D41" s="25" t="s">
        <v>60</v>
      </c>
      <c r="E41" s="47"/>
    </row>
    <row r="42" spans="2:9" ht="23.25" x14ac:dyDescent="0.35">
      <c r="B42" s="27">
        <v>33</v>
      </c>
      <c r="C42" s="27">
        <v>6</v>
      </c>
      <c r="D42" s="25" t="s">
        <v>60</v>
      </c>
      <c r="E42" s="47"/>
      <c r="G42" s="54">
        <v>2</v>
      </c>
    </row>
    <row r="43" spans="2:9" x14ac:dyDescent="0.25">
      <c r="B43" s="27">
        <v>34</v>
      </c>
      <c r="C43" s="27">
        <v>7</v>
      </c>
      <c r="D43" s="25" t="s">
        <v>60</v>
      </c>
      <c r="E43" s="47"/>
    </row>
    <row r="44" spans="2:9" x14ac:dyDescent="0.25">
      <c r="B44" s="27">
        <v>35</v>
      </c>
      <c r="C44" s="27">
        <v>8</v>
      </c>
      <c r="D44" s="25" t="s">
        <v>60</v>
      </c>
      <c r="E44" s="47"/>
    </row>
    <row r="45" spans="2:9" x14ac:dyDescent="0.25">
      <c r="B45" s="27">
        <v>36</v>
      </c>
      <c r="C45" s="27">
        <v>9</v>
      </c>
      <c r="D45" s="25" t="s">
        <v>60</v>
      </c>
      <c r="E45" s="47"/>
    </row>
    <row r="46" spans="2:9" ht="15.75" thickBot="1" x14ac:dyDescent="0.3">
      <c r="B46" s="27">
        <v>37</v>
      </c>
      <c r="C46" s="27">
        <v>10</v>
      </c>
      <c r="D46" s="25" t="s">
        <v>60</v>
      </c>
      <c r="E46" s="48"/>
    </row>
    <row r="47" spans="2:9" ht="15.75" thickBot="1" x14ac:dyDescent="0.3">
      <c r="B47" s="27">
        <v>38</v>
      </c>
      <c r="D47" s="30" t="s">
        <v>58</v>
      </c>
      <c r="E47" s="49"/>
      <c r="F47" s="12"/>
      <c r="G47" s="12"/>
      <c r="H47" s="12"/>
      <c r="I47" s="12"/>
    </row>
    <row r="48" spans="2:9" ht="15.75" thickBot="1" x14ac:dyDescent="0.3">
      <c r="B48" s="27">
        <v>39</v>
      </c>
      <c r="D48" s="31" t="s">
        <v>40</v>
      </c>
      <c r="E48" s="35" t="s">
        <v>15</v>
      </c>
      <c r="F48" s="35" t="s">
        <v>41</v>
      </c>
      <c r="G48" s="35" t="s">
        <v>42</v>
      </c>
      <c r="H48" s="35" t="s">
        <v>43</v>
      </c>
      <c r="I48" s="36" t="s">
        <v>44</v>
      </c>
    </row>
    <row r="49" spans="2:9" ht="15.75" thickTop="1" x14ac:dyDescent="0.25">
      <c r="B49" s="27">
        <v>40</v>
      </c>
      <c r="C49" s="40" t="s">
        <v>37</v>
      </c>
      <c r="D49" s="32">
        <v>34.119841115136659</v>
      </c>
      <c r="E49" s="33">
        <v>26.155439209446978</v>
      </c>
      <c r="F49" s="33"/>
      <c r="G49" s="33">
        <v>19.336587367024631</v>
      </c>
      <c r="H49" s="33">
        <v>15.181356285430063</v>
      </c>
      <c r="I49" s="34"/>
    </row>
    <row r="50" spans="2:9" ht="15.75" thickBot="1" x14ac:dyDescent="0.3">
      <c r="B50" s="27">
        <v>41</v>
      </c>
      <c r="C50" s="41" t="s">
        <v>38</v>
      </c>
      <c r="D50" s="63">
        <v>34.501986409100979</v>
      </c>
      <c r="E50" s="62">
        <v>26.56539153910488</v>
      </c>
      <c r="F50" s="62">
        <v>11087.297310936259</v>
      </c>
      <c r="G50" s="62">
        <v>19.500849623706721</v>
      </c>
      <c r="H50" s="62">
        <v>15.360073311797857</v>
      </c>
      <c r="I50" s="64">
        <v>6282.9016589890271</v>
      </c>
    </row>
    <row r="51" spans="2:9" ht="15.75" thickBot="1" x14ac:dyDescent="0.3">
      <c r="B51" s="27">
        <v>42</v>
      </c>
      <c r="D51" s="44" t="s">
        <v>59</v>
      </c>
      <c r="E51" s="113">
        <f>'population sizes'!H53</f>
        <v>0</v>
      </c>
      <c r="F51" s="13"/>
      <c r="G51" s="13"/>
      <c r="H51" s="13"/>
      <c r="I51" s="13"/>
    </row>
    <row r="52" spans="2:9" ht="15.75" thickBot="1" x14ac:dyDescent="0.3">
      <c r="B52" s="27">
        <v>43</v>
      </c>
      <c r="D52" s="45" t="s">
        <v>61</v>
      </c>
      <c r="E52" s="51"/>
      <c r="F52" s="13"/>
      <c r="G52" s="13"/>
      <c r="H52" s="13"/>
      <c r="I52" s="13"/>
    </row>
    <row r="53" spans="2:9" ht="15.75" thickBot="1" x14ac:dyDescent="0.3">
      <c r="B53" s="27">
        <v>44</v>
      </c>
      <c r="D53" s="37" t="s">
        <v>40</v>
      </c>
      <c r="E53" s="38" t="s">
        <v>15</v>
      </c>
      <c r="F53" s="38" t="s">
        <v>41</v>
      </c>
      <c r="G53" s="38" t="s">
        <v>42</v>
      </c>
      <c r="H53" s="38" t="s">
        <v>43</v>
      </c>
      <c r="I53" s="39" t="s">
        <v>44</v>
      </c>
    </row>
    <row r="54" spans="2:9" ht="15.75" thickTop="1" x14ac:dyDescent="0.25">
      <c r="B54" s="27">
        <v>45</v>
      </c>
      <c r="C54" s="42" t="s">
        <v>37</v>
      </c>
      <c r="D54" s="55">
        <f>D49*E51</f>
        <v>0</v>
      </c>
      <c r="E54" s="57">
        <f>E49*E51</f>
        <v>0</v>
      </c>
      <c r="F54" s="57">
        <f>F49*E51</f>
        <v>0</v>
      </c>
      <c r="G54" s="57">
        <f>G49*E51</f>
        <v>0</v>
      </c>
      <c r="H54" s="57">
        <f>H49*E51</f>
        <v>0</v>
      </c>
      <c r="I54" s="60">
        <f>I49*E51</f>
        <v>0</v>
      </c>
    </row>
    <row r="55" spans="2:9" ht="15.75" thickBot="1" x14ac:dyDescent="0.3">
      <c r="B55" s="27">
        <v>46</v>
      </c>
      <c r="C55" s="43" t="s">
        <v>38</v>
      </c>
      <c r="D55" s="56">
        <f>D50*E51</f>
        <v>0</v>
      </c>
      <c r="E55" s="58">
        <f>E50*E51</f>
        <v>0</v>
      </c>
      <c r="F55" s="59">
        <f>F50*E51</f>
        <v>0</v>
      </c>
      <c r="G55" s="59">
        <f>G50*E51</f>
        <v>0</v>
      </c>
      <c r="H55" s="59">
        <f>H50*E51</f>
        <v>0</v>
      </c>
      <c r="I55" s="61">
        <f>I50*E51</f>
        <v>0</v>
      </c>
    </row>
    <row r="56" spans="2:9" x14ac:dyDescent="0.25">
      <c r="B56" s="27">
        <v>47</v>
      </c>
      <c r="D56" s="26">
        <v>1</v>
      </c>
      <c r="E56" s="26">
        <v>2</v>
      </c>
      <c r="F56" s="26">
        <v>3</v>
      </c>
      <c r="G56" s="26">
        <v>4</v>
      </c>
      <c r="H56" s="26">
        <v>5</v>
      </c>
      <c r="I56" s="26">
        <v>6</v>
      </c>
    </row>
    <row r="57" spans="2:9" x14ac:dyDescent="0.25">
      <c r="B57" s="27">
        <v>48</v>
      </c>
    </row>
    <row r="58" spans="2:9" x14ac:dyDescent="0.25">
      <c r="B58" s="27">
        <v>49</v>
      </c>
    </row>
    <row r="59" spans="2:9" x14ac:dyDescent="0.25">
      <c r="B59" s="27">
        <v>50</v>
      </c>
    </row>
    <row r="60" spans="2:9" x14ac:dyDescent="0.25">
      <c r="B60" s="27">
        <v>51</v>
      </c>
    </row>
    <row r="61" spans="2:9" x14ac:dyDescent="0.25">
      <c r="B61" s="27">
        <v>52</v>
      </c>
    </row>
    <row r="62" spans="2:9" ht="15.75" thickBot="1" x14ac:dyDescent="0.3">
      <c r="B62" s="27">
        <v>53</v>
      </c>
      <c r="D62" s="29" t="s">
        <v>69</v>
      </c>
      <c r="E62" s="10" t="s">
        <v>140</v>
      </c>
    </row>
    <row r="63" spans="2:9" x14ac:dyDescent="0.25">
      <c r="B63" s="27">
        <v>54</v>
      </c>
      <c r="C63" s="27">
        <v>1</v>
      </c>
      <c r="D63" s="22" t="s">
        <v>55</v>
      </c>
      <c r="E63" s="46">
        <f>'population sizes'!I49</f>
        <v>52</v>
      </c>
    </row>
    <row r="64" spans="2:9" x14ac:dyDescent="0.25">
      <c r="B64" s="27">
        <v>55</v>
      </c>
      <c r="C64" s="27">
        <v>2</v>
      </c>
      <c r="D64" s="23" t="s">
        <v>56</v>
      </c>
      <c r="E64" s="114">
        <f>'population sizes'!I50</f>
        <v>0.47653931754411583</v>
      </c>
    </row>
    <row r="65" spans="2:9" x14ac:dyDescent="0.25">
      <c r="B65" s="27">
        <v>56</v>
      </c>
      <c r="C65" s="27">
        <v>3</v>
      </c>
      <c r="D65" s="23" t="s">
        <v>57</v>
      </c>
      <c r="E65" s="47">
        <f>'population sizes'!I51</f>
        <v>0</v>
      </c>
    </row>
    <row r="66" spans="2:9" x14ac:dyDescent="0.25">
      <c r="B66" s="27">
        <v>57</v>
      </c>
      <c r="C66" s="27">
        <v>4</v>
      </c>
      <c r="D66" s="24" t="s">
        <v>66</v>
      </c>
      <c r="E66" s="47">
        <f>'population sizes'!I52</f>
        <v>1</v>
      </c>
    </row>
    <row r="67" spans="2:9" x14ac:dyDescent="0.25">
      <c r="B67" s="27">
        <v>58</v>
      </c>
      <c r="C67" s="27">
        <v>5</v>
      </c>
      <c r="D67" s="25" t="s">
        <v>60</v>
      </c>
      <c r="E67" s="47"/>
    </row>
    <row r="68" spans="2:9" ht="23.25" x14ac:dyDescent="0.35">
      <c r="B68" s="27">
        <v>59</v>
      </c>
      <c r="C68" s="27">
        <v>6</v>
      </c>
      <c r="D68" s="25" t="s">
        <v>60</v>
      </c>
      <c r="E68" s="47"/>
      <c r="G68" s="54">
        <v>3</v>
      </c>
    </row>
    <row r="69" spans="2:9" x14ac:dyDescent="0.25">
      <c r="B69" s="27">
        <v>60</v>
      </c>
      <c r="C69" s="27">
        <v>7</v>
      </c>
      <c r="D69" s="25" t="s">
        <v>60</v>
      </c>
      <c r="E69" s="47"/>
    </row>
    <row r="70" spans="2:9" x14ac:dyDescent="0.25">
      <c r="B70" s="27">
        <v>61</v>
      </c>
      <c r="C70" s="27">
        <v>8</v>
      </c>
      <c r="D70" s="25" t="s">
        <v>60</v>
      </c>
      <c r="E70" s="47"/>
    </row>
    <row r="71" spans="2:9" x14ac:dyDescent="0.25">
      <c r="B71" s="27">
        <v>62</v>
      </c>
      <c r="C71" s="27">
        <v>9</v>
      </c>
      <c r="D71" s="25" t="s">
        <v>60</v>
      </c>
      <c r="E71" s="47"/>
    </row>
    <row r="72" spans="2:9" ht="15.75" thickBot="1" x14ac:dyDescent="0.3">
      <c r="B72" s="27">
        <v>63</v>
      </c>
      <c r="C72" s="27">
        <v>10</v>
      </c>
      <c r="D72" s="25" t="s">
        <v>60</v>
      </c>
      <c r="E72" s="48"/>
    </row>
    <row r="73" spans="2:9" ht="15.75" thickBot="1" x14ac:dyDescent="0.3">
      <c r="B73" s="27">
        <v>64</v>
      </c>
      <c r="D73" s="30" t="s">
        <v>58</v>
      </c>
      <c r="E73" s="49"/>
      <c r="F73" s="12"/>
      <c r="G73" s="12"/>
      <c r="H73" s="12"/>
      <c r="I73" s="12"/>
    </row>
    <row r="74" spans="2:9" ht="15.75" thickBot="1" x14ac:dyDescent="0.3">
      <c r="B74" s="27">
        <v>65</v>
      </c>
      <c r="D74" s="31" t="s">
        <v>40</v>
      </c>
      <c r="E74" s="35" t="s">
        <v>15</v>
      </c>
      <c r="F74" s="35" t="s">
        <v>41</v>
      </c>
      <c r="G74" s="35" t="s">
        <v>42</v>
      </c>
      <c r="H74" s="35" t="s">
        <v>43</v>
      </c>
      <c r="I74" s="36" t="s">
        <v>44</v>
      </c>
    </row>
    <row r="75" spans="2:9" ht="15.75" thickTop="1" x14ac:dyDescent="0.25">
      <c r="B75" s="27">
        <v>66</v>
      </c>
      <c r="C75" s="40" t="s">
        <v>37</v>
      </c>
      <c r="D75" s="32">
        <v>29.630290260786769</v>
      </c>
      <c r="E75" s="33">
        <v>22.490575566313669</v>
      </c>
      <c r="F75" s="33"/>
      <c r="G75" s="33">
        <v>17.834757357553759</v>
      </c>
      <c r="H75" s="33">
        <v>13.822775550802872</v>
      </c>
      <c r="I75" s="34"/>
    </row>
    <row r="76" spans="2:9" ht="15.75" thickBot="1" x14ac:dyDescent="0.3">
      <c r="B76" s="27">
        <v>67</v>
      </c>
      <c r="C76" s="41" t="s">
        <v>38</v>
      </c>
      <c r="D76" s="63">
        <v>29.922890944506687</v>
      </c>
      <c r="E76" s="62">
        <v>22.802366994293266</v>
      </c>
      <c r="F76" s="62">
        <v>9743.9653590181006</v>
      </c>
      <c r="G76" s="62">
        <v>17.972134645468714</v>
      </c>
      <c r="H76" s="62">
        <v>13.970977688153903</v>
      </c>
      <c r="I76" s="64">
        <v>5858.8926497740431</v>
      </c>
    </row>
    <row r="77" spans="2:9" ht="15.75" thickBot="1" x14ac:dyDescent="0.3">
      <c r="B77" s="27">
        <v>68</v>
      </c>
      <c r="D77" s="44" t="s">
        <v>59</v>
      </c>
      <c r="E77" s="113">
        <f>'population sizes'!I53</f>
        <v>0</v>
      </c>
      <c r="F77" s="13"/>
      <c r="G77" s="13"/>
      <c r="H77" s="13"/>
      <c r="I77" s="13"/>
    </row>
    <row r="78" spans="2:9" ht="15.75" thickBot="1" x14ac:dyDescent="0.3">
      <c r="B78" s="27">
        <v>69</v>
      </c>
      <c r="D78" s="45" t="s">
        <v>61</v>
      </c>
      <c r="E78" s="51"/>
      <c r="F78" s="13"/>
      <c r="G78" s="13"/>
      <c r="H78" s="13"/>
      <c r="I78" s="13"/>
    </row>
    <row r="79" spans="2:9" ht="15.75" thickBot="1" x14ac:dyDescent="0.3">
      <c r="B79" s="27">
        <v>70</v>
      </c>
      <c r="D79" s="37" t="s">
        <v>40</v>
      </c>
      <c r="E79" s="38" t="s">
        <v>15</v>
      </c>
      <c r="F79" s="38" t="s">
        <v>41</v>
      </c>
      <c r="G79" s="38" t="s">
        <v>42</v>
      </c>
      <c r="H79" s="38" t="s">
        <v>43</v>
      </c>
      <c r="I79" s="39" t="s">
        <v>44</v>
      </c>
    </row>
    <row r="80" spans="2:9" ht="15.75" thickTop="1" x14ac:dyDescent="0.25">
      <c r="B80" s="27">
        <v>71</v>
      </c>
      <c r="C80" s="42" t="s">
        <v>37</v>
      </c>
      <c r="D80" s="55">
        <f>D75*E77</f>
        <v>0</v>
      </c>
      <c r="E80" s="57">
        <f>E75*E77</f>
        <v>0</v>
      </c>
      <c r="F80" s="57">
        <f>F75*E77</f>
        <v>0</v>
      </c>
      <c r="G80" s="57">
        <f>G75*E77</f>
        <v>0</v>
      </c>
      <c r="H80" s="57">
        <f>H75*E77</f>
        <v>0</v>
      </c>
      <c r="I80" s="60">
        <f>I75*E77</f>
        <v>0</v>
      </c>
    </row>
    <row r="81" spans="2:9" ht="15.75" thickBot="1" x14ac:dyDescent="0.3">
      <c r="B81" s="27">
        <v>72</v>
      </c>
      <c r="C81" s="43" t="s">
        <v>38</v>
      </c>
      <c r="D81" s="56">
        <f>D76*E77</f>
        <v>0</v>
      </c>
      <c r="E81" s="58">
        <f>E76*E77</f>
        <v>0</v>
      </c>
      <c r="F81" s="59">
        <f>F76*E77</f>
        <v>0</v>
      </c>
      <c r="G81" s="59">
        <f>G76*E77</f>
        <v>0</v>
      </c>
      <c r="H81" s="59">
        <f>H76*E77</f>
        <v>0</v>
      </c>
      <c r="I81" s="61">
        <f>I76*E77</f>
        <v>0</v>
      </c>
    </row>
    <row r="82" spans="2:9" x14ac:dyDescent="0.25">
      <c r="B82" s="27">
        <v>73</v>
      </c>
      <c r="D82" s="26">
        <v>1</v>
      </c>
      <c r="E82" s="26">
        <v>2</v>
      </c>
      <c r="F82" s="26">
        <v>3</v>
      </c>
      <c r="G82" s="26">
        <v>4</v>
      </c>
      <c r="H82" s="26">
        <v>5</v>
      </c>
      <c r="I82" s="26">
        <v>6</v>
      </c>
    </row>
    <row r="83" spans="2:9" x14ac:dyDescent="0.25">
      <c r="B83" s="27">
        <v>74</v>
      </c>
    </row>
    <row r="84" spans="2:9" x14ac:dyDescent="0.25">
      <c r="B84" s="27">
        <v>75</v>
      </c>
    </row>
    <row r="85" spans="2:9" x14ac:dyDescent="0.25">
      <c r="B85" s="27">
        <v>76</v>
      </c>
    </row>
    <row r="86" spans="2:9" x14ac:dyDescent="0.25">
      <c r="B86" s="27">
        <v>77</v>
      </c>
    </row>
    <row r="87" spans="2:9" x14ac:dyDescent="0.25">
      <c r="B87" s="27">
        <v>78</v>
      </c>
    </row>
    <row r="88" spans="2:9" ht="15.75" thickBot="1" x14ac:dyDescent="0.3">
      <c r="B88" s="27">
        <v>79</v>
      </c>
      <c r="D88" s="29" t="s">
        <v>71</v>
      </c>
      <c r="E88" s="10" t="s">
        <v>141</v>
      </c>
    </row>
    <row r="89" spans="2:9" x14ac:dyDescent="0.25">
      <c r="B89" s="27">
        <v>80</v>
      </c>
      <c r="C89" s="27">
        <v>1</v>
      </c>
      <c r="D89" s="22" t="s">
        <v>55</v>
      </c>
      <c r="E89" s="46">
        <f>'population sizes'!J49</f>
        <v>57</v>
      </c>
    </row>
    <row r="90" spans="2:9" x14ac:dyDescent="0.25">
      <c r="B90" s="27">
        <v>81</v>
      </c>
      <c r="C90" s="27">
        <v>2</v>
      </c>
      <c r="D90" s="23" t="s">
        <v>56</v>
      </c>
      <c r="E90" s="114">
        <f>'population sizes'!J50</f>
        <v>0.4762821018738097</v>
      </c>
    </row>
    <row r="91" spans="2:9" x14ac:dyDescent="0.25">
      <c r="B91" s="27">
        <v>82</v>
      </c>
      <c r="C91" s="27">
        <v>3</v>
      </c>
      <c r="D91" s="23" t="s">
        <v>57</v>
      </c>
      <c r="E91" s="47">
        <f>'population sizes'!J51</f>
        <v>0</v>
      </c>
    </row>
    <row r="92" spans="2:9" x14ac:dyDescent="0.25">
      <c r="B92" s="27">
        <v>83</v>
      </c>
      <c r="C92" s="27">
        <v>4</v>
      </c>
      <c r="D92" s="24" t="s">
        <v>66</v>
      </c>
      <c r="E92" s="47">
        <f>'population sizes'!J52</f>
        <v>1</v>
      </c>
    </row>
    <row r="93" spans="2:9" x14ac:dyDescent="0.25">
      <c r="B93" s="27">
        <v>84</v>
      </c>
      <c r="C93" s="27">
        <v>5</v>
      </c>
      <c r="D93" s="25" t="s">
        <v>60</v>
      </c>
      <c r="E93" s="47"/>
    </row>
    <row r="94" spans="2:9" ht="23.25" x14ac:dyDescent="0.35">
      <c r="B94" s="27">
        <v>85</v>
      </c>
      <c r="C94" s="27">
        <v>6</v>
      </c>
      <c r="D94" s="25" t="s">
        <v>60</v>
      </c>
      <c r="E94" s="47"/>
      <c r="G94" s="54">
        <v>4</v>
      </c>
    </row>
    <row r="95" spans="2:9" x14ac:dyDescent="0.25">
      <c r="B95" s="27">
        <v>86</v>
      </c>
      <c r="C95" s="27">
        <v>7</v>
      </c>
      <c r="D95" s="25" t="s">
        <v>60</v>
      </c>
      <c r="E95" s="47"/>
    </row>
    <row r="96" spans="2:9" x14ac:dyDescent="0.25">
      <c r="B96" s="27">
        <v>87</v>
      </c>
      <c r="C96" s="27">
        <v>8</v>
      </c>
      <c r="D96" s="25" t="s">
        <v>60</v>
      </c>
      <c r="E96" s="47"/>
    </row>
    <row r="97" spans="2:9" x14ac:dyDescent="0.25">
      <c r="B97" s="27">
        <v>88</v>
      </c>
      <c r="C97" s="27">
        <v>9</v>
      </c>
      <c r="D97" s="25" t="s">
        <v>60</v>
      </c>
      <c r="E97" s="47"/>
    </row>
    <row r="98" spans="2:9" ht="15.75" thickBot="1" x14ac:dyDescent="0.3">
      <c r="B98" s="27">
        <v>89</v>
      </c>
      <c r="C98" s="27">
        <v>10</v>
      </c>
      <c r="D98" s="25" t="s">
        <v>60</v>
      </c>
      <c r="E98" s="48"/>
    </row>
    <row r="99" spans="2:9" ht="15.75" thickBot="1" x14ac:dyDescent="0.3">
      <c r="B99" s="27">
        <v>90</v>
      </c>
      <c r="D99" s="30" t="s">
        <v>58</v>
      </c>
      <c r="E99" s="49"/>
      <c r="F99" s="12"/>
      <c r="G99" s="12"/>
      <c r="H99" s="12"/>
      <c r="I99" s="12"/>
    </row>
    <row r="100" spans="2:9" ht="15.75" thickBot="1" x14ac:dyDescent="0.3">
      <c r="B100" s="27">
        <v>91</v>
      </c>
      <c r="D100" s="31" t="s">
        <v>40</v>
      </c>
      <c r="E100" s="35" t="s">
        <v>15</v>
      </c>
      <c r="F100" s="35" t="s">
        <v>41</v>
      </c>
      <c r="G100" s="35" t="s">
        <v>42</v>
      </c>
      <c r="H100" s="35" t="s">
        <v>43</v>
      </c>
      <c r="I100" s="36" t="s">
        <v>44</v>
      </c>
    </row>
    <row r="101" spans="2:9" ht="15.75" thickTop="1" x14ac:dyDescent="0.25">
      <c r="B101" s="27">
        <v>92</v>
      </c>
      <c r="C101" s="40" t="s">
        <v>37</v>
      </c>
      <c r="D101" s="32">
        <v>25.273803012417194</v>
      </c>
      <c r="E101" s="33">
        <v>19.021680578236985</v>
      </c>
      <c r="F101" s="33"/>
      <c r="G101" s="33">
        <v>16.15981426824364</v>
      </c>
      <c r="H101" s="33">
        <v>12.405315852894018</v>
      </c>
      <c r="I101" s="34"/>
    </row>
    <row r="102" spans="2:9" ht="15.75" thickBot="1" x14ac:dyDescent="0.3">
      <c r="B102" s="27">
        <v>93</v>
      </c>
      <c r="C102" s="41" t="s">
        <v>38</v>
      </c>
      <c r="D102" s="63">
        <v>25.490736815869031</v>
      </c>
      <c r="E102" s="62">
        <v>19.251031920979681</v>
      </c>
      <c r="F102" s="62">
        <v>8400.7606214502011</v>
      </c>
      <c r="G102" s="62">
        <v>16.270992428729731</v>
      </c>
      <c r="H102" s="62">
        <v>12.524054292797071</v>
      </c>
      <c r="I102" s="64">
        <v>5363.9676630942377</v>
      </c>
    </row>
    <row r="103" spans="2:9" ht="15.75" thickBot="1" x14ac:dyDescent="0.3">
      <c r="B103" s="27">
        <v>94</v>
      </c>
      <c r="D103" s="44" t="s">
        <v>59</v>
      </c>
      <c r="E103" s="113">
        <f>'population sizes'!J53</f>
        <v>0</v>
      </c>
      <c r="F103" s="13"/>
      <c r="G103" s="13"/>
      <c r="H103" s="13"/>
      <c r="I103" s="13"/>
    </row>
    <row r="104" spans="2:9" ht="15.75" thickBot="1" x14ac:dyDescent="0.3">
      <c r="B104" s="27">
        <v>95</v>
      </c>
      <c r="D104" s="45" t="s">
        <v>61</v>
      </c>
      <c r="E104" s="51"/>
      <c r="F104" s="13"/>
      <c r="G104" s="13"/>
      <c r="H104" s="13"/>
      <c r="I104" s="13"/>
    </row>
    <row r="105" spans="2:9" ht="15.75" thickBot="1" x14ac:dyDescent="0.3">
      <c r="B105" s="27">
        <v>96</v>
      </c>
      <c r="D105" s="37" t="s">
        <v>40</v>
      </c>
      <c r="E105" s="38" t="s">
        <v>15</v>
      </c>
      <c r="F105" s="38" t="s">
        <v>41</v>
      </c>
      <c r="G105" s="38" t="s">
        <v>42</v>
      </c>
      <c r="H105" s="38" t="s">
        <v>43</v>
      </c>
      <c r="I105" s="39" t="s">
        <v>44</v>
      </c>
    </row>
    <row r="106" spans="2:9" ht="15.75" thickTop="1" x14ac:dyDescent="0.25">
      <c r="B106" s="27">
        <v>97</v>
      </c>
      <c r="C106" s="42" t="s">
        <v>37</v>
      </c>
      <c r="D106" s="55">
        <f>D101*E103</f>
        <v>0</v>
      </c>
      <c r="E106" s="57">
        <f>E101*E103</f>
        <v>0</v>
      </c>
      <c r="F106" s="57">
        <f>F101*E103</f>
        <v>0</v>
      </c>
      <c r="G106" s="57">
        <f>G101*E103</f>
        <v>0</v>
      </c>
      <c r="H106" s="57">
        <f>H101*E103</f>
        <v>0</v>
      </c>
      <c r="I106" s="60">
        <f>I101*E103</f>
        <v>0</v>
      </c>
    </row>
    <row r="107" spans="2:9" ht="15.75" thickBot="1" x14ac:dyDescent="0.3">
      <c r="B107" s="27">
        <v>98</v>
      </c>
      <c r="C107" s="43" t="s">
        <v>38</v>
      </c>
      <c r="D107" s="56">
        <f>D102*E103</f>
        <v>0</v>
      </c>
      <c r="E107" s="58">
        <f>E102*E103</f>
        <v>0</v>
      </c>
      <c r="F107" s="59">
        <f>F102*E103</f>
        <v>0</v>
      </c>
      <c r="G107" s="59">
        <f>G102*E103</f>
        <v>0</v>
      </c>
      <c r="H107" s="59">
        <f>H102*E103</f>
        <v>0</v>
      </c>
      <c r="I107" s="61">
        <f>I102*E103</f>
        <v>0</v>
      </c>
    </row>
    <row r="108" spans="2:9" x14ac:dyDescent="0.25">
      <c r="B108" s="27">
        <v>99</v>
      </c>
      <c r="D108" s="26">
        <v>1</v>
      </c>
      <c r="E108" s="26">
        <v>2</v>
      </c>
      <c r="F108" s="26">
        <v>3</v>
      </c>
      <c r="G108" s="26">
        <v>4</v>
      </c>
      <c r="H108" s="26">
        <v>5</v>
      </c>
      <c r="I108" s="26">
        <v>6</v>
      </c>
    </row>
    <row r="109" spans="2:9" x14ac:dyDescent="0.25">
      <c r="B109" s="27">
        <v>74</v>
      </c>
    </row>
    <row r="110" spans="2:9" x14ac:dyDescent="0.25">
      <c r="B110" s="27">
        <v>75</v>
      </c>
    </row>
    <row r="111" spans="2:9" x14ac:dyDescent="0.25">
      <c r="B111" s="27">
        <v>76</v>
      </c>
    </row>
    <row r="112" spans="2:9" x14ac:dyDescent="0.25">
      <c r="B112" s="27">
        <v>77</v>
      </c>
    </row>
    <row r="113" spans="2:9" x14ac:dyDescent="0.25">
      <c r="B113" s="27">
        <v>78</v>
      </c>
    </row>
    <row r="114" spans="2:9" ht="15.75" thickBot="1" x14ac:dyDescent="0.3">
      <c r="B114" s="27">
        <v>79</v>
      </c>
      <c r="D114" s="29" t="s">
        <v>72</v>
      </c>
      <c r="E114" s="10" t="s">
        <v>142</v>
      </c>
    </row>
    <row r="115" spans="2:9" x14ac:dyDescent="0.25">
      <c r="B115" s="27">
        <v>80</v>
      </c>
      <c r="C115" s="27">
        <v>1</v>
      </c>
      <c r="D115" s="22" t="s">
        <v>55</v>
      </c>
      <c r="E115" s="46">
        <f>'population sizes'!K49</f>
        <v>62</v>
      </c>
    </row>
    <row r="116" spans="2:9" x14ac:dyDescent="0.25">
      <c r="B116" s="27">
        <v>81</v>
      </c>
      <c r="C116" s="27">
        <v>2</v>
      </c>
      <c r="D116" s="23" t="s">
        <v>56</v>
      </c>
      <c r="E116" s="114">
        <f>'population sizes'!K50</f>
        <v>0.47196931553283306</v>
      </c>
    </row>
    <row r="117" spans="2:9" x14ac:dyDescent="0.25">
      <c r="B117" s="27">
        <v>82</v>
      </c>
      <c r="C117" s="27">
        <v>3</v>
      </c>
      <c r="D117" s="23" t="s">
        <v>57</v>
      </c>
      <c r="E117" s="47">
        <f>'population sizes'!K51</f>
        <v>0</v>
      </c>
    </row>
    <row r="118" spans="2:9" x14ac:dyDescent="0.25">
      <c r="B118" s="27">
        <v>83</v>
      </c>
      <c r="C118" s="27">
        <v>4</v>
      </c>
      <c r="D118" s="24" t="s">
        <v>66</v>
      </c>
      <c r="E118" s="47">
        <f>'population sizes'!K52</f>
        <v>1</v>
      </c>
    </row>
    <row r="119" spans="2:9" x14ac:dyDescent="0.25">
      <c r="B119" s="27">
        <v>84</v>
      </c>
      <c r="C119" s="27">
        <v>5</v>
      </c>
      <c r="D119" s="25" t="s">
        <v>60</v>
      </c>
      <c r="E119" s="47"/>
    </row>
    <row r="120" spans="2:9" ht="23.25" x14ac:dyDescent="0.35">
      <c r="B120" s="27">
        <v>85</v>
      </c>
      <c r="C120" s="27">
        <v>6</v>
      </c>
      <c r="D120" s="25" t="s">
        <v>60</v>
      </c>
      <c r="E120" s="47"/>
      <c r="G120" s="54">
        <v>5</v>
      </c>
    </row>
    <row r="121" spans="2:9" x14ac:dyDescent="0.25">
      <c r="B121" s="27">
        <v>86</v>
      </c>
      <c r="C121" s="27">
        <v>7</v>
      </c>
      <c r="D121" s="25" t="s">
        <v>60</v>
      </c>
      <c r="E121" s="47"/>
    </row>
    <row r="122" spans="2:9" x14ac:dyDescent="0.25">
      <c r="B122" s="27">
        <v>87</v>
      </c>
      <c r="C122" s="27">
        <v>8</v>
      </c>
      <c r="D122" s="25" t="s">
        <v>60</v>
      </c>
      <c r="E122" s="47"/>
    </row>
    <row r="123" spans="2:9" x14ac:dyDescent="0.25">
      <c r="B123" s="27">
        <v>88</v>
      </c>
      <c r="C123" s="27">
        <v>9</v>
      </c>
      <c r="D123" s="25" t="s">
        <v>60</v>
      </c>
      <c r="E123" s="47"/>
    </row>
    <row r="124" spans="2:9" ht="15.75" thickBot="1" x14ac:dyDescent="0.3">
      <c r="B124" s="27">
        <v>89</v>
      </c>
      <c r="C124" s="27">
        <v>10</v>
      </c>
      <c r="D124" s="25" t="s">
        <v>60</v>
      </c>
      <c r="E124" s="48"/>
    </row>
    <row r="125" spans="2:9" ht="15.75" thickBot="1" x14ac:dyDescent="0.3">
      <c r="B125" s="27">
        <v>90</v>
      </c>
      <c r="D125" s="30" t="s">
        <v>58</v>
      </c>
      <c r="E125" s="49"/>
      <c r="F125" s="12"/>
      <c r="G125" s="12"/>
      <c r="H125" s="12"/>
      <c r="I125" s="12"/>
    </row>
    <row r="126" spans="2:9" ht="15.75" thickBot="1" x14ac:dyDescent="0.3">
      <c r="B126" s="27">
        <v>91</v>
      </c>
      <c r="D126" s="31" t="s">
        <v>40</v>
      </c>
      <c r="E126" s="35" t="s">
        <v>15</v>
      </c>
      <c r="F126" s="35" t="s">
        <v>41</v>
      </c>
      <c r="G126" s="35" t="s">
        <v>42</v>
      </c>
      <c r="H126" s="35" t="s">
        <v>43</v>
      </c>
      <c r="I126" s="36" t="s">
        <v>44</v>
      </c>
    </row>
    <row r="127" spans="2:9" ht="15.75" thickTop="1" x14ac:dyDescent="0.25">
      <c r="B127" s="27">
        <v>92</v>
      </c>
      <c r="C127" s="40" t="s">
        <v>37</v>
      </c>
      <c r="D127" s="32">
        <v>21.111181898328294</v>
      </c>
      <c r="E127" s="33">
        <v>15.686736004062329</v>
      </c>
      <c r="F127" s="33"/>
      <c r="G127" s="33">
        <v>14.334252925052398</v>
      </c>
      <c r="H127" s="33">
        <v>10.8390612324551</v>
      </c>
      <c r="I127" s="34"/>
    </row>
    <row r="128" spans="2:9" ht="15.75" thickBot="1" x14ac:dyDescent="0.3">
      <c r="B128" s="27">
        <v>93</v>
      </c>
      <c r="C128" s="41" t="s">
        <v>38</v>
      </c>
      <c r="D128" s="63">
        <v>21.265993833533742</v>
      </c>
      <c r="E128" s="62">
        <v>15.848903957715699</v>
      </c>
      <c r="F128" s="62">
        <v>7082.1413886780738</v>
      </c>
      <c r="G128" s="62">
        <v>14.42074868790767</v>
      </c>
      <c r="H128" s="62">
        <v>10.930316786169488</v>
      </c>
      <c r="I128" s="64">
        <v>4802.6339858731089</v>
      </c>
    </row>
    <row r="129" spans="2:9" ht="15.75" thickBot="1" x14ac:dyDescent="0.3">
      <c r="B129" s="27">
        <v>94</v>
      </c>
      <c r="D129" s="44" t="s">
        <v>59</v>
      </c>
      <c r="E129" s="113">
        <f>'population sizes'!K53</f>
        <v>0</v>
      </c>
      <c r="F129" s="13"/>
      <c r="G129" s="13"/>
      <c r="H129" s="13"/>
      <c r="I129" s="13"/>
    </row>
    <row r="130" spans="2:9" ht="15.75" thickBot="1" x14ac:dyDescent="0.3">
      <c r="B130" s="27">
        <v>95</v>
      </c>
      <c r="D130" s="45" t="s">
        <v>61</v>
      </c>
      <c r="E130" s="51"/>
      <c r="F130" s="13"/>
      <c r="G130" s="13"/>
      <c r="H130" s="13"/>
      <c r="I130" s="13"/>
    </row>
    <row r="131" spans="2:9" ht="15.75" thickBot="1" x14ac:dyDescent="0.3">
      <c r="B131" s="27">
        <v>96</v>
      </c>
      <c r="D131" s="37" t="s">
        <v>40</v>
      </c>
      <c r="E131" s="38" t="s">
        <v>15</v>
      </c>
      <c r="F131" s="38" t="s">
        <v>41</v>
      </c>
      <c r="G131" s="38" t="s">
        <v>42</v>
      </c>
      <c r="H131" s="38" t="s">
        <v>43</v>
      </c>
      <c r="I131" s="39" t="s">
        <v>44</v>
      </c>
    </row>
    <row r="132" spans="2:9" ht="15.75" thickTop="1" x14ac:dyDescent="0.25">
      <c r="B132" s="27">
        <v>97</v>
      </c>
      <c r="C132" s="42" t="s">
        <v>37</v>
      </c>
      <c r="D132" s="55">
        <f>D127*E129</f>
        <v>0</v>
      </c>
      <c r="E132" s="57">
        <f>E127*E129</f>
        <v>0</v>
      </c>
      <c r="F132" s="57">
        <f>F127*E129</f>
        <v>0</v>
      </c>
      <c r="G132" s="57">
        <f>G127*E129</f>
        <v>0</v>
      </c>
      <c r="H132" s="57">
        <f>H127*E129</f>
        <v>0</v>
      </c>
      <c r="I132" s="60">
        <f>I127*E129</f>
        <v>0</v>
      </c>
    </row>
    <row r="133" spans="2:9" ht="15.75" thickBot="1" x14ac:dyDescent="0.3">
      <c r="B133" s="27">
        <v>98</v>
      </c>
      <c r="C133" s="43" t="s">
        <v>38</v>
      </c>
      <c r="D133" s="56">
        <f>D128*E129</f>
        <v>0</v>
      </c>
      <c r="E133" s="58">
        <f>E128*E129</f>
        <v>0</v>
      </c>
      <c r="F133" s="59">
        <f>F128*E129</f>
        <v>0</v>
      </c>
      <c r="G133" s="59">
        <f>G128*E129</f>
        <v>0</v>
      </c>
      <c r="H133" s="59">
        <f>H128*E129</f>
        <v>0</v>
      </c>
      <c r="I133" s="61">
        <f>I128*E129</f>
        <v>0</v>
      </c>
    </row>
    <row r="134" spans="2:9" x14ac:dyDescent="0.25">
      <c r="B134" s="27">
        <v>99</v>
      </c>
      <c r="D134" s="26">
        <v>1</v>
      </c>
      <c r="E134" s="26">
        <v>2</v>
      </c>
      <c r="F134" s="26">
        <v>3</v>
      </c>
      <c r="G134" s="26">
        <v>4</v>
      </c>
      <c r="H134" s="26">
        <v>5</v>
      </c>
      <c r="I134" s="26">
        <v>6</v>
      </c>
    </row>
    <row r="135" spans="2:9" x14ac:dyDescent="0.25">
      <c r="B135" s="27">
        <v>74</v>
      </c>
    </row>
    <row r="136" spans="2:9" x14ac:dyDescent="0.25">
      <c r="B136" s="27">
        <v>75</v>
      </c>
    </row>
    <row r="137" spans="2:9" x14ac:dyDescent="0.25">
      <c r="B137" s="27">
        <v>76</v>
      </c>
    </row>
    <row r="138" spans="2:9" x14ac:dyDescent="0.25">
      <c r="B138" s="27">
        <v>77</v>
      </c>
    </row>
    <row r="139" spans="2:9" x14ac:dyDescent="0.25">
      <c r="B139" s="27">
        <v>78</v>
      </c>
    </row>
    <row r="140" spans="2:9" ht="15.75" thickBot="1" x14ac:dyDescent="0.3">
      <c r="B140" s="27">
        <v>79</v>
      </c>
      <c r="D140" s="29" t="s">
        <v>73</v>
      </c>
      <c r="E140" s="10" t="s">
        <v>143</v>
      </c>
    </row>
    <row r="141" spans="2:9" x14ac:dyDescent="0.25">
      <c r="B141" s="27">
        <v>80</v>
      </c>
      <c r="C141" s="27">
        <v>1</v>
      </c>
      <c r="D141" s="22" t="s">
        <v>55</v>
      </c>
      <c r="E141" s="46">
        <f>'population sizes'!L49</f>
        <v>67</v>
      </c>
    </row>
    <row r="142" spans="2:9" x14ac:dyDescent="0.25">
      <c r="B142" s="27">
        <v>81</v>
      </c>
      <c r="C142" s="27">
        <v>2</v>
      </c>
      <c r="D142" s="23" t="s">
        <v>56</v>
      </c>
      <c r="E142" s="114">
        <f>'population sizes'!L50</f>
        <v>0.46586618911274452</v>
      </c>
    </row>
    <row r="143" spans="2:9" x14ac:dyDescent="0.25">
      <c r="B143" s="27">
        <v>82</v>
      </c>
      <c r="C143" s="27">
        <v>3</v>
      </c>
      <c r="D143" s="23" t="s">
        <v>57</v>
      </c>
      <c r="E143" s="47">
        <f>'population sizes'!L51</f>
        <v>0</v>
      </c>
    </row>
    <row r="144" spans="2:9" x14ac:dyDescent="0.25">
      <c r="B144" s="27">
        <v>83</v>
      </c>
      <c r="C144" s="27">
        <v>4</v>
      </c>
      <c r="D144" s="24" t="s">
        <v>66</v>
      </c>
      <c r="E144" s="47">
        <f>'population sizes'!L52</f>
        <v>1</v>
      </c>
    </row>
    <row r="145" spans="2:9" x14ac:dyDescent="0.25">
      <c r="B145" s="27">
        <v>84</v>
      </c>
      <c r="C145" s="27">
        <v>5</v>
      </c>
      <c r="D145" s="25" t="s">
        <v>60</v>
      </c>
      <c r="E145" s="47"/>
    </row>
    <row r="146" spans="2:9" ht="23.25" x14ac:dyDescent="0.35">
      <c r="B146" s="27">
        <v>85</v>
      </c>
      <c r="C146" s="27">
        <v>6</v>
      </c>
      <c r="D146" s="25" t="s">
        <v>60</v>
      </c>
      <c r="E146" s="47"/>
      <c r="G146" s="54">
        <v>6</v>
      </c>
    </row>
    <row r="147" spans="2:9" x14ac:dyDescent="0.25">
      <c r="B147" s="27">
        <v>86</v>
      </c>
      <c r="C147" s="27">
        <v>7</v>
      </c>
      <c r="D147" s="25" t="s">
        <v>60</v>
      </c>
      <c r="E147" s="47"/>
    </row>
    <row r="148" spans="2:9" x14ac:dyDescent="0.25">
      <c r="B148" s="27">
        <v>87</v>
      </c>
      <c r="C148" s="27">
        <v>8</v>
      </c>
      <c r="D148" s="25" t="s">
        <v>60</v>
      </c>
      <c r="E148" s="47"/>
    </row>
    <row r="149" spans="2:9" x14ac:dyDescent="0.25">
      <c r="B149" s="27">
        <v>88</v>
      </c>
      <c r="C149" s="27">
        <v>9</v>
      </c>
      <c r="D149" s="25" t="s">
        <v>60</v>
      </c>
      <c r="E149" s="47"/>
    </row>
    <row r="150" spans="2:9" ht="15.75" thickBot="1" x14ac:dyDescent="0.3">
      <c r="B150" s="27">
        <v>89</v>
      </c>
      <c r="C150" s="27">
        <v>10</v>
      </c>
      <c r="D150" s="25" t="s">
        <v>60</v>
      </c>
      <c r="E150" s="48"/>
    </row>
    <row r="151" spans="2:9" ht="15.75" thickBot="1" x14ac:dyDescent="0.3">
      <c r="B151" s="27">
        <v>90</v>
      </c>
      <c r="D151" s="30" t="s">
        <v>58</v>
      </c>
      <c r="E151" s="49"/>
      <c r="F151" s="12"/>
      <c r="G151" s="12"/>
      <c r="H151" s="12"/>
      <c r="I151" s="12"/>
    </row>
    <row r="152" spans="2:9" ht="15.75" thickBot="1" x14ac:dyDescent="0.3">
      <c r="B152" s="27">
        <v>91</v>
      </c>
      <c r="D152" s="31" t="s">
        <v>40</v>
      </c>
      <c r="E152" s="35" t="s">
        <v>15</v>
      </c>
      <c r="F152" s="35" t="s">
        <v>41</v>
      </c>
      <c r="G152" s="35" t="s">
        <v>42</v>
      </c>
      <c r="H152" s="35" t="s">
        <v>43</v>
      </c>
      <c r="I152" s="36" t="s">
        <v>44</v>
      </c>
    </row>
    <row r="153" spans="2:9" ht="15.75" thickTop="1" x14ac:dyDescent="0.25">
      <c r="B153" s="27">
        <v>92</v>
      </c>
      <c r="C153" s="40" t="s">
        <v>37</v>
      </c>
      <c r="D153" s="32">
        <v>17.140361885275034</v>
      </c>
      <c r="E153" s="33">
        <v>12.476985594559665</v>
      </c>
      <c r="F153" s="33"/>
      <c r="G153" s="33">
        <v>12.349164168441142</v>
      </c>
      <c r="H153" s="33">
        <v>9.1027737599541449</v>
      </c>
      <c r="I153" s="34"/>
    </row>
    <row r="154" spans="2:9" ht="15.75" thickBot="1" x14ac:dyDescent="0.3">
      <c r="B154" s="27">
        <v>93</v>
      </c>
      <c r="C154" s="41" t="s">
        <v>38</v>
      </c>
      <c r="D154" s="63">
        <v>17.245461841230668</v>
      </c>
      <c r="E154" s="62">
        <v>12.586030353698966</v>
      </c>
      <c r="F154" s="62">
        <v>5792.1389214989686</v>
      </c>
      <c r="G154" s="62">
        <v>12.413055822714922</v>
      </c>
      <c r="H154" s="62">
        <v>9.1693157081946488</v>
      </c>
      <c r="I154" s="64">
        <v>4169.0291056634042</v>
      </c>
    </row>
    <row r="155" spans="2:9" ht="15.75" thickBot="1" x14ac:dyDescent="0.3">
      <c r="B155" s="27">
        <v>94</v>
      </c>
      <c r="D155" s="44" t="s">
        <v>59</v>
      </c>
      <c r="E155" s="113">
        <f>'population sizes'!L53</f>
        <v>0</v>
      </c>
      <c r="F155" s="13"/>
      <c r="G155" s="13"/>
      <c r="H155" s="13"/>
      <c r="I155" s="13"/>
    </row>
    <row r="156" spans="2:9" ht="15.75" thickBot="1" x14ac:dyDescent="0.3">
      <c r="B156" s="27">
        <v>95</v>
      </c>
      <c r="D156" s="45" t="s">
        <v>61</v>
      </c>
      <c r="E156" s="51"/>
      <c r="F156" s="13"/>
      <c r="G156" s="13"/>
      <c r="H156" s="13"/>
      <c r="I156" s="13"/>
    </row>
    <row r="157" spans="2:9" ht="15.75" thickBot="1" x14ac:dyDescent="0.3">
      <c r="B157" s="27">
        <v>96</v>
      </c>
      <c r="D157" s="37" t="s">
        <v>40</v>
      </c>
      <c r="E157" s="38" t="s">
        <v>15</v>
      </c>
      <c r="F157" s="38" t="s">
        <v>41</v>
      </c>
      <c r="G157" s="38" t="s">
        <v>42</v>
      </c>
      <c r="H157" s="38" t="s">
        <v>43</v>
      </c>
      <c r="I157" s="39" t="s">
        <v>44</v>
      </c>
    </row>
    <row r="158" spans="2:9" ht="15.75" thickTop="1" x14ac:dyDescent="0.25">
      <c r="B158" s="27">
        <v>97</v>
      </c>
      <c r="C158" s="42" t="s">
        <v>37</v>
      </c>
      <c r="D158" s="55">
        <f>D153*E155</f>
        <v>0</v>
      </c>
      <c r="E158" s="57">
        <f>E153*E155</f>
        <v>0</v>
      </c>
      <c r="F158" s="57">
        <f>F153*E155</f>
        <v>0</v>
      </c>
      <c r="G158" s="57">
        <f>G153*E155</f>
        <v>0</v>
      </c>
      <c r="H158" s="57">
        <f>H153*E155</f>
        <v>0</v>
      </c>
      <c r="I158" s="60">
        <f>I153*E155</f>
        <v>0</v>
      </c>
    </row>
    <row r="159" spans="2:9" ht="15.75" thickBot="1" x14ac:dyDescent="0.3">
      <c r="B159" s="27">
        <v>98</v>
      </c>
      <c r="C159" s="43" t="s">
        <v>38</v>
      </c>
      <c r="D159" s="56">
        <f>D154*E155</f>
        <v>0</v>
      </c>
      <c r="E159" s="58">
        <f>E154*E155</f>
        <v>0</v>
      </c>
      <c r="F159" s="59">
        <f>F154*E155</f>
        <v>0</v>
      </c>
      <c r="G159" s="59">
        <f>G154*E155</f>
        <v>0</v>
      </c>
      <c r="H159" s="59">
        <f>H154*E155</f>
        <v>0</v>
      </c>
      <c r="I159" s="61">
        <f>I154*E155</f>
        <v>0</v>
      </c>
    </row>
    <row r="160" spans="2:9" x14ac:dyDescent="0.25">
      <c r="B160" s="27">
        <v>99</v>
      </c>
      <c r="D160" s="26">
        <v>1</v>
      </c>
      <c r="E160" s="26">
        <v>2</v>
      </c>
      <c r="F160" s="26">
        <v>3</v>
      </c>
      <c r="G160" s="26">
        <v>4</v>
      </c>
      <c r="H160" s="26">
        <v>5</v>
      </c>
      <c r="I160" s="26">
        <v>6</v>
      </c>
    </row>
    <row r="161" spans="2:7" x14ac:dyDescent="0.25">
      <c r="B161" s="27">
        <v>74</v>
      </c>
    </row>
    <row r="162" spans="2:7" x14ac:dyDescent="0.25">
      <c r="B162" s="27">
        <v>75</v>
      </c>
    </row>
    <row r="163" spans="2:7" x14ac:dyDescent="0.25">
      <c r="B163" s="27">
        <v>76</v>
      </c>
    </row>
    <row r="164" spans="2:7" x14ac:dyDescent="0.25">
      <c r="B164" s="27">
        <v>77</v>
      </c>
    </row>
    <row r="165" spans="2:7" x14ac:dyDescent="0.25">
      <c r="B165" s="27">
        <v>78</v>
      </c>
    </row>
    <row r="166" spans="2:7" ht="15.75" thickBot="1" x14ac:dyDescent="0.3">
      <c r="B166" s="27">
        <v>79</v>
      </c>
      <c r="D166" s="29" t="s">
        <v>74</v>
      </c>
      <c r="E166" s="10" t="s">
        <v>144</v>
      </c>
    </row>
    <row r="167" spans="2:7" x14ac:dyDescent="0.25">
      <c r="B167" s="27">
        <v>80</v>
      </c>
      <c r="C167" s="27">
        <v>1</v>
      </c>
      <c r="D167" s="22" t="s">
        <v>55</v>
      </c>
      <c r="E167" s="46">
        <f>'population sizes'!M49</f>
        <v>72</v>
      </c>
    </row>
    <row r="168" spans="2:7" x14ac:dyDescent="0.25">
      <c r="B168" s="27">
        <v>81</v>
      </c>
      <c r="C168" s="27">
        <v>2</v>
      </c>
      <c r="D168" s="23" t="s">
        <v>56</v>
      </c>
      <c r="E168" s="114">
        <f>'population sizes'!M50</f>
        <v>0.45465234269403182</v>
      </c>
    </row>
    <row r="169" spans="2:7" x14ac:dyDescent="0.25">
      <c r="B169" s="27">
        <v>82</v>
      </c>
      <c r="C169" s="27">
        <v>3</v>
      </c>
      <c r="D169" s="23" t="s">
        <v>57</v>
      </c>
      <c r="E169" s="47">
        <f>'population sizes'!M51</f>
        <v>0</v>
      </c>
    </row>
    <row r="170" spans="2:7" x14ac:dyDescent="0.25">
      <c r="B170" s="27">
        <v>83</v>
      </c>
      <c r="C170" s="27">
        <v>4</v>
      </c>
      <c r="D170" s="24" t="s">
        <v>66</v>
      </c>
      <c r="E170" s="47">
        <f>'population sizes'!M52</f>
        <v>1</v>
      </c>
    </row>
    <row r="171" spans="2:7" x14ac:dyDescent="0.25">
      <c r="B171" s="27">
        <v>84</v>
      </c>
      <c r="C171" s="27">
        <v>5</v>
      </c>
      <c r="D171" s="25" t="s">
        <v>60</v>
      </c>
      <c r="E171" s="47"/>
    </row>
    <row r="172" spans="2:7" ht="23.25" x14ac:dyDescent="0.35">
      <c r="B172" s="27">
        <v>85</v>
      </c>
      <c r="C172" s="27">
        <v>6</v>
      </c>
      <c r="D172" s="25" t="s">
        <v>60</v>
      </c>
      <c r="E172" s="47"/>
      <c r="G172" s="54">
        <v>7</v>
      </c>
    </row>
    <row r="173" spans="2:7" x14ac:dyDescent="0.25">
      <c r="B173" s="27">
        <v>86</v>
      </c>
      <c r="C173" s="27">
        <v>7</v>
      </c>
      <c r="D173" s="25" t="s">
        <v>60</v>
      </c>
      <c r="E173" s="47"/>
    </row>
    <row r="174" spans="2:7" x14ac:dyDescent="0.25">
      <c r="B174" s="27">
        <v>87</v>
      </c>
      <c r="C174" s="27">
        <v>8</v>
      </c>
      <c r="D174" s="25" t="s">
        <v>60</v>
      </c>
      <c r="E174" s="47"/>
    </row>
    <row r="175" spans="2:7" x14ac:dyDescent="0.25">
      <c r="B175" s="27">
        <v>88</v>
      </c>
      <c r="C175" s="27">
        <v>9</v>
      </c>
      <c r="D175" s="25" t="s">
        <v>60</v>
      </c>
      <c r="E175" s="47"/>
    </row>
    <row r="176" spans="2:7" ht="15.75" thickBot="1" x14ac:dyDescent="0.3">
      <c r="B176" s="27">
        <v>89</v>
      </c>
      <c r="C176" s="27">
        <v>10</v>
      </c>
      <c r="D176" s="25" t="s">
        <v>60</v>
      </c>
      <c r="E176" s="48"/>
    </row>
    <row r="177" spans="2:9" ht="15.75" thickBot="1" x14ac:dyDescent="0.3">
      <c r="B177" s="27">
        <v>90</v>
      </c>
      <c r="D177" s="30" t="s">
        <v>58</v>
      </c>
      <c r="E177" s="49"/>
      <c r="F177" s="12"/>
      <c r="G177" s="12"/>
      <c r="H177" s="12"/>
      <c r="I177" s="12"/>
    </row>
    <row r="178" spans="2:9" ht="15.75" thickBot="1" x14ac:dyDescent="0.3">
      <c r="B178" s="27">
        <v>91</v>
      </c>
      <c r="D178" s="31" t="s">
        <v>40</v>
      </c>
      <c r="E178" s="35" t="s">
        <v>15</v>
      </c>
      <c r="F178" s="35" t="s">
        <v>41</v>
      </c>
      <c r="G178" s="35" t="s">
        <v>42</v>
      </c>
      <c r="H178" s="35" t="s">
        <v>43</v>
      </c>
      <c r="I178" s="36" t="s">
        <v>44</v>
      </c>
    </row>
    <row r="179" spans="2:9" ht="15.75" thickTop="1" x14ac:dyDescent="0.25">
      <c r="B179" s="27">
        <v>92</v>
      </c>
      <c r="C179" s="40" t="s">
        <v>37</v>
      </c>
      <c r="D179" s="32">
        <v>13.446214201402103</v>
      </c>
      <c r="E179" s="33">
        <v>9.648592369407762</v>
      </c>
      <c r="F179" s="33"/>
      <c r="G179" s="33">
        <v>10.259777900539193</v>
      </c>
      <c r="H179" s="33">
        <v>7.4267932660036982</v>
      </c>
      <c r="I179" s="34"/>
    </row>
    <row r="180" spans="2:9" ht="15.75" thickBot="1" x14ac:dyDescent="0.3">
      <c r="B180" s="27">
        <v>93</v>
      </c>
      <c r="C180" s="41" t="s">
        <v>38</v>
      </c>
      <c r="D180" s="63">
        <v>13.513408264568508</v>
      </c>
      <c r="E180" s="62">
        <v>9.7178618698591421</v>
      </c>
      <c r="F180" s="62">
        <v>4569.0283142744456</v>
      </c>
      <c r="G180" s="62">
        <v>10.304085908039642</v>
      </c>
      <c r="H180" s="62">
        <v>7.4725659813720435</v>
      </c>
      <c r="I180" s="64">
        <v>3484.4147395274822</v>
      </c>
    </row>
    <row r="181" spans="2:9" ht="15.75" thickBot="1" x14ac:dyDescent="0.3">
      <c r="B181" s="27">
        <v>94</v>
      </c>
      <c r="D181" s="44" t="s">
        <v>59</v>
      </c>
      <c r="E181" s="113">
        <f>'population sizes'!M53</f>
        <v>0</v>
      </c>
      <c r="F181" s="13"/>
      <c r="G181" s="13"/>
      <c r="H181" s="13"/>
      <c r="I181" s="13"/>
    </row>
    <row r="182" spans="2:9" ht="15.75" thickBot="1" x14ac:dyDescent="0.3">
      <c r="B182" s="27">
        <v>95</v>
      </c>
      <c r="D182" s="45" t="s">
        <v>61</v>
      </c>
      <c r="E182" s="51"/>
      <c r="F182" s="13"/>
      <c r="G182" s="13"/>
      <c r="H182" s="13"/>
      <c r="I182" s="13"/>
    </row>
    <row r="183" spans="2:9" ht="15.75" thickBot="1" x14ac:dyDescent="0.3">
      <c r="B183" s="27">
        <v>96</v>
      </c>
      <c r="D183" s="37" t="s">
        <v>40</v>
      </c>
      <c r="E183" s="38" t="s">
        <v>15</v>
      </c>
      <c r="F183" s="38" t="s">
        <v>41</v>
      </c>
      <c r="G183" s="38" t="s">
        <v>42</v>
      </c>
      <c r="H183" s="38" t="s">
        <v>43</v>
      </c>
      <c r="I183" s="39" t="s">
        <v>44</v>
      </c>
    </row>
    <row r="184" spans="2:9" ht="15.75" thickTop="1" x14ac:dyDescent="0.25">
      <c r="B184" s="27">
        <v>97</v>
      </c>
      <c r="C184" s="42" t="s">
        <v>37</v>
      </c>
      <c r="D184" s="55">
        <f>D179*E181</f>
        <v>0</v>
      </c>
      <c r="E184" s="57">
        <f>E179*E181</f>
        <v>0</v>
      </c>
      <c r="F184" s="57">
        <f>F179*E181</f>
        <v>0</v>
      </c>
      <c r="G184" s="57">
        <f>G179*E181</f>
        <v>0</v>
      </c>
      <c r="H184" s="57">
        <f>H179*E181</f>
        <v>0</v>
      </c>
      <c r="I184" s="60">
        <f>I179*E181</f>
        <v>0</v>
      </c>
    </row>
    <row r="185" spans="2:9" ht="15.75" thickBot="1" x14ac:dyDescent="0.3">
      <c r="B185" s="27">
        <v>98</v>
      </c>
      <c r="C185" s="43" t="s">
        <v>38</v>
      </c>
      <c r="D185" s="56">
        <f>D180*E181</f>
        <v>0</v>
      </c>
      <c r="E185" s="58">
        <f>E180*E181</f>
        <v>0</v>
      </c>
      <c r="F185" s="59">
        <f>F180*E181</f>
        <v>0</v>
      </c>
      <c r="G185" s="59">
        <f>G180*E181</f>
        <v>0</v>
      </c>
      <c r="H185" s="59">
        <f>H180*E181</f>
        <v>0</v>
      </c>
      <c r="I185" s="61">
        <f>I180*E181</f>
        <v>0</v>
      </c>
    </row>
    <row r="186" spans="2:9" x14ac:dyDescent="0.25">
      <c r="B186" s="27">
        <v>99</v>
      </c>
      <c r="D186" s="26">
        <v>1</v>
      </c>
      <c r="E186" s="26">
        <v>2</v>
      </c>
      <c r="F186" s="26">
        <v>3</v>
      </c>
      <c r="G186" s="26">
        <v>4</v>
      </c>
      <c r="H186" s="26">
        <v>5</v>
      </c>
      <c r="I186" s="26">
        <v>6</v>
      </c>
    </row>
    <row r="187" spans="2:9" x14ac:dyDescent="0.25">
      <c r="B187" s="27">
        <v>74</v>
      </c>
    </row>
    <row r="188" spans="2:9" x14ac:dyDescent="0.25">
      <c r="B188" s="27">
        <v>75</v>
      </c>
    </row>
    <row r="189" spans="2:9" x14ac:dyDescent="0.25">
      <c r="B189" s="27">
        <v>76</v>
      </c>
    </row>
    <row r="190" spans="2:9" x14ac:dyDescent="0.25">
      <c r="B190" s="27">
        <v>77</v>
      </c>
    </row>
    <row r="191" spans="2:9" x14ac:dyDescent="0.25">
      <c r="B191" s="27">
        <v>78</v>
      </c>
    </row>
    <row r="192" spans="2:9" ht="15.75" thickBot="1" x14ac:dyDescent="0.3">
      <c r="B192" s="27">
        <v>79</v>
      </c>
      <c r="D192" s="29" t="s">
        <v>75</v>
      </c>
      <c r="E192" s="10" t="s">
        <v>145</v>
      </c>
    </row>
    <row r="193" spans="2:9" x14ac:dyDescent="0.25">
      <c r="B193" s="27">
        <v>80</v>
      </c>
      <c r="C193" s="27">
        <v>1</v>
      </c>
      <c r="D193" s="22" t="s">
        <v>55</v>
      </c>
      <c r="E193" s="46">
        <f>'population sizes'!N49</f>
        <v>42</v>
      </c>
    </row>
    <row r="194" spans="2:9" x14ac:dyDescent="0.25">
      <c r="B194" s="27">
        <v>81</v>
      </c>
      <c r="C194" s="27">
        <v>2</v>
      </c>
      <c r="D194" s="23" t="s">
        <v>56</v>
      </c>
      <c r="E194" s="114">
        <f>'population sizes'!N50</f>
        <v>0.62968957544522486</v>
      </c>
    </row>
    <row r="195" spans="2:9" x14ac:dyDescent="0.25">
      <c r="B195" s="27">
        <v>82</v>
      </c>
      <c r="C195" s="27">
        <v>3</v>
      </c>
      <c r="D195" s="23" t="s">
        <v>57</v>
      </c>
      <c r="E195" s="47">
        <f>'population sizes'!N51</f>
        <v>1</v>
      </c>
    </row>
    <row r="196" spans="2:9" x14ac:dyDescent="0.25">
      <c r="B196" s="27">
        <v>83</v>
      </c>
      <c r="C196" s="27">
        <v>4</v>
      </c>
      <c r="D196" s="24" t="s">
        <v>66</v>
      </c>
      <c r="E196" s="47">
        <f>'population sizes'!N52</f>
        <v>0.79600000000000004</v>
      </c>
    </row>
    <row r="197" spans="2:9" x14ac:dyDescent="0.25">
      <c r="B197" s="27">
        <v>84</v>
      </c>
      <c r="C197" s="27">
        <v>5</v>
      </c>
      <c r="D197" s="25" t="s">
        <v>60</v>
      </c>
      <c r="E197" s="47"/>
    </row>
    <row r="198" spans="2:9" ht="23.25" x14ac:dyDescent="0.35">
      <c r="B198" s="27">
        <v>85</v>
      </c>
      <c r="C198" s="27">
        <v>6</v>
      </c>
      <c r="D198" s="25" t="s">
        <v>60</v>
      </c>
      <c r="E198" s="47"/>
      <c r="G198" s="54">
        <v>8</v>
      </c>
    </row>
    <row r="199" spans="2:9" x14ac:dyDescent="0.25">
      <c r="B199" s="27">
        <v>86</v>
      </c>
      <c r="C199" s="27">
        <v>7</v>
      </c>
      <c r="D199" s="25" t="s">
        <v>60</v>
      </c>
      <c r="E199" s="47"/>
    </row>
    <row r="200" spans="2:9" x14ac:dyDescent="0.25">
      <c r="B200" s="27">
        <v>87</v>
      </c>
      <c r="C200" s="27">
        <v>8</v>
      </c>
      <c r="D200" s="25" t="s">
        <v>60</v>
      </c>
      <c r="E200" s="47"/>
    </row>
    <row r="201" spans="2:9" x14ac:dyDescent="0.25">
      <c r="B201" s="27">
        <v>88</v>
      </c>
      <c r="C201" s="27">
        <v>9</v>
      </c>
      <c r="D201" s="25" t="s">
        <v>60</v>
      </c>
      <c r="E201" s="47"/>
    </row>
    <row r="202" spans="2:9" ht="15.75" thickBot="1" x14ac:dyDescent="0.3">
      <c r="B202" s="27">
        <v>89</v>
      </c>
      <c r="C202" s="27">
        <v>10</v>
      </c>
      <c r="D202" s="25" t="s">
        <v>60</v>
      </c>
      <c r="E202" s="48"/>
    </row>
    <row r="203" spans="2:9" ht="15.75" thickBot="1" x14ac:dyDescent="0.3">
      <c r="B203" s="27">
        <v>90</v>
      </c>
      <c r="D203" s="30" t="s">
        <v>58</v>
      </c>
      <c r="E203" s="49"/>
      <c r="F203" s="12"/>
      <c r="G203" s="12"/>
      <c r="H203" s="12"/>
      <c r="I203" s="12"/>
    </row>
    <row r="204" spans="2:9" ht="15.75" thickBot="1" x14ac:dyDescent="0.3">
      <c r="B204" s="27">
        <v>91</v>
      </c>
      <c r="D204" s="31" t="s">
        <v>40</v>
      </c>
      <c r="E204" s="35" t="s">
        <v>15</v>
      </c>
      <c r="F204" s="35" t="s">
        <v>41</v>
      </c>
      <c r="G204" s="35" t="s">
        <v>42</v>
      </c>
      <c r="H204" s="35" t="s">
        <v>43</v>
      </c>
      <c r="I204" s="36" t="s">
        <v>44</v>
      </c>
    </row>
    <row r="205" spans="2:9" ht="15.75" thickTop="1" x14ac:dyDescent="0.25">
      <c r="B205" s="27">
        <v>92</v>
      </c>
      <c r="C205" s="40" t="s">
        <v>37</v>
      </c>
      <c r="D205" s="32">
        <v>33.203637537031327</v>
      </c>
      <c r="E205" s="33">
        <v>25.649261899496459</v>
      </c>
      <c r="F205" s="33"/>
      <c r="G205" s="33">
        <v>18.992629584990564</v>
      </c>
      <c r="H205" s="33">
        <v>14.869381876089779</v>
      </c>
      <c r="I205" s="34"/>
    </row>
    <row r="206" spans="2:9" ht="15.75" thickBot="1" x14ac:dyDescent="0.3">
      <c r="B206" s="27">
        <v>93</v>
      </c>
      <c r="C206" s="41" t="s">
        <v>38</v>
      </c>
      <c r="D206" s="63">
        <v>33.569159263934495</v>
      </c>
      <c r="E206" s="62">
        <v>26.047602192971588</v>
      </c>
      <c r="F206" s="62">
        <v>10597.765180706681</v>
      </c>
      <c r="G206" s="62">
        <v>19.151481406478858</v>
      </c>
      <c r="H206" s="62">
        <v>15.044547453215971</v>
      </c>
      <c r="I206" s="64">
        <v>6095.0878370478658</v>
      </c>
    </row>
    <row r="207" spans="2:9" ht="15.75" thickBot="1" x14ac:dyDescent="0.3">
      <c r="B207" s="27">
        <v>94</v>
      </c>
      <c r="D207" s="44" t="s">
        <v>59</v>
      </c>
      <c r="E207" s="52">
        <f>'population sizes'!N53</f>
        <v>503417.58600000001</v>
      </c>
      <c r="F207" s="13"/>
      <c r="G207" s="13"/>
      <c r="H207" s="13"/>
      <c r="I207" s="13"/>
    </row>
    <row r="208" spans="2:9" ht="15.75" thickBot="1" x14ac:dyDescent="0.3">
      <c r="B208" s="27">
        <v>95</v>
      </c>
      <c r="D208" s="45" t="s">
        <v>61</v>
      </c>
      <c r="E208" s="51"/>
      <c r="F208" s="13"/>
      <c r="G208" s="13"/>
      <c r="H208" s="13"/>
      <c r="I208" s="13"/>
    </row>
    <row r="209" spans="2:9" ht="15.75" thickBot="1" x14ac:dyDescent="0.3">
      <c r="B209" s="27">
        <v>96</v>
      </c>
      <c r="D209" s="37" t="s">
        <v>40</v>
      </c>
      <c r="E209" s="38" t="s">
        <v>15</v>
      </c>
      <c r="F209" s="38" t="s">
        <v>41</v>
      </c>
      <c r="G209" s="38" t="s">
        <v>42</v>
      </c>
      <c r="H209" s="38" t="s">
        <v>43</v>
      </c>
      <c r="I209" s="39" t="s">
        <v>44</v>
      </c>
    </row>
    <row r="210" spans="2:9" ht="15.75" thickTop="1" x14ac:dyDescent="0.25">
      <c r="B210" s="27">
        <v>97</v>
      </c>
      <c r="C210" s="42" t="s">
        <v>37</v>
      </c>
      <c r="D210" s="55">
        <f>D205*E207</f>
        <v>16715295.055311296</v>
      </c>
      <c r="E210" s="57">
        <f>E205*E207</f>
        <v>12912289.508126283</v>
      </c>
      <c r="F210" s="57">
        <f>F205*E207</f>
        <v>0</v>
      </c>
      <c r="G210" s="57">
        <f>G205*E207</f>
        <v>9561223.7374681309</v>
      </c>
      <c r="H210" s="57">
        <f>H205*E207</f>
        <v>7485508.3293732675</v>
      </c>
      <c r="I210" s="60">
        <f>I205*E207</f>
        <v>0</v>
      </c>
    </row>
    <row r="211" spans="2:9" ht="15.75" thickBot="1" x14ac:dyDescent="0.3">
      <c r="B211" s="27">
        <v>98</v>
      </c>
      <c r="C211" s="43" t="s">
        <v>38</v>
      </c>
      <c r="D211" s="56">
        <f>D206*E207</f>
        <v>16899305.120699439</v>
      </c>
      <c r="E211" s="58">
        <f>E206*E207</f>
        <v>13112821.017074063</v>
      </c>
      <c r="F211" s="59">
        <f>F206*E207</f>
        <v>5335101364.2662115</v>
      </c>
      <c r="G211" s="59">
        <f>G206*E207</f>
        <v>9641192.537973471</v>
      </c>
      <c r="H211" s="59">
        <f>H206*E207</f>
        <v>7573689.761360432</v>
      </c>
      <c r="I211" s="61">
        <f>I206*E207</f>
        <v>3068374405.3845983</v>
      </c>
    </row>
    <row r="212" spans="2:9" x14ac:dyDescent="0.25">
      <c r="B212" s="27">
        <v>99</v>
      </c>
      <c r="D212" s="26">
        <v>1</v>
      </c>
      <c r="E212" s="26">
        <v>2</v>
      </c>
      <c r="F212" s="26">
        <v>3</v>
      </c>
      <c r="G212" s="26">
        <v>4</v>
      </c>
      <c r="H212" s="26">
        <v>5</v>
      </c>
      <c r="I212" s="26">
        <v>6</v>
      </c>
    </row>
    <row r="213" spans="2:9" x14ac:dyDescent="0.25">
      <c r="B213" s="27">
        <v>74</v>
      </c>
    </row>
    <row r="214" spans="2:9" x14ac:dyDescent="0.25">
      <c r="B214" s="27">
        <v>75</v>
      </c>
    </row>
    <row r="215" spans="2:9" x14ac:dyDescent="0.25">
      <c r="B215" s="27">
        <v>76</v>
      </c>
    </row>
    <row r="216" spans="2:9" x14ac:dyDescent="0.25">
      <c r="B216" s="27">
        <v>77</v>
      </c>
    </row>
    <row r="217" spans="2:9" x14ac:dyDescent="0.25">
      <c r="B217" s="27">
        <v>78</v>
      </c>
    </row>
    <row r="218" spans="2:9" ht="15.75" thickBot="1" x14ac:dyDescent="0.3">
      <c r="B218" s="27">
        <v>79</v>
      </c>
      <c r="D218" s="29" t="s">
        <v>146</v>
      </c>
      <c r="E218" s="5" t="s">
        <v>147</v>
      </c>
    </row>
    <row r="219" spans="2:9" x14ac:dyDescent="0.25">
      <c r="B219" s="27">
        <v>80</v>
      </c>
      <c r="C219" s="27">
        <v>1</v>
      </c>
      <c r="D219" s="22" t="s">
        <v>55</v>
      </c>
      <c r="E219" s="46">
        <f>'population sizes'!O49</f>
        <v>47</v>
      </c>
    </row>
    <row r="220" spans="2:9" x14ac:dyDescent="0.25">
      <c r="B220" s="27">
        <v>81</v>
      </c>
      <c r="C220" s="27">
        <v>2</v>
      </c>
      <c r="D220" s="23" t="s">
        <v>56</v>
      </c>
      <c r="E220" s="114">
        <f>'population sizes'!O50</f>
        <v>0.62808352014800972</v>
      </c>
    </row>
    <row r="221" spans="2:9" x14ac:dyDescent="0.25">
      <c r="B221" s="27">
        <v>82</v>
      </c>
      <c r="C221" s="27">
        <v>3</v>
      </c>
      <c r="D221" s="23" t="s">
        <v>57</v>
      </c>
      <c r="E221" s="47">
        <f>'population sizes'!O51</f>
        <v>1</v>
      </c>
    </row>
    <row r="222" spans="2:9" x14ac:dyDescent="0.25">
      <c r="B222" s="27">
        <v>83</v>
      </c>
      <c r="C222" s="27">
        <v>4</v>
      </c>
      <c r="D222" s="24" t="s">
        <v>66</v>
      </c>
      <c r="E222" s="47">
        <f>'population sizes'!O52</f>
        <v>0.79600000000000004</v>
      </c>
    </row>
    <row r="223" spans="2:9" x14ac:dyDescent="0.25">
      <c r="B223" s="27">
        <v>84</v>
      </c>
      <c r="C223" s="27">
        <v>5</v>
      </c>
      <c r="D223" s="25" t="s">
        <v>60</v>
      </c>
      <c r="E223" s="47"/>
    </row>
    <row r="224" spans="2:9" ht="23.25" x14ac:dyDescent="0.35">
      <c r="B224" s="27">
        <v>85</v>
      </c>
      <c r="C224" s="27">
        <v>6</v>
      </c>
      <c r="D224" s="25" t="s">
        <v>60</v>
      </c>
      <c r="E224" s="47"/>
      <c r="G224" s="54">
        <v>9</v>
      </c>
    </row>
    <row r="225" spans="2:9" x14ac:dyDescent="0.25">
      <c r="B225" s="27">
        <v>86</v>
      </c>
      <c r="C225" s="27">
        <v>7</v>
      </c>
      <c r="D225" s="25" t="s">
        <v>60</v>
      </c>
      <c r="E225" s="47"/>
    </row>
    <row r="226" spans="2:9" x14ac:dyDescent="0.25">
      <c r="B226" s="27">
        <v>87</v>
      </c>
      <c r="C226" s="27">
        <v>8</v>
      </c>
      <c r="D226" s="25" t="s">
        <v>60</v>
      </c>
      <c r="E226" s="47"/>
    </row>
    <row r="227" spans="2:9" x14ac:dyDescent="0.25">
      <c r="B227" s="27">
        <v>88</v>
      </c>
      <c r="C227" s="27">
        <v>9</v>
      </c>
      <c r="D227" s="25" t="s">
        <v>60</v>
      </c>
      <c r="E227" s="47"/>
    </row>
    <row r="228" spans="2:9" ht="15.75" thickBot="1" x14ac:dyDescent="0.3">
      <c r="B228" s="27">
        <v>89</v>
      </c>
      <c r="C228" s="27">
        <v>10</v>
      </c>
      <c r="D228" s="25" t="s">
        <v>60</v>
      </c>
      <c r="E228" s="48"/>
    </row>
    <row r="229" spans="2:9" ht="15.75" thickBot="1" x14ac:dyDescent="0.3">
      <c r="B229" s="27">
        <v>90</v>
      </c>
      <c r="D229" s="30" t="s">
        <v>58</v>
      </c>
      <c r="E229" s="49"/>
      <c r="F229" s="12"/>
      <c r="G229" s="12"/>
      <c r="H229" s="12"/>
      <c r="I229" s="12"/>
    </row>
    <row r="230" spans="2:9" ht="15.75" thickBot="1" x14ac:dyDescent="0.3">
      <c r="B230" s="27">
        <v>91</v>
      </c>
      <c r="D230" s="31" t="s">
        <v>40</v>
      </c>
      <c r="E230" s="35" t="s">
        <v>15</v>
      </c>
      <c r="F230" s="35" t="s">
        <v>41</v>
      </c>
      <c r="G230" s="35" t="s">
        <v>42</v>
      </c>
      <c r="H230" s="35" t="s">
        <v>43</v>
      </c>
      <c r="I230" s="36" t="s">
        <v>44</v>
      </c>
    </row>
    <row r="231" spans="2:9" ht="15.75" thickTop="1" x14ac:dyDescent="0.25">
      <c r="B231" s="27">
        <v>92</v>
      </c>
      <c r="C231" s="40" t="s">
        <v>37</v>
      </c>
      <c r="D231" s="32">
        <v>28.808603281440085</v>
      </c>
      <c r="E231" s="33">
        <v>22.166292526455031</v>
      </c>
      <c r="F231" s="33"/>
      <c r="G231" s="33">
        <v>17.488576776003242</v>
      </c>
      <c r="H231" s="33">
        <v>13.639488981689571</v>
      </c>
      <c r="I231" s="34"/>
    </row>
    <row r="232" spans="2:9" ht="15.75" thickBot="1" x14ac:dyDescent="0.3">
      <c r="B232" s="27">
        <v>93</v>
      </c>
      <c r="C232" s="41" t="s">
        <v>38</v>
      </c>
      <c r="D232" s="63">
        <v>29.088111162396945</v>
      </c>
      <c r="E232" s="62">
        <v>22.469329714767035</v>
      </c>
      <c r="F232" s="62">
        <v>9319.8355054779295</v>
      </c>
      <c r="G232" s="62">
        <v>17.62112963656557</v>
      </c>
      <c r="H232" s="62">
        <v>13.784838450885163</v>
      </c>
      <c r="I232" s="64">
        <v>5675.537633196599</v>
      </c>
    </row>
    <row r="233" spans="2:9" ht="15.75" thickBot="1" x14ac:dyDescent="0.3">
      <c r="B233" s="27">
        <v>94</v>
      </c>
      <c r="D233" s="44" t="s">
        <v>59</v>
      </c>
      <c r="E233" s="52">
        <f>'population sizes'!O53</f>
        <v>535255.94799999997</v>
      </c>
      <c r="F233" s="13"/>
      <c r="G233" s="13"/>
      <c r="H233" s="13"/>
      <c r="I233" s="13"/>
    </row>
    <row r="234" spans="2:9" ht="15.75" thickBot="1" x14ac:dyDescent="0.3">
      <c r="B234" s="27">
        <v>95</v>
      </c>
      <c r="D234" s="45" t="s">
        <v>61</v>
      </c>
      <c r="E234" s="51"/>
      <c r="F234" s="13"/>
      <c r="G234" s="13"/>
      <c r="H234" s="13"/>
      <c r="I234" s="13"/>
    </row>
    <row r="235" spans="2:9" ht="15.75" thickBot="1" x14ac:dyDescent="0.3">
      <c r="B235" s="27">
        <v>96</v>
      </c>
      <c r="D235" s="37" t="s">
        <v>40</v>
      </c>
      <c r="E235" s="38" t="s">
        <v>15</v>
      </c>
      <c r="F235" s="38" t="s">
        <v>41</v>
      </c>
      <c r="G235" s="38" t="s">
        <v>42</v>
      </c>
      <c r="H235" s="38" t="s">
        <v>43</v>
      </c>
      <c r="I235" s="39" t="s">
        <v>44</v>
      </c>
    </row>
    <row r="236" spans="2:9" ht="15.75" thickTop="1" x14ac:dyDescent="0.25">
      <c r="B236" s="27">
        <v>97</v>
      </c>
      <c r="C236" s="42" t="s">
        <v>37</v>
      </c>
      <c r="D236" s="55">
        <f>D231*E233</f>
        <v>15419976.259963123</v>
      </c>
      <c r="E236" s="57">
        <f>E231*E233</f>
        <v>11864639.919893002</v>
      </c>
      <c r="F236" s="57">
        <f>F231*E233</f>
        <v>0</v>
      </c>
      <c r="G236" s="57">
        <f>G231*E233</f>
        <v>9360864.7414103989</v>
      </c>
      <c r="H236" s="57">
        <f>H231*E233</f>
        <v>7300617.6051298054</v>
      </c>
      <c r="I236" s="60">
        <f>I231*E233</f>
        <v>0</v>
      </c>
    </row>
    <row r="237" spans="2:9" ht="15.75" thickBot="1" x14ac:dyDescent="0.3">
      <c r="B237" s="27">
        <v>98</v>
      </c>
      <c r="C237" s="43" t="s">
        <v>38</v>
      </c>
      <c r="D237" s="56">
        <f>D232*E233</f>
        <v>15569584.515758159</v>
      </c>
      <c r="E237" s="58">
        <f>E232*E233</f>
        <v>12026842.377402198</v>
      </c>
      <c r="F237" s="59">
        <f>F232*E233</f>
        <v>4988497388.6886482</v>
      </c>
      <c r="G237" s="59">
        <f>G232*E233</f>
        <v>9431814.4484508</v>
      </c>
      <c r="H237" s="59">
        <f>H232*E233</f>
        <v>7378416.7730553886</v>
      </c>
      <c r="I237" s="61">
        <f>I232*E233</f>
        <v>3037865276.2663217</v>
      </c>
    </row>
    <row r="238" spans="2:9" x14ac:dyDescent="0.25">
      <c r="B238" s="27">
        <v>99</v>
      </c>
      <c r="D238" s="26">
        <v>1</v>
      </c>
      <c r="E238" s="26">
        <v>2</v>
      </c>
      <c r="F238" s="26">
        <v>3</v>
      </c>
      <c r="G238" s="26">
        <v>4</v>
      </c>
      <c r="H238" s="26">
        <v>5</v>
      </c>
      <c r="I238" s="26">
        <v>6</v>
      </c>
    </row>
    <row r="239" spans="2:9" x14ac:dyDescent="0.25">
      <c r="B239" s="27">
        <v>74</v>
      </c>
    </row>
    <row r="240" spans="2:9" x14ac:dyDescent="0.25">
      <c r="B240" s="27">
        <v>75</v>
      </c>
    </row>
    <row r="241" spans="2:9" x14ac:dyDescent="0.25">
      <c r="B241" s="27">
        <v>76</v>
      </c>
    </row>
    <row r="242" spans="2:9" x14ac:dyDescent="0.25">
      <c r="B242" s="27">
        <v>77</v>
      </c>
    </row>
    <row r="243" spans="2:9" x14ac:dyDescent="0.25">
      <c r="B243" s="27">
        <v>78</v>
      </c>
    </row>
    <row r="244" spans="2:9" ht="15.75" thickBot="1" x14ac:dyDescent="0.3">
      <c r="B244" s="27">
        <v>79</v>
      </c>
      <c r="D244" s="29" t="s">
        <v>148</v>
      </c>
      <c r="E244" s="5" t="s">
        <v>149</v>
      </c>
    </row>
    <row r="245" spans="2:9" x14ac:dyDescent="0.25">
      <c r="B245" s="27">
        <v>80</v>
      </c>
      <c r="C245" s="27">
        <v>1</v>
      </c>
      <c r="D245" s="22" t="s">
        <v>55</v>
      </c>
      <c r="E245" s="46">
        <f>'population sizes'!P49</f>
        <v>52</v>
      </c>
    </row>
    <row r="246" spans="2:9" x14ac:dyDescent="0.25">
      <c r="B246" s="27">
        <v>81</v>
      </c>
      <c r="C246" s="27">
        <v>2</v>
      </c>
      <c r="D246" s="23" t="s">
        <v>56</v>
      </c>
      <c r="E246" s="114">
        <f>'population sizes'!P50</f>
        <v>0.62924128671602964</v>
      </c>
    </row>
    <row r="247" spans="2:9" x14ac:dyDescent="0.25">
      <c r="B247" s="27">
        <v>82</v>
      </c>
      <c r="C247" s="27">
        <v>3</v>
      </c>
      <c r="D247" s="23" t="s">
        <v>57</v>
      </c>
      <c r="E247" s="47">
        <f>'population sizes'!P51</f>
        <v>1</v>
      </c>
    </row>
    <row r="248" spans="2:9" x14ac:dyDescent="0.25">
      <c r="B248" s="27">
        <v>83</v>
      </c>
      <c r="C248" s="27">
        <v>4</v>
      </c>
      <c r="D248" s="24" t="s">
        <v>66</v>
      </c>
      <c r="E248" s="47">
        <f>'population sizes'!P52</f>
        <v>0.79600000000000004</v>
      </c>
    </row>
    <row r="249" spans="2:9" x14ac:dyDescent="0.25">
      <c r="B249" s="27">
        <v>84</v>
      </c>
      <c r="C249" s="27">
        <v>5</v>
      </c>
      <c r="D249" s="25" t="s">
        <v>60</v>
      </c>
      <c r="E249" s="47"/>
    </row>
    <row r="250" spans="2:9" ht="23.25" x14ac:dyDescent="0.35">
      <c r="B250" s="27">
        <v>85</v>
      </c>
      <c r="C250" s="27">
        <v>6</v>
      </c>
      <c r="D250" s="25" t="s">
        <v>60</v>
      </c>
      <c r="E250" s="47"/>
      <c r="G250" s="54">
        <v>10</v>
      </c>
    </row>
    <row r="251" spans="2:9" x14ac:dyDescent="0.25">
      <c r="B251" s="27">
        <v>86</v>
      </c>
      <c r="C251" s="27">
        <v>7</v>
      </c>
      <c r="D251" s="25" t="s">
        <v>60</v>
      </c>
      <c r="E251" s="47"/>
    </row>
    <row r="252" spans="2:9" x14ac:dyDescent="0.25">
      <c r="B252" s="27">
        <v>87</v>
      </c>
      <c r="C252" s="27">
        <v>8</v>
      </c>
      <c r="D252" s="25" t="s">
        <v>60</v>
      </c>
      <c r="E252" s="47"/>
    </row>
    <row r="253" spans="2:9" x14ac:dyDescent="0.25">
      <c r="B253" s="27">
        <v>88</v>
      </c>
      <c r="C253" s="27">
        <v>9</v>
      </c>
      <c r="D253" s="25" t="s">
        <v>60</v>
      </c>
      <c r="E253" s="47"/>
    </row>
    <row r="254" spans="2:9" ht="15.75" thickBot="1" x14ac:dyDescent="0.3">
      <c r="B254" s="27">
        <v>89</v>
      </c>
      <c r="C254" s="27">
        <v>10</v>
      </c>
      <c r="D254" s="25" t="s">
        <v>60</v>
      </c>
      <c r="E254" s="48"/>
    </row>
    <row r="255" spans="2:9" ht="15.75" thickBot="1" x14ac:dyDescent="0.3">
      <c r="B255" s="27">
        <v>90</v>
      </c>
      <c r="D255" s="30" t="s">
        <v>58</v>
      </c>
      <c r="E255" s="49"/>
      <c r="F255" s="12"/>
      <c r="G255" s="12"/>
      <c r="H255" s="12"/>
      <c r="I255" s="12"/>
    </row>
    <row r="256" spans="2:9" ht="15.75" thickBot="1" x14ac:dyDescent="0.3">
      <c r="B256" s="27">
        <v>91</v>
      </c>
      <c r="D256" s="31" t="s">
        <v>40</v>
      </c>
      <c r="E256" s="35" t="s">
        <v>15</v>
      </c>
      <c r="F256" s="35" t="s">
        <v>41</v>
      </c>
      <c r="G256" s="35" t="s">
        <v>42</v>
      </c>
      <c r="H256" s="35" t="s">
        <v>43</v>
      </c>
      <c r="I256" s="36" t="s">
        <v>44</v>
      </c>
    </row>
    <row r="257" spans="2:9" ht="15.75" thickTop="1" x14ac:dyDescent="0.25">
      <c r="B257" s="27">
        <v>92</v>
      </c>
      <c r="C257" s="40" t="s">
        <v>37</v>
      </c>
      <c r="D257" s="32">
        <v>24.536773443897065</v>
      </c>
      <c r="E257" s="33">
        <v>18.771390633136761</v>
      </c>
      <c r="F257" s="33"/>
      <c r="G257" s="33">
        <v>15.810333034841928</v>
      </c>
      <c r="H257" s="33">
        <v>12.259724886228135</v>
      </c>
      <c r="I257" s="34"/>
    </row>
    <row r="258" spans="2:9" ht="15.75" thickBot="1" x14ac:dyDescent="0.3">
      <c r="B258" s="27">
        <v>93</v>
      </c>
      <c r="C258" s="41" t="s">
        <v>38</v>
      </c>
      <c r="D258" s="63">
        <v>24.743595463521078</v>
      </c>
      <c r="E258" s="62">
        <v>18.994149265406264</v>
      </c>
      <c r="F258" s="62">
        <v>8037.0005830454502</v>
      </c>
      <c r="G258" s="62">
        <v>15.917300343488121</v>
      </c>
      <c r="H258" s="62">
        <v>12.376147914869025</v>
      </c>
      <c r="I258" s="64">
        <v>5186.7168441593531</v>
      </c>
    </row>
    <row r="259" spans="2:9" ht="15.75" thickBot="1" x14ac:dyDescent="0.3">
      <c r="B259" s="27">
        <v>94</v>
      </c>
      <c r="D259" s="44" t="s">
        <v>59</v>
      </c>
      <c r="E259" s="52">
        <f>'population sizes'!P53</f>
        <v>511025.63800000004</v>
      </c>
      <c r="F259" s="13"/>
      <c r="G259" s="13"/>
      <c r="H259" s="13"/>
      <c r="I259" s="13"/>
    </row>
    <row r="260" spans="2:9" ht="15.75" thickBot="1" x14ac:dyDescent="0.3">
      <c r="B260" s="27">
        <v>95</v>
      </c>
      <c r="D260" s="45" t="s">
        <v>61</v>
      </c>
      <c r="E260" s="51"/>
      <c r="F260" s="13"/>
      <c r="G260" s="13"/>
      <c r="H260" s="13"/>
      <c r="I260" s="13"/>
    </row>
    <row r="261" spans="2:9" ht="15.75" thickBot="1" x14ac:dyDescent="0.3">
      <c r="B261" s="27">
        <v>96</v>
      </c>
      <c r="D261" s="37" t="s">
        <v>40</v>
      </c>
      <c r="E261" s="38" t="s">
        <v>15</v>
      </c>
      <c r="F261" s="38" t="s">
        <v>41</v>
      </c>
      <c r="G261" s="38" t="s">
        <v>42</v>
      </c>
      <c r="H261" s="38" t="s">
        <v>43</v>
      </c>
      <c r="I261" s="39" t="s">
        <v>44</v>
      </c>
    </row>
    <row r="262" spans="2:9" ht="15.75" thickTop="1" x14ac:dyDescent="0.25">
      <c r="B262" s="27">
        <v>97</v>
      </c>
      <c r="C262" s="42" t="s">
        <v>37</v>
      </c>
      <c r="D262" s="55">
        <f>D257*E259</f>
        <v>12538920.303628955</v>
      </c>
      <c r="E262" s="57">
        <f>E257*E259</f>
        <v>9592661.8744459376</v>
      </c>
      <c r="F262" s="57">
        <f>F257*E259</f>
        <v>0</v>
      </c>
      <c r="G262" s="57">
        <f>G257*E259</f>
        <v>8079485.5261225728</v>
      </c>
      <c r="H262" s="57">
        <f>H257*E259</f>
        <v>6265033.73168921</v>
      </c>
      <c r="I262" s="60">
        <f>I257*E259</f>
        <v>0</v>
      </c>
    </row>
    <row r="263" spans="2:9" ht="15.75" thickBot="1" x14ac:dyDescent="0.3">
      <c r="B263" s="27">
        <v>98</v>
      </c>
      <c r="C263" s="43" t="s">
        <v>38</v>
      </c>
      <c r="D263" s="56">
        <f>D258*E259</f>
        <v>12644611.658159766</v>
      </c>
      <c r="E263" s="58">
        <f>E258*E259</f>
        <v>9706497.246621469</v>
      </c>
      <c r="F263" s="59">
        <f>F258*E259</f>
        <v>4107113350.5571733</v>
      </c>
      <c r="G263" s="59">
        <f>G258*E259</f>
        <v>8134148.5632686364</v>
      </c>
      <c r="H263" s="59">
        <f>H258*E259</f>
        <v>6324528.8841783134</v>
      </c>
      <c r="I263" s="61">
        <f>I258*E259</f>
        <v>2650545284.41188</v>
      </c>
    </row>
    <row r="264" spans="2:9" x14ac:dyDescent="0.25">
      <c r="B264" s="27">
        <v>99</v>
      </c>
      <c r="D264" s="26">
        <v>1</v>
      </c>
      <c r="E264" s="26">
        <v>2</v>
      </c>
      <c r="F264" s="26">
        <v>3</v>
      </c>
      <c r="G264" s="26">
        <v>4</v>
      </c>
      <c r="H264" s="26">
        <v>5</v>
      </c>
      <c r="I264" s="26">
        <v>6</v>
      </c>
    </row>
    <row r="265" spans="2:9" x14ac:dyDescent="0.25">
      <c r="B265" s="27">
        <v>74</v>
      </c>
    </row>
    <row r="266" spans="2:9" x14ac:dyDescent="0.25">
      <c r="B266" s="27">
        <v>75</v>
      </c>
    </row>
    <row r="267" spans="2:9" x14ac:dyDescent="0.25">
      <c r="B267" s="27">
        <v>76</v>
      </c>
    </row>
    <row r="268" spans="2:9" x14ac:dyDescent="0.25">
      <c r="B268" s="27">
        <v>77</v>
      </c>
    </row>
    <row r="269" spans="2:9" x14ac:dyDescent="0.25">
      <c r="B269" s="27">
        <v>78</v>
      </c>
    </row>
    <row r="270" spans="2:9" ht="15.75" thickBot="1" x14ac:dyDescent="0.3">
      <c r="B270" s="27">
        <v>79</v>
      </c>
      <c r="D270" s="29" t="s">
        <v>150</v>
      </c>
      <c r="E270" s="5" t="s">
        <v>151</v>
      </c>
    </row>
    <row r="271" spans="2:9" x14ac:dyDescent="0.25">
      <c r="B271" s="27">
        <v>80</v>
      </c>
      <c r="C271" s="27">
        <v>1</v>
      </c>
      <c r="D271" s="22" t="s">
        <v>55</v>
      </c>
      <c r="E271" s="46">
        <f>'population sizes'!Q49</f>
        <v>57</v>
      </c>
    </row>
    <row r="272" spans="2:9" x14ac:dyDescent="0.25">
      <c r="B272" s="27">
        <v>81</v>
      </c>
      <c r="C272" s="27">
        <v>2</v>
      </c>
      <c r="D272" s="23" t="s">
        <v>56</v>
      </c>
      <c r="E272" s="114">
        <f>'population sizes'!Q50</f>
        <v>0.62900068895455663</v>
      </c>
    </row>
    <row r="273" spans="2:9" x14ac:dyDescent="0.25">
      <c r="B273" s="27">
        <v>82</v>
      </c>
      <c r="C273" s="27">
        <v>3</v>
      </c>
      <c r="D273" s="23" t="s">
        <v>57</v>
      </c>
      <c r="E273" s="47">
        <f>'population sizes'!Q51</f>
        <v>1</v>
      </c>
    </row>
    <row r="274" spans="2:9" x14ac:dyDescent="0.25">
      <c r="B274" s="27">
        <v>83</v>
      </c>
      <c r="C274" s="27">
        <v>4</v>
      </c>
      <c r="D274" s="24" t="s">
        <v>66</v>
      </c>
      <c r="E274" s="47">
        <f>'population sizes'!Q52</f>
        <v>0.79600000000000004</v>
      </c>
    </row>
    <row r="275" spans="2:9" x14ac:dyDescent="0.25">
      <c r="B275" s="27">
        <v>84</v>
      </c>
      <c r="C275" s="27">
        <v>5</v>
      </c>
      <c r="D275" s="25" t="s">
        <v>60</v>
      </c>
      <c r="E275" s="47"/>
    </row>
    <row r="276" spans="2:9" ht="23.25" x14ac:dyDescent="0.35">
      <c r="B276" s="27">
        <v>85</v>
      </c>
      <c r="C276" s="27">
        <v>6</v>
      </c>
      <c r="D276" s="25" t="s">
        <v>60</v>
      </c>
      <c r="E276" s="47"/>
      <c r="G276" s="54">
        <v>11</v>
      </c>
    </row>
    <row r="277" spans="2:9" x14ac:dyDescent="0.25">
      <c r="B277" s="27">
        <v>86</v>
      </c>
      <c r="C277" s="27">
        <v>7</v>
      </c>
      <c r="D277" s="25" t="s">
        <v>60</v>
      </c>
      <c r="E277" s="47"/>
    </row>
    <row r="278" spans="2:9" x14ac:dyDescent="0.25">
      <c r="B278" s="27">
        <v>87</v>
      </c>
      <c r="C278" s="27">
        <v>8</v>
      </c>
      <c r="D278" s="25" t="s">
        <v>60</v>
      </c>
      <c r="E278" s="47"/>
    </row>
    <row r="279" spans="2:9" x14ac:dyDescent="0.25">
      <c r="B279" s="27">
        <v>88</v>
      </c>
      <c r="C279" s="27">
        <v>9</v>
      </c>
      <c r="D279" s="25" t="s">
        <v>60</v>
      </c>
      <c r="E279" s="47"/>
    </row>
    <row r="280" spans="2:9" ht="15.75" thickBot="1" x14ac:dyDescent="0.3">
      <c r="B280" s="27">
        <v>89</v>
      </c>
      <c r="C280" s="27">
        <v>10</v>
      </c>
      <c r="D280" s="25" t="s">
        <v>60</v>
      </c>
      <c r="E280" s="48"/>
    </row>
    <row r="281" spans="2:9" ht="15.75" thickBot="1" x14ac:dyDescent="0.3">
      <c r="B281" s="27">
        <v>90</v>
      </c>
      <c r="D281" s="30" t="s">
        <v>58</v>
      </c>
      <c r="E281" s="49"/>
      <c r="F281" s="12"/>
      <c r="G281" s="12"/>
      <c r="H281" s="12"/>
      <c r="I281" s="12"/>
    </row>
    <row r="282" spans="2:9" ht="15.75" thickBot="1" x14ac:dyDescent="0.3">
      <c r="B282" s="27">
        <v>91</v>
      </c>
      <c r="D282" s="31" t="s">
        <v>40</v>
      </c>
      <c r="E282" s="35" t="s">
        <v>15</v>
      </c>
      <c r="F282" s="35" t="s">
        <v>41</v>
      </c>
      <c r="G282" s="35" t="s">
        <v>42</v>
      </c>
      <c r="H282" s="35" t="s">
        <v>43</v>
      </c>
      <c r="I282" s="36" t="s">
        <v>44</v>
      </c>
    </row>
    <row r="283" spans="2:9" ht="15.75" thickTop="1" x14ac:dyDescent="0.25">
      <c r="B283" s="27">
        <v>92</v>
      </c>
      <c r="C283" s="40" t="s">
        <v>37</v>
      </c>
      <c r="D283" s="32">
        <v>20.453521590107876</v>
      </c>
      <c r="E283" s="33">
        <v>15.511955723971012</v>
      </c>
      <c r="F283" s="33"/>
      <c r="G283" s="33">
        <v>13.983103811642277</v>
      </c>
      <c r="H283" s="33">
        <v>10.744423073588322</v>
      </c>
      <c r="I283" s="34"/>
    </row>
    <row r="284" spans="2:9" ht="15.75" thickBot="1" x14ac:dyDescent="0.3">
      <c r="B284" s="27">
        <v>93</v>
      </c>
      <c r="C284" s="41" t="s">
        <v>38</v>
      </c>
      <c r="D284" s="63">
        <v>20.600741154733008</v>
      </c>
      <c r="E284" s="62">
        <v>15.669175727004689</v>
      </c>
      <c r="F284" s="62">
        <v>6775.263546948665</v>
      </c>
      <c r="G284" s="62">
        <v>14.066050141907137</v>
      </c>
      <c r="H284" s="62">
        <v>10.833802966534208</v>
      </c>
      <c r="I284" s="64">
        <v>4634.7504249904687</v>
      </c>
    </row>
    <row r="285" spans="2:9" ht="15.75" thickBot="1" x14ac:dyDescent="0.3">
      <c r="B285" s="27">
        <v>94</v>
      </c>
      <c r="D285" s="44" t="s">
        <v>59</v>
      </c>
      <c r="E285" s="52">
        <f>'population sizes'!Q53</f>
        <v>440449.94999999995</v>
      </c>
      <c r="F285" s="13"/>
      <c r="G285" s="13"/>
      <c r="H285" s="13"/>
      <c r="I285" s="13"/>
    </row>
    <row r="286" spans="2:9" ht="15.75" thickBot="1" x14ac:dyDescent="0.3">
      <c r="B286" s="27">
        <v>95</v>
      </c>
      <c r="D286" s="45" t="s">
        <v>61</v>
      </c>
      <c r="E286" s="51"/>
      <c r="F286" s="13"/>
      <c r="G286" s="13"/>
      <c r="H286" s="13"/>
      <c r="I286" s="13"/>
    </row>
    <row r="287" spans="2:9" ht="15.75" thickBot="1" x14ac:dyDescent="0.3">
      <c r="B287" s="27">
        <v>96</v>
      </c>
      <c r="D287" s="37" t="s">
        <v>40</v>
      </c>
      <c r="E287" s="38" t="s">
        <v>15</v>
      </c>
      <c r="F287" s="38" t="s">
        <v>41</v>
      </c>
      <c r="G287" s="38" t="s">
        <v>42</v>
      </c>
      <c r="H287" s="38" t="s">
        <v>43</v>
      </c>
      <c r="I287" s="39" t="s">
        <v>44</v>
      </c>
    </row>
    <row r="288" spans="2:9" ht="15.75" thickTop="1" x14ac:dyDescent="0.25">
      <c r="B288" s="27">
        <v>97</v>
      </c>
      <c r="C288" s="42" t="s">
        <v>37</v>
      </c>
      <c r="D288" s="55">
        <f>D283*E285</f>
        <v>9008752.561686933</v>
      </c>
      <c r="E288" s="57">
        <f>E283*E285</f>
        <v>6832240.123025245</v>
      </c>
      <c r="F288" s="57">
        <f>F283*E285</f>
        <v>0</v>
      </c>
      <c r="G288" s="57">
        <f>G283*E285</f>
        <v>6158857.37468265</v>
      </c>
      <c r="H288" s="57">
        <f>H283*E285</f>
        <v>4732380.6055408223</v>
      </c>
      <c r="I288" s="60">
        <f>I283*E285</f>
        <v>0</v>
      </c>
    </row>
    <row r="289" spans="2:9" ht="15.75" thickBot="1" x14ac:dyDescent="0.3">
      <c r="B289" s="27">
        <v>98</v>
      </c>
      <c r="C289" s="43" t="s">
        <v>38</v>
      </c>
      <c r="D289" s="56">
        <f>D284*E285</f>
        <v>9073595.4115650952</v>
      </c>
      <c r="E289" s="58">
        <f>E284*E285</f>
        <v>6901487.6655004276</v>
      </c>
      <c r="F289" s="59">
        <f>F284*E285</f>
        <v>2984164490.4903617</v>
      </c>
      <c r="G289" s="59">
        <f>G284*E285</f>
        <v>6195391.0817004908</v>
      </c>
      <c r="H289" s="59">
        <f>H284*E285</f>
        <v>4771747.9749198426</v>
      </c>
      <c r="I289" s="61">
        <f>I284*E285</f>
        <v>2041375592.9495304</v>
      </c>
    </row>
    <row r="290" spans="2:9" x14ac:dyDescent="0.25">
      <c r="B290" s="27">
        <v>99</v>
      </c>
      <c r="D290" s="26">
        <v>1</v>
      </c>
      <c r="E290" s="26">
        <v>2</v>
      </c>
      <c r="F290" s="26">
        <v>3</v>
      </c>
      <c r="G290" s="26">
        <v>4</v>
      </c>
      <c r="H290" s="26">
        <v>5</v>
      </c>
      <c r="I290" s="26">
        <v>6</v>
      </c>
    </row>
    <row r="291" spans="2:9" x14ac:dyDescent="0.25">
      <c r="B291" s="27">
        <v>74</v>
      </c>
    </row>
    <row r="292" spans="2:9" x14ac:dyDescent="0.25">
      <c r="B292" s="27">
        <v>75</v>
      </c>
    </row>
    <row r="293" spans="2:9" x14ac:dyDescent="0.25">
      <c r="B293" s="27">
        <v>76</v>
      </c>
    </row>
    <row r="294" spans="2:9" x14ac:dyDescent="0.25">
      <c r="B294" s="27">
        <v>77</v>
      </c>
    </row>
    <row r="295" spans="2:9" x14ac:dyDescent="0.25">
      <c r="B295" s="27">
        <v>78</v>
      </c>
    </row>
    <row r="296" spans="2:9" ht="15.75" thickBot="1" x14ac:dyDescent="0.3">
      <c r="B296" s="27">
        <v>79</v>
      </c>
      <c r="D296" s="29" t="s">
        <v>152</v>
      </c>
      <c r="E296" s="5" t="s">
        <v>153</v>
      </c>
    </row>
    <row r="297" spans="2:9" x14ac:dyDescent="0.25">
      <c r="B297" s="27">
        <v>80</v>
      </c>
      <c r="C297" s="27">
        <v>1</v>
      </c>
      <c r="D297" s="22" t="s">
        <v>55</v>
      </c>
      <c r="E297" s="46">
        <f>'population sizes'!R49</f>
        <v>62</v>
      </c>
    </row>
    <row r="298" spans="2:9" x14ac:dyDescent="0.25">
      <c r="B298" s="27">
        <v>81</v>
      </c>
      <c r="C298" s="27">
        <v>2</v>
      </c>
      <c r="D298" s="23" t="s">
        <v>56</v>
      </c>
      <c r="E298" s="114">
        <f>'population sizes'!R50</f>
        <v>0.62495522099022216</v>
      </c>
    </row>
    <row r="299" spans="2:9" x14ac:dyDescent="0.25">
      <c r="B299" s="27">
        <v>82</v>
      </c>
      <c r="C299" s="27">
        <v>3</v>
      </c>
      <c r="D299" s="23" t="s">
        <v>57</v>
      </c>
      <c r="E299" s="47">
        <f>'population sizes'!R51</f>
        <v>1</v>
      </c>
    </row>
    <row r="300" spans="2:9" x14ac:dyDescent="0.25">
      <c r="B300" s="27">
        <v>83</v>
      </c>
      <c r="C300" s="27">
        <v>4</v>
      </c>
      <c r="D300" s="24" t="s">
        <v>66</v>
      </c>
      <c r="E300" s="47">
        <f>'population sizes'!R52</f>
        <v>0.79600000000000004</v>
      </c>
    </row>
    <row r="301" spans="2:9" x14ac:dyDescent="0.25">
      <c r="B301" s="27">
        <v>84</v>
      </c>
      <c r="C301" s="27">
        <v>5</v>
      </c>
      <c r="D301" s="25" t="s">
        <v>60</v>
      </c>
      <c r="E301" s="47"/>
    </row>
    <row r="302" spans="2:9" ht="23.25" x14ac:dyDescent="0.35">
      <c r="B302" s="27">
        <v>85</v>
      </c>
      <c r="C302" s="27">
        <v>6</v>
      </c>
      <c r="D302" s="25" t="s">
        <v>60</v>
      </c>
      <c r="E302" s="47"/>
      <c r="G302" s="54">
        <v>12</v>
      </c>
    </row>
    <row r="303" spans="2:9" x14ac:dyDescent="0.25">
      <c r="B303" s="27">
        <v>86</v>
      </c>
      <c r="C303" s="27">
        <v>7</v>
      </c>
      <c r="D303" s="25" t="s">
        <v>60</v>
      </c>
      <c r="E303" s="47"/>
    </row>
    <row r="304" spans="2:9" x14ac:dyDescent="0.25">
      <c r="B304" s="27">
        <v>87</v>
      </c>
      <c r="C304" s="27">
        <v>8</v>
      </c>
      <c r="D304" s="25" t="s">
        <v>60</v>
      </c>
      <c r="E304" s="47"/>
    </row>
    <row r="305" spans="2:9" x14ac:dyDescent="0.25">
      <c r="B305" s="27">
        <v>88</v>
      </c>
      <c r="C305" s="27">
        <v>9</v>
      </c>
      <c r="D305" s="25" t="s">
        <v>60</v>
      </c>
      <c r="E305" s="47"/>
    </row>
    <row r="306" spans="2:9" ht="15.75" thickBot="1" x14ac:dyDescent="0.3">
      <c r="B306" s="27">
        <v>89</v>
      </c>
      <c r="C306" s="27">
        <v>10</v>
      </c>
      <c r="D306" s="25" t="s">
        <v>60</v>
      </c>
      <c r="E306" s="48"/>
    </row>
    <row r="307" spans="2:9" ht="15.75" thickBot="1" x14ac:dyDescent="0.3">
      <c r="B307" s="27">
        <v>90</v>
      </c>
      <c r="D307" s="30" t="s">
        <v>58</v>
      </c>
      <c r="E307" s="49"/>
      <c r="F307" s="12"/>
      <c r="G307" s="12"/>
      <c r="H307" s="12"/>
      <c r="I307" s="12"/>
    </row>
    <row r="308" spans="2:9" ht="15.75" thickBot="1" x14ac:dyDescent="0.3">
      <c r="B308" s="27">
        <v>91</v>
      </c>
      <c r="D308" s="31" t="s">
        <v>40</v>
      </c>
      <c r="E308" s="35" t="s">
        <v>15</v>
      </c>
      <c r="F308" s="35" t="s">
        <v>41</v>
      </c>
      <c r="G308" s="35" t="s">
        <v>42</v>
      </c>
      <c r="H308" s="35" t="s">
        <v>43</v>
      </c>
      <c r="I308" s="36" t="s">
        <v>44</v>
      </c>
    </row>
    <row r="309" spans="2:9" ht="15.75" thickTop="1" x14ac:dyDescent="0.25">
      <c r="B309" s="27">
        <v>92</v>
      </c>
      <c r="C309" s="40" t="s">
        <v>37</v>
      </c>
      <c r="D309" s="32">
        <v>16.635837655208107</v>
      </c>
      <c r="E309" s="33">
        <v>12.440820506103279</v>
      </c>
      <c r="F309" s="33"/>
      <c r="G309" s="33">
        <v>12.055991859826278</v>
      </c>
      <c r="H309" s="33">
        <v>9.1219940442838077</v>
      </c>
      <c r="I309" s="34"/>
    </row>
    <row r="310" spans="2:9" ht="15.75" thickBot="1" x14ac:dyDescent="0.3">
      <c r="B310" s="27">
        <v>93</v>
      </c>
      <c r="C310" s="41" t="s">
        <v>38</v>
      </c>
      <c r="D310" s="63">
        <v>16.735916901950905</v>
      </c>
      <c r="E310" s="62">
        <v>12.546551317196519</v>
      </c>
      <c r="F310" s="62">
        <v>5565.0192582821192</v>
      </c>
      <c r="G310" s="62">
        <v>12.117314055865876</v>
      </c>
      <c r="H310" s="62">
        <v>9.1872073770130669</v>
      </c>
      <c r="I310" s="64">
        <v>4033.7182943865587</v>
      </c>
    </row>
    <row r="311" spans="2:9" ht="15.75" thickBot="1" x14ac:dyDescent="0.3">
      <c r="B311" s="27">
        <v>94</v>
      </c>
      <c r="D311" s="44" t="s">
        <v>59</v>
      </c>
      <c r="E311" s="52">
        <f>'population sizes'!R53</f>
        <v>401538.57999999996</v>
      </c>
      <c r="F311" s="13"/>
      <c r="G311" s="13"/>
      <c r="H311" s="13"/>
      <c r="I311" s="13"/>
    </row>
    <row r="312" spans="2:9" ht="15.75" thickBot="1" x14ac:dyDescent="0.3">
      <c r="B312" s="27">
        <v>95</v>
      </c>
      <c r="D312" s="45" t="s">
        <v>61</v>
      </c>
      <c r="E312" s="51"/>
      <c r="F312" s="13"/>
      <c r="G312" s="13"/>
      <c r="H312" s="13"/>
      <c r="I312" s="13"/>
    </row>
    <row r="313" spans="2:9" ht="15.75" thickBot="1" x14ac:dyDescent="0.3">
      <c r="B313" s="27">
        <v>96</v>
      </c>
      <c r="D313" s="37" t="s">
        <v>40</v>
      </c>
      <c r="E313" s="38" t="s">
        <v>15</v>
      </c>
      <c r="F313" s="38" t="s">
        <v>41</v>
      </c>
      <c r="G313" s="38" t="s">
        <v>42</v>
      </c>
      <c r="H313" s="38" t="s">
        <v>43</v>
      </c>
      <c r="I313" s="39" t="s">
        <v>44</v>
      </c>
    </row>
    <row r="314" spans="2:9" ht="15.75" thickTop="1" x14ac:dyDescent="0.25">
      <c r="B314" s="27">
        <v>97</v>
      </c>
      <c r="C314" s="42" t="s">
        <v>37</v>
      </c>
      <c r="D314" s="55">
        <f>D309*E311</f>
        <v>6679930.6291827923</v>
      </c>
      <c r="E314" s="57">
        <f>E309*E311</f>
        <v>4995469.400055591</v>
      </c>
      <c r="F314" s="57">
        <f>F309*E311</f>
        <v>0</v>
      </c>
      <c r="G314" s="57">
        <f>G309*E311</f>
        <v>4840945.8518862026</v>
      </c>
      <c r="H314" s="57">
        <f>H309*E311</f>
        <v>3662832.5353101767</v>
      </c>
      <c r="I314" s="60">
        <f>I309*E311</f>
        <v>0</v>
      </c>
    </row>
    <row r="315" spans="2:9" ht="15.75" thickBot="1" x14ac:dyDescent="0.3">
      <c r="B315" s="27">
        <v>98</v>
      </c>
      <c r="C315" s="43" t="s">
        <v>38</v>
      </c>
      <c r="D315" s="56">
        <f>D310*E311</f>
        <v>6720116.3078073645</v>
      </c>
      <c r="E315" s="58">
        <f>E310*E311</f>
        <v>5037924.3998042196</v>
      </c>
      <c r="F315" s="59">
        <f>F310*E311</f>
        <v>2234569930.6432552</v>
      </c>
      <c r="G315" s="59">
        <f>G310*E311</f>
        <v>4865569.0794064235</v>
      </c>
      <c r="H315" s="59">
        <f>H310*E311</f>
        <v>3689018.204331351</v>
      </c>
      <c r="I315" s="61">
        <f>I310*E311</f>
        <v>1619693516.0480006</v>
      </c>
    </row>
    <row r="316" spans="2:9" x14ac:dyDescent="0.25">
      <c r="B316" s="27">
        <v>99</v>
      </c>
      <c r="D316" s="26">
        <v>1</v>
      </c>
      <c r="E316" s="26">
        <v>2</v>
      </c>
      <c r="F316" s="26">
        <v>3</v>
      </c>
      <c r="G316" s="26">
        <v>4</v>
      </c>
      <c r="H316" s="26">
        <v>5</v>
      </c>
      <c r="I316" s="26">
        <v>6</v>
      </c>
    </row>
    <row r="317" spans="2:9" x14ac:dyDescent="0.25">
      <c r="B317" s="27">
        <v>74</v>
      </c>
    </row>
    <row r="318" spans="2:9" x14ac:dyDescent="0.25">
      <c r="B318" s="27">
        <v>75</v>
      </c>
    </row>
    <row r="319" spans="2:9" x14ac:dyDescent="0.25">
      <c r="B319" s="27">
        <v>76</v>
      </c>
    </row>
    <row r="320" spans="2:9" x14ac:dyDescent="0.25">
      <c r="B320" s="27">
        <v>77</v>
      </c>
    </row>
    <row r="321" spans="2:9" x14ac:dyDescent="0.25">
      <c r="B321" s="27">
        <v>78</v>
      </c>
    </row>
    <row r="322" spans="2:9" ht="15.75" thickBot="1" x14ac:dyDescent="0.3">
      <c r="B322" s="27">
        <v>79</v>
      </c>
      <c r="D322" s="29" t="s">
        <v>154</v>
      </c>
      <c r="E322" s="5" t="s">
        <v>155</v>
      </c>
    </row>
    <row r="323" spans="2:9" x14ac:dyDescent="0.25">
      <c r="B323" s="27">
        <v>80</v>
      </c>
      <c r="C323" s="27">
        <v>1</v>
      </c>
      <c r="D323" s="22" t="s">
        <v>55</v>
      </c>
      <c r="E323" s="46">
        <f>'population sizes'!S49</f>
        <v>67</v>
      </c>
    </row>
    <row r="324" spans="2:9" x14ac:dyDescent="0.25">
      <c r="B324" s="27">
        <v>81</v>
      </c>
      <c r="C324" s="27">
        <v>2</v>
      </c>
      <c r="D324" s="23" t="s">
        <v>56</v>
      </c>
      <c r="E324" s="114">
        <f>'population sizes'!S50</f>
        <v>0.54493377607224158</v>
      </c>
    </row>
    <row r="325" spans="2:9" x14ac:dyDescent="0.25">
      <c r="B325" s="27">
        <v>82</v>
      </c>
      <c r="C325" s="27">
        <v>3</v>
      </c>
      <c r="D325" s="23" t="s">
        <v>57</v>
      </c>
      <c r="E325" s="47">
        <f>'population sizes'!S51</f>
        <v>1</v>
      </c>
    </row>
    <row r="326" spans="2:9" x14ac:dyDescent="0.25">
      <c r="B326" s="27">
        <v>83</v>
      </c>
      <c r="C326" s="27">
        <v>4</v>
      </c>
      <c r="D326" s="24" t="s">
        <v>66</v>
      </c>
      <c r="E326" s="47">
        <f>'population sizes'!S52</f>
        <v>0.79600000000000004</v>
      </c>
    </row>
    <row r="327" spans="2:9" x14ac:dyDescent="0.25">
      <c r="B327" s="27">
        <v>84</v>
      </c>
      <c r="C327" s="27">
        <v>5</v>
      </c>
      <c r="D327" s="25" t="s">
        <v>60</v>
      </c>
      <c r="E327" s="47"/>
    </row>
    <row r="328" spans="2:9" ht="23.25" x14ac:dyDescent="0.35">
      <c r="B328" s="27">
        <v>85</v>
      </c>
      <c r="C328" s="27">
        <v>6</v>
      </c>
      <c r="D328" s="25" t="s">
        <v>60</v>
      </c>
      <c r="E328" s="47"/>
      <c r="G328" s="54">
        <v>13</v>
      </c>
    </row>
    <row r="329" spans="2:9" x14ac:dyDescent="0.25">
      <c r="B329" s="27">
        <v>86</v>
      </c>
      <c r="C329" s="27">
        <v>7</v>
      </c>
      <c r="D329" s="25" t="s">
        <v>60</v>
      </c>
      <c r="E329" s="47"/>
    </row>
    <row r="330" spans="2:9" x14ac:dyDescent="0.25">
      <c r="B330" s="27">
        <v>87</v>
      </c>
      <c r="C330" s="27">
        <v>8</v>
      </c>
      <c r="D330" s="25" t="s">
        <v>60</v>
      </c>
      <c r="E330" s="47"/>
    </row>
    <row r="331" spans="2:9" x14ac:dyDescent="0.25">
      <c r="B331" s="27">
        <v>88</v>
      </c>
      <c r="C331" s="27">
        <v>9</v>
      </c>
      <c r="D331" s="25" t="s">
        <v>60</v>
      </c>
      <c r="E331" s="47"/>
    </row>
    <row r="332" spans="2:9" ht="15.75" thickBot="1" x14ac:dyDescent="0.3">
      <c r="B332" s="27">
        <v>89</v>
      </c>
      <c r="C332" s="27">
        <v>10</v>
      </c>
      <c r="D332" s="25" t="s">
        <v>60</v>
      </c>
      <c r="E332" s="48"/>
    </row>
    <row r="333" spans="2:9" ht="15.75" thickBot="1" x14ac:dyDescent="0.3">
      <c r="B333" s="27">
        <v>90</v>
      </c>
      <c r="D333" s="30" t="s">
        <v>58</v>
      </c>
      <c r="E333" s="49"/>
      <c r="F333" s="12"/>
      <c r="G333" s="12"/>
      <c r="H333" s="12"/>
      <c r="I333" s="12"/>
    </row>
    <row r="334" spans="2:9" ht="15.75" thickBot="1" x14ac:dyDescent="0.3">
      <c r="B334" s="27">
        <v>91</v>
      </c>
      <c r="D334" s="31" t="s">
        <v>40</v>
      </c>
      <c r="E334" s="35" t="s">
        <v>15</v>
      </c>
      <c r="F334" s="35" t="s">
        <v>41</v>
      </c>
      <c r="G334" s="35" t="s">
        <v>42</v>
      </c>
      <c r="H334" s="35" t="s">
        <v>43</v>
      </c>
      <c r="I334" s="36" t="s">
        <v>44</v>
      </c>
    </row>
    <row r="335" spans="2:9" ht="15.75" thickTop="1" x14ac:dyDescent="0.25">
      <c r="B335" s="27">
        <v>92</v>
      </c>
      <c r="C335" s="40" t="s">
        <v>37</v>
      </c>
      <c r="D335" s="32">
        <v>13.10391073535609</v>
      </c>
      <c r="E335" s="33">
        <v>9.559832812383684</v>
      </c>
      <c r="F335" s="33"/>
      <c r="G335" s="33">
        <v>10.049191980313301</v>
      </c>
      <c r="H335" s="33">
        <v>7.3884295381837681</v>
      </c>
      <c r="I335" s="34"/>
    </row>
    <row r="336" spans="2:9" ht="15.75" thickBot="1" x14ac:dyDescent="0.3">
      <c r="B336" s="27">
        <v>93</v>
      </c>
      <c r="C336" s="41" t="s">
        <v>38</v>
      </c>
      <c r="D336" s="63">
        <v>13.16807940244542</v>
      </c>
      <c r="E336" s="62">
        <v>9.6268054251800752</v>
      </c>
      <c r="F336" s="62">
        <v>4418.2934517482145</v>
      </c>
      <c r="G336" s="62">
        <v>10.091837349415004</v>
      </c>
      <c r="H336" s="62">
        <v>7.4330935847507913</v>
      </c>
      <c r="I336" s="64">
        <v>3388.3810754850574</v>
      </c>
    </row>
    <row r="337" spans="2:9" ht="15.75" thickBot="1" x14ac:dyDescent="0.3">
      <c r="B337" s="27">
        <v>94</v>
      </c>
      <c r="D337" s="44" t="s">
        <v>59</v>
      </c>
      <c r="E337" s="52">
        <f>'population sizes'!S53</f>
        <v>905255.87999999989</v>
      </c>
      <c r="F337" s="13"/>
      <c r="G337" s="13"/>
      <c r="H337" s="13"/>
      <c r="I337" s="13"/>
    </row>
    <row r="338" spans="2:9" ht="15.75" thickBot="1" x14ac:dyDescent="0.3">
      <c r="B338" s="27">
        <v>95</v>
      </c>
      <c r="D338" s="45" t="s">
        <v>61</v>
      </c>
      <c r="E338" s="51"/>
      <c r="F338" s="13"/>
      <c r="G338" s="13"/>
      <c r="H338" s="13"/>
      <c r="I338" s="13"/>
    </row>
    <row r="339" spans="2:9" ht="15.75" thickBot="1" x14ac:dyDescent="0.3">
      <c r="B339" s="27">
        <v>96</v>
      </c>
      <c r="D339" s="37" t="s">
        <v>40</v>
      </c>
      <c r="E339" s="38" t="s">
        <v>15</v>
      </c>
      <c r="F339" s="38" t="s">
        <v>41</v>
      </c>
      <c r="G339" s="38" t="s">
        <v>42</v>
      </c>
      <c r="H339" s="38" t="s">
        <v>43</v>
      </c>
      <c r="I339" s="39" t="s">
        <v>44</v>
      </c>
    </row>
    <row r="340" spans="2:9" ht="15.75" thickTop="1" x14ac:dyDescent="0.25">
      <c r="B340" s="27">
        <v>97</v>
      </c>
      <c r="C340" s="42" t="s">
        <v>37</v>
      </c>
      <c r="D340" s="55">
        <f>D335*E337</f>
        <v>11862392.244176222</v>
      </c>
      <c r="E340" s="57">
        <f>E335*E337</f>
        <v>8654094.8652272653</v>
      </c>
      <c r="F340" s="57">
        <f>F335*E337</f>
        <v>0</v>
      </c>
      <c r="G340" s="57">
        <f>G335*E337</f>
        <v>9097090.1294274591</v>
      </c>
      <c r="H340" s="57">
        <f>H335*E337</f>
        <v>6688419.2834065398</v>
      </c>
      <c r="I340" s="60">
        <f>I335*E337</f>
        <v>0</v>
      </c>
    </row>
    <row r="341" spans="2:9" ht="15.75" thickBot="1" x14ac:dyDescent="0.3">
      <c r="B341" s="27">
        <v>98</v>
      </c>
      <c r="C341" s="43" t="s">
        <v>38</v>
      </c>
      <c r="D341" s="56">
        <f>D336*E337</f>
        <v>11920481.307370601</v>
      </c>
      <c r="E341" s="58">
        <f>E336*E337</f>
        <v>8714722.2167601623</v>
      </c>
      <c r="F341" s="59">
        <f>F336*E337</f>
        <v>3999686126.7605667</v>
      </c>
      <c r="G341" s="59">
        <f>G336*E337</f>
        <v>9135695.1005615462</v>
      </c>
      <c r="H341" s="59">
        <f>H336*E337</f>
        <v>6728851.6741859317</v>
      </c>
      <c r="I341" s="61">
        <f>I336*E337</f>
        <v>3067351892.2635717</v>
      </c>
    </row>
    <row r="342" spans="2:9" x14ac:dyDescent="0.25">
      <c r="B342" s="27">
        <v>99</v>
      </c>
      <c r="D342" s="26">
        <v>1</v>
      </c>
      <c r="E342" s="26">
        <v>2</v>
      </c>
      <c r="F342" s="26">
        <v>3</v>
      </c>
      <c r="G342" s="26">
        <v>4</v>
      </c>
      <c r="H342" s="26">
        <v>5</v>
      </c>
      <c r="I342" s="26">
        <v>6</v>
      </c>
    </row>
    <row r="343" spans="2:9" x14ac:dyDescent="0.25">
      <c r="B343" s="27">
        <v>74</v>
      </c>
    </row>
    <row r="344" spans="2:9" x14ac:dyDescent="0.25">
      <c r="B344" s="27">
        <v>75</v>
      </c>
    </row>
    <row r="345" spans="2:9" x14ac:dyDescent="0.25">
      <c r="B345" s="27">
        <v>76</v>
      </c>
    </row>
    <row r="346" spans="2:9" x14ac:dyDescent="0.25">
      <c r="B346" s="27">
        <v>77</v>
      </c>
    </row>
    <row r="347" spans="2:9" x14ac:dyDescent="0.25">
      <c r="B347" s="27">
        <v>78</v>
      </c>
    </row>
    <row r="348" spans="2:9" ht="15.75" thickBot="1" x14ac:dyDescent="0.3">
      <c r="B348" s="27">
        <v>79</v>
      </c>
      <c r="D348" s="29" t="s">
        <v>156</v>
      </c>
      <c r="E348" s="5" t="s">
        <v>157</v>
      </c>
    </row>
    <row r="349" spans="2:9" x14ac:dyDescent="0.25">
      <c r="B349" s="27">
        <v>80</v>
      </c>
      <c r="C349" s="27">
        <v>1</v>
      </c>
      <c r="D349" s="22" t="s">
        <v>55</v>
      </c>
      <c r="E349" s="46">
        <f>'population sizes'!T49</f>
        <v>72</v>
      </c>
    </row>
    <row r="350" spans="2:9" x14ac:dyDescent="0.25">
      <c r="B350" s="27">
        <v>81</v>
      </c>
      <c r="C350" s="27">
        <v>2</v>
      </c>
      <c r="D350" s="23" t="s">
        <v>56</v>
      </c>
      <c r="E350" s="114">
        <f>'population sizes'!T50</f>
        <v>0.53371844963276183</v>
      </c>
    </row>
    <row r="351" spans="2:9" x14ac:dyDescent="0.25">
      <c r="B351" s="27">
        <v>82</v>
      </c>
      <c r="C351" s="27">
        <v>3</v>
      </c>
      <c r="D351" s="23" t="s">
        <v>57</v>
      </c>
      <c r="E351" s="47">
        <f>'population sizes'!T51</f>
        <v>1</v>
      </c>
    </row>
    <row r="352" spans="2:9" x14ac:dyDescent="0.25">
      <c r="B352" s="27">
        <v>83</v>
      </c>
      <c r="C352" s="27">
        <v>4</v>
      </c>
      <c r="D352" s="24" t="s">
        <v>66</v>
      </c>
      <c r="E352" s="47">
        <f>'population sizes'!T52</f>
        <v>0.79600000000000004</v>
      </c>
    </row>
    <row r="353" spans="2:9" x14ac:dyDescent="0.25">
      <c r="B353" s="27">
        <v>84</v>
      </c>
      <c r="C353" s="27">
        <v>5</v>
      </c>
      <c r="D353" s="25" t="s">
        <v>60</v>
      </c>
      <c r="E353" s="47"/>
    </row>
    <row r="354" spans="2:9" ht="23.25" x14ac:dyDescent="0.35">
      <c r="B354" s="27">
        <v>85</v>
      </c>
      <c r="C354" s="27">
        <v>6</v>
      </c>
      <c r="D354" s="25" t="s">
        <v>60</v>
      </c>
      <c r="E354" s="47"/>
      <c r="G354" s="54">
        <v>14</v>
      </c>
    </row>
    <row r="355" spans="2:9" x14ac:dyDescent="0.25">
      <c r="B355" s="27">
        <v>86</v>
      </c>
      <c r="C355" s="27">
        <v>7</v>
      </c>
      <c r="D355" s="25" t="s">
        <v>60</v>
      </c>
      <c r="E355" s="47"/>
    </row>
    <row r="356" spans="2:9" x14ac:dyDescent="0.25">
      <c r="B356" s="27">
        <v>87</v>
      </c>
      <c r="C356" s="27">
        <v>8</v>
      </c>
      <c r="D356" s="25" t="s">
        <v>60</v>
      </c>
      <c r="E356" s="47"/>
    </row>
    <row r="357" spans="2:9" x14ac:dyDescent="0.25">
      <c r="B357" s="27">
        <v>88</v>
      </c>
      <c r="C357" s="27">
        <v>9</v>
      </c>
      <c r="D357" s="25" t="s">
        <v>60</v>
      </c>
      <c r="E357" s="47"/>
    </row>
    <row r="358" spans="2:9" ht="15.75" thickBot="1" x14ac:dyDescent="0.3">
      <c r="B358" s="27">
        <v>89</v>
      </c>
      <c r="C358" s="27">
        <v>10</v>
      </c>
      <c r="D358" s="25" t="s">
        <v>60</v>
      </c>
      <c r="E358" s="48"/>
    </row>
    <row r="359" spans="2:9" ht="15.75" thickBot="1" x14ac:dyDescent="0.3">
      <c r="B359" s="27">
        <v>90</v>
      </c>
      <c r="D359" s="30" t="s">
        <v>58</v>
      </c>
      <c r="E359" s="49"/>
      <c r="F359" s="12"/>
      <c r="G359" s="12"/>
      <c r="H359" s="12"/>
      <c r="I359" s="12"/>
    </row>
    <row r="360" spans="2:9" ht="15.75" thickBot="1" x14ac:dyDescent="0.3">
      <c r="B360" s="27">
        <v>91</v>
      </c>
      <c r="D360" s="31" t="s">
        <v>40</v>
      </c>
      <c r="E360" s="35" t="s">
        <v>15</v>
      </c>
      <c r="F360" s="35" t="s">
        <v>41</v>
      </c>
      <c r="G360" s="35" t="s">
        <v>42</v>
      </c>
      <c r="H360" s="35" t="s">
        <v>43</v>
      </c>
      <c r="I360" s="36" t="s">
        <v>44</v>
      </c>
    </row>
    <row r="361" spans="2:9" ht="15.75" thickTop="1" x14ac:dyDescent="0.25">
      <c r="B361" s="27">
        <v>92</v>
      </c>
      <c r="C361" s="40" t="s">
        <v>37</v>
      </c>
      <c r="D361" s="32">
        <v>9.8577958631647498</v>
      </c>
      <c r="E361" s="33">
        <v>7.0569086865874437</v>
      </c>
      <c r="F361" s="33"/>
      <c r="G361" s="33">
        <v>7.9818068979651686</v>
      </c>
      <c r="H361" s="33">
        <v>5.7396889248203768</v>
      </c>
      <c r="I361" s="34"/>
    </row>
    <row r="362" spans="2:9" ht="15.75" thickBot="1" x14ac:dyDescent="0.3">
      <c r="B362" s="27">
        <v>93</v>
      </c>
      <c r="C362" s="41" t="s">
        <v>38</v>
      </c>
      <c r="D362" s="63">
        <v>9.8957293864487141</v>
      </c>
      <c r="E362" s="62">
        <v>7.0961788196267319</v>
      </c>
      <c r="F362" s="62">
        <v>3344.6973893311279</v>
      </c>
      <c r="G362" s="62">
        <v>8.0090558214198104</v>
      </c>
      <c r="H362" s="62">
        <v>5.7679575790583337</v>
      </c>
      <c r="I362" s="64">
        <v>2708.4240671277421</v>
      </c>
    </row>
    <row r="363" spans="2:9" ht="15.75" thickBot="1" x14ac:dyDescent="0.3">
      <c r="B363" s="27">
        <v>94</v>
      </c>
      <c r="D363" s="44" t="s">
        <v>59</v>
      </c>
      <c r="E363" s="52">
        <f>'population sizes'!T53</f>
        <v>667559.38500000001</v>
      </c>
      <c r="F363" s="13"/>
      <c r="G363" s="13"/>
      <c r="H363" s="13"/>
      <c r="I363" s="13"/>
    </row>
    <row r="364" spans="2:9" ht="15.75" thickBot="1" x14ac:dyDescent="0.3">
      <c r="B364" s="27">
        <v>95</v>
      </c>
      <c r="D364" s="45" t="s">
        <v>61</v>
      </c>
      <c r="E364" s="51"/>
      <c r="F364" s="13"/>
      <c r="G364" s="13"/>
      <c r="H364" s="13"/>
      <c r="I364" s="13"/>
    </row>
    <row r="365" spans="2:9" ht="15.75" thickBot="1" x14ac:dyDescent="0.3">
      <c r="B365" s="27">
        <v>96</v>
      </c>
      <c r="D365" s="37" t="s">
        <v>40</v>
      </c>
      <c r="E365" s="38" t="s">
        <v>15</v>
      </c>
      <c r="F365" s="38" t="s">
        <v>41</v>
      </c>
      <c r="G365" s="38" t="s">
        <v>42</v>
      </c>
      <c r="H365" s="38" t="s">
        <v>43</v>
      </c>
      <c r="I365" s="39" t="s">
        <v>44</v>
      </c>
    </row>
    <row r="366" spans="2:9" ht="15.75" thickTop="1" x14ac:dyDescent="0.25">
      <c r="B366" s="27">
        <v>97</v>
      </c>
      <c r="C366" s="42" t="s">
        <v>37</v>
      </c>
      <c r="D366" s="55">
        <f>D361*E363</f>
        <v>6580664.1438698042</v>
      </c>
      <c r="E366" s="57">
        <f>E361*E363</f>
        <v>4710905.6228194721</v>
      </c>
      <c r="F366" s="57">
        <f>F361*E363</f>
        <v>0</v>
      </c>
      <c r="G366" s="57">
        <f>G361*E363</f>
        <v>5328330.1039943853</v>
      </c>
      <c r="H366" s="57">
        <f>H361*E363</f>
        <v>3831583.208744402</v>
      </c>
      <c r="I366" s="60">
        <f>I361*E363</f>
        <v>0</v>
      </c>
    </row>
    <row r="367" spans="2:9" ht="15.75" thickBot="1" x14ac:dyDescent="0.3">
      <c r="B367" s="27">
        <v>98</v>
      </c>
      <c r="C367" s="43" t="s">
        <v>38</v>
      </c>
      <c r="D367" s="56">
        <f>D362*E363</f>
        <v>6605987.0233441312</v>
      </c>
      <c r="E367" s="58">
        <f>E362*E363</f>
        <v>4737120.7686800472</v>
      </c>
      <c r="F367" s="59">
        <f>F362*E363</f>
        <v>2232784132.2329931</v>
      </c>
      <c r="G367" s="59">
        <f>G362*E363</f>
        <v>5346520.3785776785</v>
      </c>
      <c r="H367" s="59">
        <f>H362*E363</f>
        <v>3850454.2141822702</v>
      </c>
      <c r="I367" s="61">
        <f>I362*E363</f>
        <v>1808033904.5709941</v>
      </c>
    </row>
    <row r="368" spans="2:9" x14ac:dyDescent="0.25">
      <c r="B368" s="27">
        <v>99</v>
      </c>
      <c r="D368" s="26">
        <v>1</v>
      </c>
      <c r="E368" s="26">
        <v>2</v>
      </c>
      <c r="F368" s="26">
        <v>3</v>
      </c>
      <c r="G368" s="26">
        <v>4</v>
      </c>
      <c r="H368" s="26">
        <v>5</v>
      </c>
      <c r="I368" s="26">
        <v>6</v>
      </c>
    </row>
    <row r="369" spans="2:7" x14ac:dyDescent="0.25">
      <c r="B369" s="27">
        <v>74</v>
      </c>
    </row>
    <row r="370" spans="2:7" x14ac:dyDescent="0.25">
      <c r="B370" s="27">
        <v>75</v>
      </c>
    </row>
    <row r="371" spans="2:7" x14ac:dyDescent="0.25">
      <c r="B371" s="27">
        <v>76</v>
      </c>
    </row>
    <row r="372" spans="2:7" x14ac:dyDescent="0.25">
      <c r="B372" s="27">
        <v>77</v>
      </c>
    </row>
    <row r="373" spans="2:7" x14ac:dyDescent="0.25">
      <c r="B373" s="27">
        <v>78</v>
      </c>
    </row>
    <row r="374" spans="2:7" ht="15.75" thickBot="1" x14ac:dyDescent="0.3">
      <c r="B374" s="27">
        <v>79</v>
      </c>
      <c r="D374" s="29" t="s">
        <v>76</v>
      </c>
      <c r="E374" s="5" t="s">
        <v>60</v>
      </c>
    </row>
    <row r="375" spans="2:7" x14ac:dyDescent="0.25">
      <c r="B375" s="27">
        <v>80</v>
      </c>
      <c r="C375" s="27">
        <v>1</v>
      </c>
      <c r="D375" s="22" t="s">
        <v>55</v>
      </c>
      <c r="E375" s="46"/>
    </row>
    <row r="376" spans="2:7" x14ac:dyDescent="0.25">
      <c r="B376" s="27">
        <v>81</v>
      </c>
      <c r="C376" s="27">
        <v>2</v>
      </c>
      <c r="D376" s="23" t="s">
        <v>56</v>
      </c>
      <c r="E376" s="47"/>
    </row>
    <row r="377" spans="2:7" x14ac:dyDescent="0.25">
      <c r="B377" s="27">
        <v>82</v>
      </c>
      <c r="C377" s="27">
        <v>3</v>
      </c>
      <c r="D377" s="23" t="s">
        <v>57</v>
      </c>
      <c r="E377" s="47"/>
    </row>
    <row r="378" spans="2:7" x14ac:dyDescent="0.25">
      <c r="B378" s="27">
        <v>83</v>
      </c>
      <c r="C378" s="27">
        <v>4</v>
      </c>
      <c r="D378" s="24" t="s">
        <v>66</v>
      </c>
      <c r="E378" s="47"/>
    </row>
    <row r="379" spans="2:7" x14ac:dyDescent="0.25">
      <c r="B379" s="27">
        <v>84</v>
      </c>
      <c r="C379" s="27">
        <v>5</v>
      </c>
      <c r="D379" s="25" t="s">
        <v>60</v>
      </c>
      <c r="E379" s="47"/>
    </row>
    <row r="380" spans="2:7" ht="23.25" x14ac:dyDescent="0.35">
      <c r="B380" s="27">
        <v>85</v>
      </c>
      <c r="C380" s="27">
        <v>6</v>
      </c>
      <c r="D380" s="25" t="s">
        <v>60</v>
      </c>
      <c r="E380" s="47"/>
      <c r="G380" s="54">
        <v>15</v>
      </c>
    </row>
    <row r="381" spans="2:7" x14ac:dyDescent="0.25">
      <c r="B381" s="27">
        <v>86</v>
      </c>
      <c r="C381" s="27">
        <v>7</v>
      </c>
      <c r="D381" s="25" t="s">
        <v>60</v>
      </c>
      <c r="E381" s="47"/>
    </row>
    <row r="382" spans="2:7" x14ac:dyDescent="0.25">
      <c r="B382" s="27">
        <v>87</v>
      </c>
      <c r="C382" s="27">
        <v>8</v>
      </c>
      <c r="D382" s="25" t="s">
        <v>60</v>
      </c>
      <c r="E382" s="47"/>
    </row>
    <row r="383" spans="2:7" x14ac:dyDescent="0.25">
      <c r="B383" s="27">
        <v>88</v>
      </c>
      <c r="C383" s="27">
        <v>9</v>
      </c>
      <c r="D383" s="25" t="s">
        <v>60</v>
      </c>
      <c r="E383" s="47"/>
    </row>
    <row r="384" spans="2:7" ht="15.75" thickBot="1" x14ac:dyDescent="0.3">
      <c r="B384" s="27">
        <v>89</v>
      </c>
      <c r="C384" s="27">
        <v>10</v>
      </c>
      <c r="D384" s="25" t="s">
        <v>60</v>
      </c>
      <c r="E384" s="48"/>
    </row>
    <row r="385" spans="2:9" ht="15.75" thickBot="1" x14ac:dyDescent="0.3">
      <c r="B385" s="27">
        <v>90</v>
      </c>
      <c r="D385" s="30" t="s">
        <v>58</v>
      </c>
      <c r="E385" s="49"/>
      <c r="F385" s="12"/>
      <c r="G385" s="12"/>
      <c r="H385" s="12"/>
      <c r="I385" s="12"/>
    </row>
    <row r="386" spans="2:9" ht="15.75" thickBot="1" x14ac:dyDescent="0.3">
      <c r="B386" s="27">
        <v>91</v>
      </c>
      <c r="D386" s="31" t="s">
        <v>40</v>
      </c>
      <c r="E386" s="35" t="s">
        <v>15</v>
      </c>
      <c r="F386" s="35" t="s">
        <v>41</v>
      </c>
      <c r="G386" s="35" t="s">
        <v>42</v>
      </c>
      <c r="H386" s="35" t="s">
        <v>43</v>
      </c>
      <c r="I386" s="36" t="s">
        <v>44</v>
      </c>
    </row>
    <row r="387" spans="2:9" ht="15.75" thickTop="1" x14ac:dyDescent="0.25">
      <c r="B387" s="27">
        <v>92</v>
      </c>
      <c r="C387" s="40" t="s">
        <v>37</v>
      </c>
      <c r="D387" s="32"/>
      <c r="E387" s="33"/>
      <c r="F387" s="33"/>
      <c r="G387" s="33"/>
      <c r="H387" s="33"/>
      <c r="I387" s="34"/>
    </row>
    <row r="388" spans="2:9" ht="15.75" thickBot="1" x14ac:dyDescent="0.3">
      <c r="B388" s="27">
        <v>93</v>
      </c>
      <c r="C388" s="41" t="s">
        <v>38</v>
      </c>
      <c r="D388" s="63"/>
      <c r="E388" s="62"/>
      <c r="F388" s="62"/>
      <c r="G388" s="62"/>
      <c r="H388" s="62"/>
      <c r="I388" s="64"/>
    </row>
    <row r="389" spans="2:9" ht="15.75" thickBot="1" x14ac:dyDescent="0.3">
      <c r="B389" s="27">
        <v>94</v>
      </c>
      <c r="D389" s="44" t="s">
        <v>59</v>
      </c>
      <c r="E389" s="50"/>
      <c r="F389" s="13"/>
      <c r="G389" s="13"/>
      <c r="H389" s="13"/>
      <c r="I389" s="13"/>
    </row>
    <row r="390" spans="2:9" ht="15.75" thickBot="1" x14ac:dyDescent="0.3">
      <c r="B390" s="27">
        <v>95</v>
      </c>
      <c r="D390" s="45" t="s">
        <v>61</v>
      </c>
      <c r="E390" s="51"/>
      <c r="F390" s="13"/>
      <c r="G390" s="13"/>
      <c r="H390" s="13"/>
      <c r="I390" s="13"/>
    </row>
    <row r="391" spans="2:9" ht="15.75" thickBot="1" x14ac:dyDescent="0.3">
      <c r="B391" s="27">
        <v>96</v>
      </c>
      <c r="D391" s="37" t="s">
        <v>40</v>
      </c>
      <c r="E391" s="38" t="s">
        <v>15</v>
      </c>
      <c r="F391" s="38" t="s">
        <v>41</v>
      </c>
      <c r="G391" s="38" t="s">
        <v>42</v>
      </c>
      <c r="H391" s="38" t="s">
        <v>43</v>
      </c>
      <c r="I391" s="39" t="s">
        <v>44</v>
      </c>
    </row>
    <row r="392" spans="2:9" ht="15.75" thickTop="1" x14ac:dyDescent="0.25">
      <c r="B392" s="27">
        <v>97</v>
      </c>
      <c r="C392" s="42" t="s">
        <v>37</v>
      </c>
      <c r="D392" s="55">
        <f>D387*E389</f>
        <v>0</v>
      </c>
      <c r="E392" s="57">
        <f>E387*E389</f>
        <v>0</v>
      </c>
      <c r="F392" s="57">
        <f>F387*E389</f>
        <v>0</v>
      </c>
      <c r="G392" s="57">
        <f>G387*E389</f>
        <v>0</v>
      </c>
      <c r="H392" s="57">
        <f>H387*E389</f>
        <v>0</v>
      </c>
      <c r="I392" s="60">
        <f>I387*E389</f>
        <v>0</v>
      </c>
    </row>
    <row r="393" spans="2:9" ht="15.75" thickBot="1" x14ac:dyDescent="0.3">
      <c r="B393" s="27">
        <v>98</v>
      </c>
      <c r="C393" s="43" t="s">
        <v>38</v>
      </c>
      <c r="D393" s="56">
        <f>D388*E389</f>
        <v>0</v>
      </c>
      <c r="E393" s="58">
        <f>E388*E389</f>
        <v>0</v>
      </c>
      <c r="F393" s="59">
        <f>F388*E389</f>
        <v>0</v>
      </c>
      <c r="G393" s="59">
        <f>G388*E389</f>
        <v>0</v>
      </c>
      <c r="H393" s="59">
        <f>H388*E389</f>
        <v>0</v>
      </c>
      <c r="I393" s="61">
        <f>I388*E389</f>
        <v>0</v>
      </c>
    </row>
    <row r="394" spans="2:9" x14ac:dyDescent="0.25">
      <c r="B394" s="27">
        <v>99</v>
      </c>
      <c r="D394" s="26">
        <v>1</v>
      </c>
      <c r="E394" s="26">
        <v>2</v>
      </c>
      <c r="F394" s="26">
        <v>3</v>
      </c>
      <c r="G394" s="26">
        <v>4</v>
      </c>
      <c r="H394" s="26">
        <v>5</v>
      </c>
      <c r="I394" s="26">
        <v>6</v>
      </c>
    </row>
    <row r="395" spans="2:9" x14ac:dyDescent="0.25">
      <c r="B395" s="27">
        <v>74</v>
      </c>
    </row>
    <row r="396" spans="2:9" x14ac:dyDescent="0.25">
      <c r="B396" s="27">
        <v>75</v>
      </c>
    </row>
    <row r="397" spans="2:9" x14ac:dyDescent="0.25">
      <c r="B397" s="27">
        <v>76</v>
      </c>
    </row>
    <row r="398" spans="2:9" x14ac:dyDescent="0.25">
      <c r="B398" s="27">
        <v>77</v>
      </c>
    </row>
    <row r="399" spans="2:9" x14ac:dyDescent="0.25">
      <c r="B399" s="27">
        <v>78</v>
      </c>
    </row>
    <row r="400" spans="2:9" ht="15.75" thickBot="1" x14ac:dyDescent="0.3">
      <c r="B400" s="27">
        <v>79</v>
      </c>
      <c r="D400" s="29" t="s">
        <v>76</v>
      </c>
      <c r="E400" s="5" t="s">
        <v>60</v>
      </c>
    </row>
    <row r="401" spans="2:9" x14ac:dyDescent="0.25">
      <c r="B401" s="27">
        <v>80</v>
      </c>
      <c r="C401" s="27">
        <v>1</v>
      </c>
      <c r="D401" s="22" t="s">
        <v>55</v>
      </c>
      <c r="E401" s="46"/>
    </row>
    <row r="402" spans="2:9" x14ac:dyDescent="0.25">
      <c r="B402" s="27">
        <v>81</v>
      </c>
      <c r="C402" s="27">
        <v>2</v>
      </c>
      <c r="D402" s="23" t="s">
        <v>56</v>
      </c>
      <c r="E402" s="47"/>
    </row>
    <row r="403" spans="2:9" x14ac:dyDescent="0.25">
      <c r="B403" s="27">
        <v>82</v>
      </c>
      <c r="C403" s="27">
        <v>3</v>
      </c>
      <c r="D403" s="23" t="s">
        <v>57</v>
      </c>
      <c r="E403" s="47"/>
    </row>
    <row r="404" spans="2:9" x14ac:dyDescent="0.25">
      <c r="B404" s="27">
        <v>83</v>
      </c>
      <c r="C404" s="27">
        <v>4</v>
      </c>
      <c r="D404" s="24" t="s">
        <v>66</v>
      </c>
      <c r="E404" s="47"/>
    </row>
    <row r="405" spans="2:9" x14ac:dyDescent="0.25">
      <c r="B405" s="27">
        <v>84</v>
      </c>
      <c r="C405" s="27">
        <v>5</v>
      </c>
      <c r="D405" s="25" t="s">
        <v>60</v>
      </c>
      <c r="E405" s="47"/>
    </row>
    <row r="406" spans="2:9" ht="23.25" x14ac:dyDescent="0.35">
      <c r="B406" s="27">
        <v>85</v>
      </c>
      <c r="C406" s="27">
        <v>6</v>
      </c>
      <c r="D406" s="25" t="s">
        <v>60</v>
      </c>
      <c r="E406" s="47"/>
      <c r="G406" s="54">
        <v>16</v>
      </c>
    </row>
    <row r="407" spans="2:9" x14ac:dyDescent="0.25">
      <c r="B407" s="27">
        <v>86</v>
      </c>
      <c r="C407" s="27">
        <v>7</v>
      </c>
      <c r="D407" s="25" t="s">
        <v>60</v>
      </c>
      <c r="E407" s="47"/>
    </row>
    <row r="408" spans="2:9" x14ac:dyDescent="0.25">
      <c r="B408" s="27">
        <v>87</v>
      </c>
      <c r="C408" s="27">
        <v>8</v>
      </c>
      <c r="D408" s="25" t="s">
        <v>60</v>
      </c>
      <c r="E408" s="47"/>
    </row>
    <row r="409" spans="2:9" x14ac:dyDescent="0.25">
      <c r="B409" s="27">
        <v>88</v>
      </c>
      <c r="C409" s="27">
        <v>9</v>
      </c>
      <c r="D409" s="25" t="s">
        <v>60</v>
      </c>
      <c r="E409" s="47"/>
    </row>
    <row r="410" spans="2:9" ht="15.75" thickBot="1" x14ac:dyDescent="0.3">
      <c r="B410" s="27">
        <v>89</v>
      </c>
      <c r="C410" s="27">
        <v>10</v>
      </c>
      <c r="D410" s="25" t="s">
        <v>60</v>
      </c>
      <c r="E410" s="48"/>
    </row>
    <row r="411" spans="2:9" ht="15.75" thickBot="1" x14ac:dyDescent="0.3">
      <c r="B411" s="27">
        <v>90</v>
      </c>
      <c r="D411" s="30" t="s">
        <v>58</v>
      </c>
      <c r="E411" s="49"/>
      <c r="F411" s="12"/>
      <c r="G411" s="12"/>
      <c r="H411" s="12"/>
      <c r="I411" s="12"/>
    </row>
    <row r="412" spans="2:9" ht="15.75" thickBot="1" x14ac:dyDescent="0.3">
      <c r="B412" s="27">
        <v>91</v>
      </c>
      <c r="D412" s="31" t="s">
        <v>40</v>
      </c>
      <c r="E412" s="35" t="s">
        <v>15</v>
      </c>
      <c r="F412" s="35" t="s">
        <v>41</v>
      </c>
      <c r="G412" s="35" t="s">
        <v>42</v>
      </c>
      <c r="H412" s="35" t="s">
        <v>43</v>
      </c>
      <c r="I412" s="36" t="s">
        <v>44</v>
      </c>
    </row>
    <row r="413" spans="2:9" ht="15.75" thickTop="1" x14ac:dyDescent="0.25">
      <c r="B413" s="27">
        <v>92</v>
      </c>
      <c r="C413" s="40" t="s">
        <v>37</v>
      </c>
      <c r="D413" s="32"/>
      <c r="E413" s="33"/>
      <c r="F413" s="33"/>
      <c r="G413" s="33"/>
      <c r="H413" s="33"/>
      <c r="I413" s="34"/>
    </row>
    <row r="414" spans="2:9" ht="15.75" thickBot="1" x14ac:dyDescent="0.3">
      <c r="B414" s="27">
        <v>93</v>
      </c>
      <c r="C414" s="41" t="s">
        <v>38</v>
      </c>
      <c r="D414" s="63"/>
      <c r="E414" s="62"/>
      <c r="F414" s="62"/>
      <c r="G414" s="62"/>
      <c r="H414" s="62"/>
      <c r="I414" s="64"/>
    </row>
    <row r="415" spans="2:9" ht="15.75" thickBot="1" x14ac:dyDescent="0.3">
      <c r="B415" s="27">
        <v>94</v>
      </c>
      <c r="D415" s="44" t="s">
        <v>59</v>
      </c>
      <c r="E415" s="50"/>
      <c r="F415" s="13"/>
      <c r="G415" s="13"/>
      <c r="H415" s="13"/>
      <c r="I415" s="13"/>
    </row>
    <row r="416" spans="2:9" ht="15.75" thickBot="1" x14ac:dyDescent="0.3">
      <c r="B416" s="27">
        <v>95</v>
      </c>
      <c r="D416" s="45" t="s">
        <v>61</v>
      </c>
      <c r="E416" s="51"/>
      <c r="F416" s="13"/>
      <c r="G416" s="13"/>
      <c r="H416" s="13"/>
      <c r="I416" s="13"/>
    </row>
    <row r="417" spans="2:9" ht="15.75" thickBot="1" x14ac:dyDescent="0.3">
      <c r="B417" s="27">
        <v>96</v>
      </c>
      <c r="D417" s="37" t="s">
        <v>40</v>
      </c>
      <c r="E417" s="38" t="s">
        <v>15</v>
      </c>
      <c r="F417" s="38" t="s">
        <v>41</v>
      </c>
      <c r="G417" s="38" t="s">
        <v>42</v>
      </c>
      <c r="H417" s="38" t="s">
        <v>43</v>
      </c>
      <c r="I417" s="39" t="s">
        <v>44</v>
      </c>
    </row>
    <row r="418" spans="2:9" ht="15.75" thickTop="1" x14ac:dyDescent="0.25">
      <c r="B418" s="27">
        <v>97</v>
      </c>
      <c r="C418" s="42" t="s">
        <v>37</v>
      </c>
      <c r="D418" s="55">
        <f>D413*E415</f>
        <v>0</v>
      </c>
      <c r="E418" s="57">
        <f>E413*E415</f>
        <v>0</v>
      </c>
      <c r="F418" s="57">
        <f>F413*E415</f>
        <v>0</v>
      </c>
      <c r="G418" s="57">
        <f>G413*E415</f>
        <v>0</v>
      </c>
      <c r="H418" s="57">
        <f>H413*E415</f>
        <v>0</v>
      </c>
      <c r="I418" s="60">
        <f>I413*E415</f>
        <v>0</v>
      </c>
    </row>
    <row r="419" spans="2:9" ht="15.75" thickBot="1" x14ac:dyDescent="0.3">
      <c r="B419" s="27">
        <v>98</v>
      </c>
      <c r="C419" s="43" t="s">
        <v>38</v>
      </c>
      <c r="D419" s="56">
        <f>D414*E415</f>
        <v>0</v>
      </c>
      <c r="E419" s="58">
        <f>E414*E415</f>
        <v>0</v>
      </c>
      <c r="F419" s="59">
        <f>F414*E415</f>
        <v>0</v>
      </c>
      <c r="G419" s="59">
        <f>G414*E415</f>
        <v>0</v>
      </c>
      <c r="H419" s="59">
        <f>H414*E415</f>
        <v>0</v>
      </c>
      <c r="I419" s="61">
        <f>I414*E415</f>
        <v>0</v>
      </c>
    </row>
    <row r="420" spans="2:9" x14ac:dyDescent="0.25">
      <c r="B420" s="27">
        <v>99</v>
      </c>
      <c r="D420" s="26">
        <v>1</v>
      </c>
      <c r="E420" s="26">
        <v>2</v>
      </c>
      <c r="F420" s="26">
        <v>3</v>
      </c>
      <c r="G420" s="26">
        <v>4</v>
      </c>
      <c r="H420" s="26">
        <v>5</v>
      </c>
      <c r="I420" s="26">
        <v>6</v>
      </c>
    </row>
    <row r="421" spans="2:9" x14ac:dyDescent="0.25">
      <c r="B421" s="27">
        <v>74</v>
      </c>
    </row>
    <row r="422" spans="2:9" x14ac:dyDescent="0.25">
      <c r="B422" s="27">
        <v>75</v>
      </c>
    </row>
    <row r="423" spans="2:9" x14ac:dyDescent="0.25">
      <c r="B423" s="27">
        <v>76</v>
      </c>
    </row>
    <row r="424" spans="2:9" x14ac:dyDescent="0.25">
      <c r="B424" s="27">
        <v>77</v>
      </c>
    </row>
    <row r="425" spans="2:9" x14ac:dyDescent="0.25">
      <c r="B425" s="27">
        <v>78</v>
      </c>
    </row>
    <row r="426" spans="2:9" ht="15.75" thickBot="1" x14ac:dyDescent="0.3">
      <c r="B426" s="27">
        <v>79</v>
      </c>
      <c r="D426" s="29" t="s">
        <v>76</v>
      </c>
      <c r="E426" s="5" t="s">
        <v>60</v>
      </c>
    </row>
    <row r="427" spans="2:9" x14ac:dyDescent="0.25">
      <c r="B427" s="27">
        <v>80</v>
      </c>
      <c r="C427" s="27">
        <v>1</v>
      </c>
      <c r="D427" s="22" t="s">
        <v>55</v>
      </c>
      <c r="E427" s="46"/>
    </row>
    <row r="428" spans="2:9" x14ac:dyDescent="0.25">
      <c r="B428" s="27">
        <v>81</v>
      </c>
      <c r="C428" s="27">
        <v>2</v>
      </c>
      <c r="D428" s="23" t="s">
        <v>56</v>
      </c>
      <c r="E428" s="47"/>
    </row>
    <row r="429" spans="2:9" x14ac:dyDescent="0.25">
      <c r="B429" s="27">
        <v>82</v>
      </c>
      <c r="C429" s="27">
        <v>3</v>
      </c>
      <c r="D429" s="23" t="s">
        <v>57</v>
      </c>
      <c r="E429" s="47"/>
    </row>
    <row r="430" spans="2:9" x14ac:dyDescent="0.25">
      <c r="B430" s="27">
        <v>83</v>
      </c>
      <c r="C430" s="27">
        <v>4</v>
      </c>
      <c r="D430" s="24" t="s">
        <v>66</v>
      </c>
      <c r="E430" s="47"/>
    </row>
    <row r="431" spans="2:9" x14ac:dyDescent="0.25">
      <c r="B431" s="27">
        <v>84</v>
      </c>
      <c r="C431" s="27">
        <v>5</v>
      </c>
      <c r="D431" s="25" t="s">
        <v>60</v>
      </c>
      <c r="E431" s="47"/>
    </row>
    <row r="432" spans="2:9" ht="23.25" x14ac:dyDescent="0.35">
      <c r="B432" s="27">
        <v>85</v>
      </c>
      <c r="C432" s="27">
        <v>6</v>
      </c>
      <c r="D432" s="25" t="s">
        <v>60</v>
      </c>
      <c r="E432" s="47"/>
      <c r="G432" s="54">
        <v>17</v>
      </c>
    </row>
    <row r="433" spans="2:9" x14ac:dyDescent="0.25">
      <c r="B433" s="27">
        <v>86</v>
      </c>
      <c r="C433" s="27">
        <v>7</v>
      </c>
      <c r="D433" s="25" t="s">
        <v>60</v>
      </c>
      <c r="E433" s="47"/>
    </row>
    <row r="434" spans="2:9" x14ac:dyDescent="0.25">
      <c r="B434" s="27">
        <v>87</v>
      </c>
      <c r="C434" s="27">
        <v>8</v>
      </c>
      <c r="D434" s="25" t="s">
        <v>60</v>
      </c>
      <c r="E434" s="47"/>
    </row>
    <row r="435" spans="2:9" x14ac:dyDescent="0.25">
      <c r="B435" s="27">
        <v>88</v>
      </c>
      <c r="C435" s="27">
        <v>9</v>
      </c>
      <c r="D435" s="25" t="s">
        <v>60</v>
      </c>
      <c r="E435" s="47"/>
    </row>
    <row r="436" spans="2:9" ht="15.75" thickBot="1" x14ac:dyDescent="0.3">
      <c r="B436" s="27">
        <v>89</v>
      </c>
      <c r="C436" s="27">
        <v>10</v>
      </c>
      <c r="D436" s="25" t="s">
        <v>60</v>
      </c>
      <c r="E436" s="48"/>
    </row>
    <row r="437" spans="2:9" ht="15.75" thickBot="1" x14ac:dyDescent="0.3">
      <c r="B437" s="27">
        <v>90</v>
      </c>
      <c r="D437" s="30" t="s">
        <v>58</v>
      </c>
      <c r="E437" s="49"/>
      <c r="F437" s="12"/>
      <c r="G437" s="12"/>
      <c r="H437" s="12"/>
      <c r="I437" s="12"/>
    </row>
    <row r="438" spans="2:9" ht="15.75" thickBot="1" x14ac:dyDescent="0.3">
      <c r="B438" s="27">
        <v>91</v>
      </c>
      <c r="D438" s="31" t="s">
        <v>40</v>
      </c>
      <c r="E438" s="35" t="s">
        <v>15</v>
      </c>
      <c r="F438" s="35" t="s">
        <v>41</v>
      </c>
      <c r="G438" s="35" t="s">
        <v>42</v>
      </c>
      <c r="H438" s="35" t="s">
        <v>43</v>
      </c>
      <c r="I438" s="36" t="s">
        <v>44</v>
      </c>
    </row>
    <row r="439" spans="2:9" ht="15.75" thickTop="1" x14ac:dyDescent="0.25">
      <c r="B439" s="27">
        <v>92</v>
      </c>
      <c r="C439" s="40" t="s">
        <v>37</v>
      </c>
      <c r="D439" s="32"/>
      <c r="E439" s="33"/>
      <c r="F439" s="33"/>
      <c r="G439" s="33"/>
      <c r="H439" s="33"/>
      <c r="I439" s="34"/>
    </row>
    <row r="440" spans="2:9" ht="15.75" thickBot="1" x14ac:dyDescent="0.3">
      <c r="B440" s="27">
        <v>93</v>
      </c>
      <c r="C440" s="41" t="s">
        <v>38</v>
      </c>
      <c r="D440" s="63"/>
      <c r="E440" s="62"/>
      <c r="F440" s="62"/>
      <c r="G440" s="62"/>
      <c r="H440" s="62"/>
      <c r="I440" s="64"/>
    </row>
    <row r="441" spans="2:9" ht="15.75" thickBot="1" x14ac:dyDescent="0.3">
      <c r="B441" s="27">
        <v>94</v>
      </c>
      <c r="D441" s="44" t="s">
        <v>59</v>
      </c>
      <c r="E441" s="50"/>
      <c r="F441" s="13"/>
      <c r="G441" s="13"/>
      <c r="H441" s="13"/>
      <c r="I441" s="13"/>
    </row>
    <row r="442" spans="2:9" ht="15.75" thickBot="1" x14ac:dyDescent="0.3">
      <c r="B442" s="27">
        <v>95</v>
      </c>
      <c r="D442" s="45" t="s">
        <v>61</v>
      </c>
      <c r="E442" s="51"/>
      <c r="F442" s="13"/>
      <c r="G442" s="13"/>
      <c r="H442" s="13"/>
      <c r="I442" s="13"/>
    </row>
    <row r="443" spans="2:9" ht="15.75" thickBot="1" x14ac:dyDescent="0.3">
      <c r="B443" s="27">
        <v>96</v>
      </c>
      <c r="D443" s="37" t="s">
        <v>40</v>
      </c>
      <c r="E443" s="38" t="s">
        <v>15</v>
      </c>
      <c r="F443" s="38" t="s">
        <v>41</v>
      </c>
      <c r="G443" s="38" t="s">
        <v>42</v>
      </c>
      <c r="H443" s="38" t="s">
        <v>43</v>
      </c>
      <c r="I443" s="39" t="s">
        <v>44</v>
      </c>
    </row>
    <row r="444" spans="2:9" ht="15.75" thickTop="1" x14ac:dyDescent="0.25">
      <c r="B444" s="27">
        <v>97</v>
      </c>
      <c r="C444" s="42" t="s">
        <v>37</v>
      </c>
      <c r="D444" s="55">
        <f>D439*E441</f>
        <v>0</v>
      </c>
      <c r="E444" s="57">
        <f>E439*E441</f>
        <v>0</v>
      </c>
      <c r="F444" s="57">
        <f>F439*E441</f>
        <v>0</v>
      </c>
      <c r="G444" s="57">
        <f>G439*E441</f>
        <v>0</v>
      </c>
      <c r="H444" s="57">
        <f>H439*E441</f>
        <v>0</v>
      </c>
      <c r="I444" s="60">
        <f>I439*E441</f>
        <v>0</v>
      </c>
    </row>
    <row r="445" spans="2:9" ht="15.75" thickBot="1" x14ac:dyDescent="0.3">
      <c r="B445" s="27">
        <v>98</v>
      </c>
      <c r="C445" s="43" t="s">
        <v>38</v>
      </c>
      <c r="D445" s="56">
        <f>D440*E441</f>
        <v>0</v>
      </c>
      <c r="E445" s="58">
        <f>E440*E441</f>
        <v>0</v>
      </c>
      <c r="F445" s="59">
        <f>F440*E441</f>
        <v>0</v>
      </c>
      <c r="G445" s="59">
        <f>G440*E441</f>
        <v>0</v>
      </c>
      <c r="H445" s="59">
        <f>H440*E441</f>
        <v>0</v>
      </c>
      <c r="I445" s="61">
        <f>I440*E441</f>
        <v>0</v>
      </c>
    </row>
    <row r="446" spans="2:9" x14ac:dyDescent="0.25">
      <c r="B446" s="27">
        <v>99</v>
      </c>
      <c r="D446" s="26">
        <v>1</v>
      </c>
      <c r="E446" s="26">
        <v>2</v>
      </c>
      <c r="F446" s="26">
        <v>3</v>
      </c>
      <c r="G446" s="26">
        <v>4</v>
      </c>
      <c r="H446" s="26">
        <v>5</v>
      </c>
      <c r="I446" s="26">
        <v>6</v>
      </c>
    </row>
    <row r="447" spans="2:9" x14ac:dyDescent="0.25">
      <c r="B447" s="27">
        <v>74</v>
      </c>
    </row>
    <row r="448" spans="2:9" x14ac:dyDescent="0.25">
      <c r="B448" s="27">
        <v>75</v>
      </c>
    </row>
    <row r="449" spans="2:9" x14ac:dyDescent="0.25">
      <c r="B449" s="27">
        <v>76</v>
      </c>
    </row>
    <row r="450" spans="2:9" x14ac:dyDescent="0.25">
      <c r="B450" s="27">
        <v>77</v>
      </c>
    </row>
    <row r="451" spans="2:9" x14ac:dyDescent="0.25">
      <c r="B451" s="27">
        <v>78</v>
      </c>
    </row>
    <row r="452" spans="2:9" ht="15.75" thickBot="1" x14ac:dyDescent="0.3">
      <c r="B452" s="27">
        <v>79</v>
      </c>
      <c r="D452" s="29" t="s">
        <v>76</v>
      </c>
      <c r="E452" s="5" t="s">
        <v>60</v>
      </c>
    </row>
    <row r="453" spans="2:9" x14ac:dyDescent="0.25">
      <c r="B453" s="27">
        <v>80</v>
      </c>
      <c r="C453" s="27">
        <v>1</v>
      </c>
      <c r="D453" s="22" t="s">
        <v>55</v>
      </c>
      <c r="E453" s="46"/>
    </row>
    <row r="454" spans="2:9" x14ac:dyDescent="0.25">
      <c r="B454" s="27">
        <v>81</v>
      </c>
      <c r="C454" s="27">
        <v>2</v>
      </c>
      <c r="D454" s="23" t="s">
        <v>56</v>
      </c>
      <c r="E454" s="47"/>
    </row>
    <row r="455" spans="2:9" x14ac:dyDescent="0.25">
      <c r="B455" s="27">
        <v>82</v>
      </c>
      <c r="C455" s="27">
        <v>3</v>
      </c>
      <c r="D455" s="23" t="s">
        <v>57</v>
      </c>
      <c r="E455" s="47"/>
    </row>
    <row r="456" spans="2:9" x14ac:dyDescent="0.25">
      <c r="B456" s="27">
        <v>83</v>
      </c>
      <c r="C456" s="27">
        <v>4</v>
      </c>
      <c r="D456" s="24" t="s">
        <v>66</v>
      </c>
      <c r="E456" s="47"/>
    </row>
    <row r="457" spans="2:9" x14ac:dyDescent="0.25">
      <c r="B457" s="27">
        <v>84</v>
      </c>
      <c r="C457" s="27">
        <v>5</v>
      </c>
      <c r="D457" s="25" t="s">
        <v>60</v>
      </c>
      <c r="E457" s="47"/>
    </row>
    <row r="458" spans="2:9" ht="23.25" x14ac:dyDescent="0.35">
      <c r="B458" s="27">
        <v>85</v>
      </c>
      <c r="C458" s="27">
        <v>6</v>
      </c>
      <c r="D458" s="25" t="s">
        <v>60</v>
      </c>
      <c r="E458" s="47"/>
      <c r="G458" s="54">
        <v>18</v>
      </c>
    </row>
    <row r="459" spans="2:9" x14ac:dyDescent="0.25">
      <c r="B459" s="27">
        <v>86</v>
      </c>
      <c r="C459" s="27">
        <v>7</v>
      </c>
      <c r="D459" s="25" t="s">
        <v>60</v>
      </c>
      <c r="E459" s="47"/>
    </row>
    <row r="460" spans="2:9" x14ac:dyDescent="0.25">
      <c r="B460" s="27">
        <v>87</v>
      </c>
      <c r="C460" s="27">
        <v>8</v>
      </c>
      <c r="D460" s="25" t="s">
        <v>60</v>
      </c>
      <c r="E460" s="47"/>
    </row>
    <row r="461" spans="2:9" x14ac:dyDescent="0.25">
      <c r="B461" s="27">
        <v>88</v>
      </c>
      <c r="C461" s="27">
        <v>9</v>
      </c>
      <c r="D461" s="25" t="s">
        <v>60</v>
      </c>
      <c r="E461" s="47"/>
    </row>
    <row r="462" spans="2:9" ht="15.75" thickBot="1" x14ac:dyDescent="0.3">
      <c r="B462" s="27">
        <v>89</v>
      </c>
      <c r="C462" s="27">
        <v>10</v>
      </c>
      <c r="D462" s="25" t="s">
        <v>60</v>
      </c>
      <c r="E462" s="48"/>
    </row>
    <row r="463" spans="2:9" ht="15.75" thickBot="1" x14ac:dyDescent="0.3">
      <c r="B463" s="27">
        <v>90</v>
      </c>
      <c r="D463" s="30" t="s">
        <v>58</v>
      </c>
      <c r="E463" s="49"/>
      <c r="F463" s="12"/>
      <c r="G463" s="12"/>
      <c r="H463" s="12"/>
      <c r="I463" s="12"/>
    </row>
    <row r="464" spans="2:9" ht="15.75" thickBot="1" x14ac:dyDescent="0.3">
      <c r="B464" s="27">
        <v>91</v>
      </c>
      <c r="D464" s="31" t="s">
        <v>40</v>
      </c>
      <c r="E464" s="35" t="s">
        <v>15</v>
      </c>
      <c r="F464" s="35" t="s">
        <v>41</v>
      </c>
      <c r="G464" s="35" t="s">
        <v>42</v>
      </c>
      <c r="H464" s="35" t="s">
        <v>43</v>
      </c>
      <c r="I464" s="36" t="s">
        <v>44</v>
      </c>
    </row>
    <row r="465" spans="2:9" ht="15.75" thickTop="1" x14ac:dyDescent="0.25">
      <c r="B465" s="27">
        <v>92</v>
      </c>
      <c r="C465" s="40" t="s">
        <v>37</v>
      </c>
      <c r="D465" s="32"/>
      <c r="E465" s="33"/>
      <c r="F465" s="33"/>
      <c r="G465" s="33"/>
      <c r="H465" s="33"/>
      <c r="I465" s="34"/>
    </row>
    <row r="466" spans="2:9" ht="15.75" thickBot="1" x14ac:dyDescent="0.3">
      <c r="B466" s="27">
        <v>93</v>
      </c>
      <c r="C466" s="41" t="s">
        <v>38</v>
      </c>
      <c r="D466" s="63"/>
      <c r="E466" s="62"/>
      <c r="F466" s="62"/>
      <c r="G466" s="62"/>
      <c r="H466" s="62"/>
      <c r="I466" s="64"/>
    </row>
    <row r="467" spans="2:9" ht="15.75" thickBot="1" x14ac:dyDescent="0.3">
      <c r="B467" s="27">
        <v>94</v>
      </c>
      <c r="D467" s="44" t="s">
        <v>59</v>
      </c>
      <c r="E467" s="50"/>
      <c r="F467" s="13"/>
      <c r="G467" s="13"/>
      <c r="H467" s="13"/>
      <c r="I467" s="13"/>
    </row>
    <row r="468" spans="2:9" ht="15.75" thickBot="1" x14ac:dyDescent="0.3">
      <c r="B468" s="27">
        <v>95</v>
      </c>
      <c r="D468" s="45" t="s">
        <v>61</v>
      </c>
      <c r="E468" s="51"/>
      <c r="F468" s="13"/>
      <c r="G468" s="13"/>
      <c r="H468" s="13"/>
      <c r="I468" s="13"/>
    </row>
    <row r="469" spans="2:9" ht="15.75" thickBot="1" x14ac:dyDescent="0.3">
      <c r="B469" s="27">
        <v>96</v>
      </c>
      <c r="D469" s="37" t="s">
        <v>40</v>
      </c>
      <c r="E469" s="38" t="s">
        <v>15</v>
      </c>
      <c r="F469" s="38" t="s">
        <v>41</v>
      </c>
      <c r="G469" s="38" t="s">
        <v>42</v>
      </c>
      <c r="H469" s="38" t="s">
        <v>43</v>
      </c>
      <c r="I469" s="39" t="s">
        <v>44</v>
      </c>
    </row>
    <row r="470" spans="2:9" ht="15.75" thickTop="1" x14ac:dyDescent="0.25">
      <c r="B470" s="27">
        <v>97</v>
      </c>
      <c r="C470" s="42" t="s">
        <v>37</v>
      </c>
      <c r="D470" s="55">
        <f>D465*E467</f>
        <v>0</v>
      </c>
      <c r="E470" s="57">
        <f>E465*E467</f>
        <v>0</v>
      </c>
      <c r="F470" s="57">
        <f>F465*E467</f>
        <v>0</v>
      </c>
      <c r="G470" s="57">
        <f>G465*E467</f>
        <v>0</v>
      </c>
      <c r="H470" s="57">
        <f>H465*E467</f>
        <v>0</v>
      </c>
      <c r="I470" s="60">
        <f>I465*E467</f>
        <v>0</v>
      </c>
    </row>
    <row r="471" spans="2:9" ht="15.75" thickBot="1" x14ac:dyDescent="0.3">
      <c r="B471" s="27">
        <v>98</v>
      </c>
      <c r="C471" s="43" t="s">
        <v>38</v>
      </c>
      <c r="D471" s="56">
        <f>D466*E467</f>
        <v>0</v>
      </c>
      <c r="E471" s="58">
        <f>E466*E467</f>
        <v>0</v>
      </c>
      <c r="F471" s="59">
        <f>F466*E467</f>
        <v>0</v>
      </c>
      <c r="G471" s="59">
        <f>G466*E467</f>
        <v>0</v>
      </c>
      <c r="H471" s="59">
        <f>H466*E467</f>
        <v>0</v>
      </c>
      <c r="I471" s="61">
        <f>I466*E467</f>
        <v>0</v>
      </c>
    </row>
    <row r="472" spans="2:9" x14ac:dyDescent="0.25">
      <c r="B472" s="27">
        <v>99</v>
      </c>
      <c r="D472" s="26">
        <v>1</v>
      </c>
      <c r="E472" s="26">
        <v>2</v>
      </c>
      <c r="F472" s="26">
        <v>3</v>
      </c>
      <c r="G472" s="26">
        <v>4</v>
      </c>
      <c r="H472" s="26">
        <v>5</v>
      </c>
      <c r="I472" s="26">
        <v>6</v>
      </c>
    </row>
    <row r="473" spans="2:9" x14ac:dyDescent="0.25">
      <c r="B473" s="27">
        <v>74</v>
      </c>
    </row>
    <row r="474" spans="2:9" x14ac:dyDescent="0.25">
      <c r="B474" s="27">
        <v>75</v>
      </c>
    </row>
    <row r="475" spans="2:9" x14ac:dyDescent="0.25">
      <c r="B475" s="27">
        <v>76</v>
      </c>
    </row>
    <row r="476" spans="2:9" x14ac:dyDescent="0.25">
      <c r="B476" s="27">
        <v>77</v>
      </c>
    </row>
    <row r="477" spans="2:9" x14ac:dyDescent="0.25">
      <c r="B477" s="27">
        <v>78</v>
      </c>
    </row>
    <row r="478" spans="2:9" ht="15.75" thickBot="1" x14ac:dyDescent="0.3">
      <c r="B478" s="27">
        <v>79</v>
      </c>
      <c r="D478" s="29" t="s">
        <v>76</v>
      </c>
      <c r="E478" s="5" t="s">
        <v>60</v>
      </c>
    </row>
    <row r="479" spans="2:9" x14ac:dyDescent="0.25">
      <c r="B479" s="27">
        <v>80</v>
      </c>
      <c r="C479" s="27">
        <v>1</v>
      </c>
      <c r="D479" s="22" t="s">
        <v>55</v>
      </c>
      <c r="E479" s="46"/>
    </row>
    <row r="480" spans="2:9" x14ac:dyDescent="0.25">
      <c r="B480" s="27">
        <v>81</v>
      </c>
      <c r="C480" s="27">
        <v>2</v>
      </c>
      <c r="D480" s="23" t="s">
        <v>56</v>
      </c>
      <c r="E480" s="47"/>
    </row>
    <row r="481" spans="2:9" x14ac:dyDescent="0.25">
      <c r="B481" s="27">
        <v>82</v>
      </c>
      <c r="C481" s="27">
        <v>3</v>
      </c>
      <c r="D481" s="23" t="s">
        <v>57</v>
      </c>
      <c r="E481" s="47"/>
    </row>
    <row r="482" spans="2:9" x14ac:dyDescent="0.25">
      <c r="B482" s="27">
        <v>83</v>
      </c>
      <c r="C482" s="27">
        <v>4</v>
      </c>
      <c r="D482" s="24" t="s">
        <v>66</v>
      </c>
      <c r="E482" s="47"/>
    </row>
    <row r="483" spans="2:9" x14ac:dyDescent="0.25">
      <c r="B483" s="27">
        <v>84</v>
      </c>
      <c r="C483" s="27">
        <v>5</v>
      </c>
      <c r="D483" s="25" t="s">
        <v>60</v>
      </c>
      <c r="E483" s="47"/>
    </row>
    <row r="484" spans="2:9" ht="23.25" x14ac:dyDescent="0.35">
      <c r="B484" s="27">
        <v>85</v>
      </c>
      <c r="C484" s="27">
        <v>6</v>
      </c>
      <c r="D484" s="25" t="s">
        <v>60</v>
      </c>
      <c r="E484" s="47"/>
      <c r="G484" s="54">
        <v>19</v>
      </c>
    </row>
    <row r="485" spans="2:9" x14ac:dyDescent="0.25">
      <c r="B485" s="27">
        <v>86</v>
      </c>
      <c r="C485" s="27">
        <v>7</v>
      </c>
      <c r="D485" s="25" t="s">
        <v>60</v>
      </c>
      <c r="E485" s="47"/>
    </row>
    <row r="486" spans="2:9" x14ac:dyDescent="0.25">
      <c r="B486" s="27">
        <v>87</v>
      </c>
      <c r="C486" s="27">
        <v>8</v>
      </c>
      <c r="D486" s="25" t="s">
        <v>60</v>
      </c>
      <c r="E486" s="47"/>
    </row>
    <row r="487" spans="2:9" x14ac:dyDescent="0.25">
      <c r="B487" s="27">
        <v>88</v>
      </c>
      <c r="C487" s="27">
        <v>9</v>
      </c>
      <c r="D487" s="25" t="s">
        <v>60</v>
      </c>
      <c r="E487" s="47"/>
    </row>
    <row r="488" spans="2:9" ht="15.75" thickBot="1" x14ac:dyDescent="0.3">
      <c r="B488" s="27">
        <v>89</v>
      </c>
      <c r="C488" s="27">
        <v>10</v>
      </c>
      <c r="D488" s="25" t="s">
        <v>60</v>
      </c>
      <c r="E488" s="48"/>
    </row>
    <row r="489" spans="2:9" ht="15.75" thickBot="1" x14ac:dyDescent="0.3">
      <c r="B489" s="27">
        <v>90</v>
      </c>
      <c r="D489" s="30" t="s">
        <v>58</v>
      </c>
      <c r="E489" s="49"/>
      <c r="F489" s="12"/>
      <c r="G489" s="12"/>
      <c r="H489" s="12"/>
      <c r="I489" s="12"/>
    </row>
    <row r="490" spans="2:9" ht="15.75" thickBot="1" x14ac:dyDescent="0.3">
      <c r="B490" s="27">
        <v>91</v>
      </c>
      <c r="D490" s="31" t="s">
        <v>40</v>
      </c>
      <c r="E490" s="35" t="s">
        <v>15</v>
      </c>
      <c r="F490" s="35" t="s">
        <v>41</v>
      </c>
      <c r="G490" s="35" t="s">
        <v>42</v>
      </c>
      <c r="H490" s="35" t="s">
        <v>43</v>
      </c>
      <c r="I490" s="36" t="s">
        <v>44</v>
      </c>
    </row>
    <row r="491" spans="2:9" ht="15.75" thickTop="1" x14ac:dyDescent="0.25">
      <c r="B491" s="27">
        <v>92</v>
      </c>
      <c r="C491" s="40" t="s">
        <v>37</v>
      </c>
      <c r="D491" s="32"/>
      <c r="E491" s="33"/>
      <c r="F491" s="33"/>
      <c r="G491" s="33"/>
      <c r="H491" s="33"/>
      <c r="I491" s="34"/>
    </row>
    <row r="492" spans="2:9" ht="15.75" thickBot="1" x14ac:dyDescent="0.3">
      <c r="B492" s="27">
        <v>93</v>
      </c>
      <c r="C492" s="41" t="s">
        <v>38</v>
      </c>
      <c r="D492" s="63"/>
      <c r="E492" s="62"/>
      <c r="F492" s="62"/>
      <c r="G492" s="62"/>
      <c r="H492" s="62"/>
      <c r="I492" s="64"/>
    </row>
    <row r="493" spans="2:9" ht="15.75" thickBot="1" x14ac:dyDescent="0.3">
      <c r="B493" s="27">
        <v>94</v>
      </c>
      <c r="D493" s="44" t="s">
        <v>59</v>
      </c>
      <c r="E493" s="50"/>
      <c r="F493" s="13"/>
      <c r="G493" s="13"/>
      <c r="H493" s="13"/>
      <c r="I493" s="13"/>
    </row>
    <row r="494" spans="2:9" ht="15.75" thickBot="1" x14ac:dyDescent="0.3">
      <c r="B494" s="27">
        <v>95</v>
      </c>
      <c r="D494" s="45" t="s">
        <v>61</v>
      </c>
      <c r="E494" s="51"/>
      <c r="F494" s="13"/>
      <c r="G494" s="13"/>
      <c r="H494" s="13"/>
      <c r="I494" s="13"/>
    </row>
    <row r="495" spans="2:9" ht="15.75" thickBot="1" x14ac:dyDescent="0.3">
      <c r="B495" s="27">
        <v>96</v>
      </c>
      <c r="D495" s="37" t="s">
        <v>40</v>
      </c>
      <c r="E495" s="38" t="s">
        <v>15</v>
      </c>
      <c r="F495" s="38" t="s">
        <v>41</v>
      </c>
      <c r="G495" s="38" t="s">
        <v>42</v>
      </c>
      <c r="H495" s="38" t="s">
        <v>43</v>
      </c>
      <c r="I495" s="39" t="s">
        <v>44</v>
      </c>
    </row>
    <row r="496" spans="2:9" ht="15.75" thickTop="1" x14ac:dyDescent="0.25">
      <c r="B496" s="27">
        <v>97</v>
      </c>
      <c r="C496" s="42" t="s">
        <v>37</v>
      </c>
      <c r="D496" s="55">
        <f>D491*E493</f>
        <v>0</v>
      </c>
      <c r="E496" s="57">
        <f>E491*E493</f>
        <v>0</v>
      </c>
      <c r="F496" s="57">
        <f>F491*E493</f>
        <v>0</v>
      </c>
      <c r="G496" s="57">
        <f>G491*E493</f>
        <v>0</v>
      </c>
      <c r="H496" s="57">
        <f>H491*E493</f>
        <v>0</v>
      </c>
      <c r="I496" s="60">
        <f>I491*E493</f>
        <v>0</v>
      </c>
    </row>
    <row r="497" spans="2:9" ht="15.75" thickBot="1" x14ac:dyDescent="0.3">
      <c r="B497" s="27">
        <v>98</v>
      </c>
      <c r="C497" s="43" t="s">
        <v>38</v>
      </c>
      <c r="D497" s="56">
        <f>D492*E493</f>
        <v>0</v>
      </c>
      <c r="E497" s="58">
        <f>E492*E493</f>
        <v>0</v>
      </c>
      <c r="F497" s="59">
        <f>F492*E493</f>
        <v>0</v>
      </c>
      <c r="G497" s="59">
        <f>G492*E493</f>
        <v>0</v>
      </c>
      <c r="H497" s="59">
        <f>H492*E493</f>
        <v>0</v>
      </c>
      <c r="I497" s="61">
        <f>I492*E493</f>
        <v>0</v>
      </c>
    </row>
    <row r="498" spans="2:9" x14ac:dyDescent="0.25">
      <c r="B498" s="27">
        <v>99</v>
      </c>
      <c r="D498" s="26">
        <v>1</v>
      </c>
      <c r="E498" s="26">
        <v>2</v>
      </c>
      <c r="F498" s="26">
        <v>3</v>
      </c>
      <c r="G498" s="26">
        <v>4</v>
      </c>
      <c r="H498" s="26">
        <v>5</v>
      </c>
      <c r="I498" s="26">
        <v>6</v>
      </c>
    </row>
    <row r="499" spans="2:9" x14ac:dyDescent="0.25">
      <c r="B499" s="27">
        <v>74</v>
      </c>
    </row>
    <row r="500" spans="2:9" x14ac:dyDescent="0.25">
      <c r="B500" s="27">
        <v>75</v>
      </c>
    </row>
    <row r="501" spans="2:9" x14ac:dyDescent="0.25">
      <c r="B501" s="27">
        <v>76</v>
      </c>
    </row>
    <row r="502" spans="2:9" x14ac:dyDescent="0.25">
      <c r="B502" s="27">
        <v>77</v>
      </c>
    </row>
    <row r="503" spans="2:9" x14ac:dyDescent="0.25">
      <c r="B503" s="27">
        <v>78</v>
      </c>
    </row>
    <row r="504" spans="2:9" ht="15.75" thickBot="1" x14ac:dyDescent="0.3">
      <c r="B504" s="27">
        <v>79</v>
      </c>
      <c r="D504" s="29" t="s">
        <v>76</v>
      </c>
      <c r="E504" s="5" t="s">
        <v>60</v>
      </c>
    </row>
    <row r="505" spans="2:9" x14ac:dyDescent="0.25">
      <c r="B505" s="27">
        <v>80</v>
      </c>
      <c r="C505" s="27">
        <v>1</v>
      </c>
      <c r="D505" s="22" t="s">
        <v>55</v>
      </c>
      <c r="E505" s="46"/>
    </row>
    <row r="506" spans="2:9" x14ac:dyDescent="0.25">
      <c r="B506" s="27">
        <v>81</v>
      </c>
      <c r="C506" s="27">
        <v>2</v>
      </c>
      <c r="D506" s="23" t="s">
        <v>56</v>
      </c>
      <c r="E506" s="47"/>
    </row>
    <row r="507" spans="2:9" x14ac:dyDescent="0.25">
      <c r="B507" s="27">
        <v>82</v>
      </c>
      <c r="C507" s="27">
        <v>3</v>
      </c>
      <c r="D507" s="23" t="s">
        <v>57</v>
      </c>
      <c r="E507" s="47"/>
    </row>
    <row r="508" spans="2:9" x14ac:dyDescent="0.25">
      <c r="B508" s="27">
        <v>83</v>
      </c>
      <c r="C508" s="27">
        <v>4</v>
      </c>
      <c r="D508" s="24" t="s">
        <v>66</v>
      </c>
      <c r="E508" s="47"/>
    </row>
    <row r="509" spans="2:9" x14ac:dyDescent="0.25">
      <c r="B509" s="27">
        <v>84</v>
      </c>
      <c r="C509" s="27">
        <v>5</v>
      </c>
      <c r="D509" s="25" t="s">
        <v>60</v>
      </c>
      <c r="E509" s="47"/>
    </row>
    <row r="510" spans="2:9" ht="23.25" x14ac:dyDescent="0.35">
      <c r="B510" s="27">
        <v>85</v>
      </c>
      <c r="C510" s="27">
        <v>6</v>
      </c>
      <c r="D510" s="25" t="s">
        <v>60</v>
      </c>
      <c r="E510" s="47"/>
      <c r="G510" s="54">
        <v>20</v>
      </c>
    </row>
    <row r="511" spans="2:9" x14ac:dyDescent="0.25">
      <c r="B511" s="27">
        <v>86</v>
      </c>
      <c r="C511" s="27">
        <v>7</v>
      </c>
      <c r="D511" s="25" t="s">
        <v>60</v>
      </c>
      <c r="E511" s="47"/>
    </row>
    <row r="512" spans="2:9" x14ac:dyDescent="0.25">
      <c r="B512" s="27">
        <v>87</v>
      </c>
      <c r="C512" s="27">
        <v>8</v>
      </c>
      <c r="D512" s="25" t="s">
        <v>60</v>
      </c>
      <c r="E512" s="47"/>
    </row>
    <row r="513" spans="2:9" x14ac:dyDescent="0.25">
      <c r="B513" s="27">
        <v>88</v>
      </c>
      <c r="C513" s="27">
        <v>9</v>
      </c>
      <c r="D513" s="25" t="s">
        <v>60</v>
      </c>
      <c r="E513" s="47"/>
    </row>
    <row r="514" spans="2:9" ht="15.75" thickBot="1" x14ac:dyDescent="0.3">
      <c r="B514" s="27">
        <v>89</v>
      </c>
      <c r="C514" s="27">
        <v>10</v>
      </c>
      <c r="D514" s="25" t="s">
        <v>60</v>
      </c>
      <c r="E514" s="48"/>
    </row>
    <row r="515" spans="2:9" ht="15.75" thickBot="1" x14ac:dyDescent="0.3">
      <c r="B515" s="27">
        <v>90</v>
      </c>
      <c r="D515" s="30" t="s">
        <v>58</v>
      </c>
      <c r="E515" s="49"/>
      <c r="F515" s="12"/>
      <c r="G515" s="12"/>
      <c r="H515" s="12"/>
      <c r="I515" s="12"/>
    </row>
    <row r="516" spans="2:9" ht="15.75" thickBot="1" x14ac:dyDescent="0.3">
      <c r="B516" s="27">
        <v>91</v>
      </c>
      <c r="D516" s="31" t="s">
        <v>40</v>
      </c>
      <c r="E516" s="35" t="s">
        <v>15</v>
      </c>
      <c r="F516" s="35" t="s">
        <v>41</v>
      </c>
      <c r="G516" s="35" t="s">
        <v>42</v>
      </c>
      <c r="H516" s="35" t="s">
        <v>43</v>
      </c>
      <c r="I516" s="36" t="s">
        <v>44</v>
      </c>
    </row>
    <row r="517" spans="2:9" ht="15.75" thickTop="1" x14ac:dyDescent="0.25">
      <c r="B517" s="27">
        <v>92</v>
      </c>
      <c r="C517" s="40" t="s">
        <v>37</v>
      </c>
      <c r="D517" s="32"/>
      <c r="E517" s="33"/>
      <c r="F517" s="33"/>
      <c r="G517" s="33"/>
      <c r="H517" s="33"/>
      <c r="I517" s="34"/>
    </row>
    <row r="518" spans="2:9" ht="15.75" thickBot="1" x14ac:dyDescent="0.3">
      <c r="B518" s="27">
        <v>93</v>
      </c>
      <c r="C518" s="41" t="s">
        <v>38</v>
      </c>
      <c r="D518" s="63"/>
      <c r="E518" s="62"/>
      <c r="F518" s="62"/>
      <c r="G518" s="62"/>
      <c r="H518" s="62"/>
      <c r="I518" s="64"/>
    </row>
    <row r="519" spans="2:9" ht="15.75" thickBot="1" x14ac:dyDescent="0.3">
      <c r="B519" s="27">
        <v>94</v>
      </c>
      <c r="D519" s="44" t="s">
        <v>59</v>
      </c>
      <c r="E519" s="50"/>
      <c r="F519" s="13"/>
      <c r="G519" s="13"/>
      <c r="H519" s="13"/>
      <c r="I519" s="13"/>
    </row>
    <row r="520" spans="2:9" ht="15.75" thickBot="1" x14ac:dyDescent="0.3">
      <c r="B520" s="27">
        <v>95</v>
      </c>
      <c r="D520" s="45" t="s">
        <v>61</v>
      </c>
      <c r="E520" s="51"/>
      <c r="F520" s="13"/>
      <c r="G520" s="13"/>
      <c r="H520" s="13"/>
      <c r="I520" s="13"/>
    </row>
    <row r="521" spans="2:9" ht="15.75" thickBot="1" x14ac:dyDescent="0.3">
      <c r="B521" s="27">
        <v>96</v>
      </c>
      <c r="D521" s="37" t="s">
        <v>40</v>
      </c>
      <c r="E521" s="38" t="s">
        <v>15</v>
      </c>
      <c r="F521" s="38" t="s">
        <v>41</v>
      </c>
      <c r="G521" s="38" t="s">
        <v>42</v>
      </c>
      <c r="H521" s="38" t="s">
        <v>43</v>
      </c>
      <c r="I521" s="39" t="s">
        <v>44</v>
      </c>
    </row>
    <row r="522" spans="2:9" ht="15.75" thickTop="1" x14ac:dyDescent="0.25">
      <c r="B522" s="27">
        <v>97</v>
      </c>
      <c r="C522" s="42" t="s">
        <v>37</v>
      </c>
      <c r="D522" s="55">
        <f>D517*E519</f>
        <v>0</v>
      </c>
      <c r="E522" s="57">
        <f>E517*E519</f>
        <v>0</v>
      </c>
      <c r="F522" s="57">
        <f>F517*E519</f>
        <v>0</v>
      </c>
      <c r="G522" s="57">
        <f>G517*E519</f>
        <v>0</v>
      </c>
      <c r="H522" s="57">
        <f>H517*E519</f>
        <v>0</v>
      </c>
      <c r="I522" s="60">
        <f>I517*E519</f>
        <v>0</v>
      </c>
    </row>
    <row r="523" spans="2:9" ht="15.75" thickBot="1" x14ac:dyDescent="0.3">
      <c r="B523" s="27">
        <v>98</v>
      </c>
      <c r="C523" s="43" t="s">
        <v>38</v>
      </c>
      <c r="D523" s="56">
        <f>D518*E519</f>
        <v>0</v>
      </c>
      <c r="E523" s="58">
        <f>E518*E519</f>
        <v>0</v>
      </c>
      <c r="F523" s="59">
        <f>F518*E519</f>
        <v>0</v>
      </c>
      <c r="G523" s="59">
        <f>G518*E519</f>
        <v>0</v>
      </c>
      <c r="H523" s="59">
        <f>H518*E519</f>
        <v>0</v>
      </c>
      <c r="I523" s="61">
        <f>I518*E519</f>
        <v>0</v>
      </c>
    </row>
    <row r="524" spans="2:9" x14ac:dyDescent="0.25">
      <c r="B524" s="27">
        <v>99</v>
      </c>
      <c r="D524" s="26">
        <v>1</v>
      </c>
      <c r="E524" s="26">
        <v>2</v>
      </c>
      <c r="F524" s="26">
        <v>3</v>
      </c>
      <c r="G524" s="26">
        <v>4</v>
      </c>
      <c r="H524" s="26">
        <v>5</v>
      </c>
      <c r="I524" s="26">
        <v>6</v>
      </c>
    </row>
    <row r="525" spans="2:9" x14ac:dyDescent="0.25">
      <c r="B525" s="27">
        <v>74</v>
      </c>
    </row>
    <row r="526" spans="2:9" x14ac:dyDescent="0.25">
      <c r="B526" s="27">
        <v>75</v>
      </c>
    </row>
    <row r="527" spans="2:9" x14ac:dyDescent="0.25">
      <c r="B527" s="27">
        <v>76</v>
      </c>
    </row>
    <row r="528" spans="2:9" x14ac:dyDescent="0.25">
      <c r="B528" s="27">
        <v>77</v>
      </c>
    </row>
    <row r="529" spans="2:9" x14ac:dyDescent="0.25">
      <c r="B529" s="27">
        <v>78</v>
      </c>
    </row>
    <row r="530" spans="2:9" ht="15.75" thickBot="1" x14ac:dyDescent="0.3">
      <c r="B530" s="27">
        <v>79</v>
      </c>
      <c r="D530" s="29" t="s">
        <v>76</v>
      </c>
      <c r="E530" s="5" t="s">
        <v>60</v>
      </c>
    </row>
    <row r="531" spans="2:9" x14ac:dyDescent="0.25">
      <c r="B531" s="27">
        <v>80</v>
      </c>
      <c r="C531" s="27">
        <v>1</v>
      </c>
      <c r="D531" s="22" t="s">
        <v>55</v>
      </c>
      <c r="E531" s="46"/>
    </row>
    <row r="532" spans="2:9" x14ac:dyDescent="0.25">
      <c r="B532" s="27">
        <v>81</v>
      </c>
      <c r="C532" s="27">
        <v>2</v>
      </c>
      <c r="D532" s="23" t="s">
        <v>56</v>
      </c>
      <c r="E532" s="47"/>
    </row>
    <row r="533" spans="2:9" x14ac:dyDescent="0.25">
      <c r="B533" s="27">
        <v>82</v>
      </c>
      <c r="C533" s="27">
        <v>3</v>
      </c>
      <c r="D533" s="23" t="s">
        <v>57</v>
      </c>
      <c r="E533" s="47"/>
    </row>
    <row r="534" spans="2:9" x14ac:dyDescent="0.25">
      <c r="B534" s="27">
        <v>83</v>
      </c>
      <c r="C534" s="27">
        <v>4</v>
      </c>
      <c r="D534" s="24" t="s">
        <v>66</v>
      </c>
      <c r="E534" s="47"/>
    </row>
    <row r="535" spans="2:9" x14ac:dyDescent="0.25">
      <c r="B535" s="27">
        <v>84</v>
      </c>
      <c r="C535" s="27">
        <v>5</v>
      </c>
      <c r="D535" s="25" t="s">
        <v>60</v>
      </c>
      <c r="E535" s="47"/>
    </row>
    <row r="536" spans="2:9" ht="23.25" x14ac:dyDescent="0.35">
      <c r="B536" s="27">
        <v>85</v>
      </c>
      <c r="C536" s="27">
        <v>6</v>
      </c>
      <c r="D536" s="25" t="s">
        <v>60</v>
      </c>
      <c r="E536" s="47"/>
      <c r="G536" s="54">
        <v>21</v>
      </c>
    </row>
    <row r="537" spans="2:9" x14ac:dyDescent="0.25">
      <c r="B537" s="27">
        <v>86</v>
      </c>
      <c r="C537" s="27">
        <v>7</v>
      </c>
      <c r="D537" s="25" t="s">
        <v>60</v>
      </c>
      <c r="E537" s="47"/>
    </row>
    <row r="538" spans="2:9" x14ac:dyDescent="0.25">
      <c r="B538" s="27">
        <v>87</v>
      </c>
      <c r="C538" s="27">
        <v>8</v>
      </c>
      <c r="D538" s="25" t="s">
        <v>60</v>
      </c>
      <c r="E538" s="47"/>
    </row>
    <row r="539" spans="2:9" x14ac:dyDescent="0.25">
      <c r="B539" s="27">
        <v>88</v>
      </c>
      <c r="C539" s="27">
        <v>9</v>
      </c>
      <c r="D539" s="25" t="s">
        <v>60</v>
      </c>
      <c r="E539" s="47"/>
    </row>
    <row r="540" spans="2:9" ht="15.75" thickBot="1" x14ac:dyDescent="0.3">
      <c r="B540" s="27">
        <v>89</v>
      </c>
      <c r="C540" s="27">
        <v>10</v>
      </c>
      <c r="D540" s="25" t="s">
        <v>60</v>
      </c>
      <c r="E540" s="48"/>
    </row>
    <row r="541" spans="2:9" ht="15.75" thickBot="1" x14ac:dyDescent="0.3">
      <c r="B541" s="27">
        <v>90</v>
      </c>
      <c r="D541" s="30" t="s">
        <v>58</v>
      </c>
      <c r="E541" s="49"/>
      <c r="F541" s="12"/>
      <c r="G541" s="12"/>
      <c r="H541" s="12"/>
      <c r="I541" s="12"/>
    </row>
    <row r="542" spans="2:9" ht="15.75" thickBot="1" x14ac:dyDescent="0.3">
      <c r="B542" s="27">
        <v>91</v>
      </c>
      <c r="D542" s="31" t="s">
        <v>40</v>
      </c>
      <c r="E542" s="35" t="s">
        <v>15</v>
      </c>
      <c r="F542" s="35" t="s">
        <v>41</v>
      </c>
      <c r="G542" s="35" t="s">
        <v>42</v>
      </c>
      <c r="H542" s="35" t="s">
        <v>43</v>
      </c>
      <c r="I542" s="36" t="s">
        <v>44</v>
      </c>
    </row>
    <row r="543" spans="2:9" ht="15.75" thickTop="1" x14ac:dyDescent="0.25">
      <c r="B543" s="27">
        <v>92</v>
      </c>
      <c r="C543" s="40" t="s">
        <v>37</v>
      </c>
      <c r="D543" s="32"/>
      <c r="E543" s="33"/>
      <c r="F543" s="33"/>
      <c r="G543" s="33"/>
      <c r="H543" s="33"/>
      <c r="I543" s="34"/>
    </row>
    <row r="544" spans="2:9" ht="15.75" thickBot="1" x14ac:dyDescent="0.3">
      <c r="B544" s="27">
        <v>93</v>
      </c>
      <c r="C544" s="41" t="s">
        <v>38</v>
      </c>
      <c r="D544" s="63"/>
      <c r="E544" s="62"/>
      <c r="F544" s="62"/>
      <c r="G544" s="62"/>
      <c r="H544" s="62"/>
      <c r="I544" s="64"/>
    </row>
    <row r="545" spans="2:9" ht="15.75" thickBot="1" x14ac:dyDescent="0.3">
      <c r="B545" s="27">
        <v>94</v>
      </c>
      <c r="D545" s="44" t="s">
        <v>59</v>
      </c>
      <c r="E545" s="50"/>
      <c r="F545" s="13"/>
      <c r="G545" s="13"/>
      <c r="H545" s="13"/>
      <c r="I545" s="13"/>
    </row>
    <row r="546" spans="2:9" ht="15.75" thickBot="1" x14ac:dyDescent="0.3">
      <c r="B546" s="27">
        <v>95</v>
      </c>
      <c r="D546" s="45" t="s">
        <v>61</v>
      </c>
      <c r="E546" s="51"/>
      <c r="F546" s="13"/>
      <c r="G546" s="13"/>
      <c r="H546" s="13"/>
      <c r="I546" s="13"/>
    </row>
    <row r="547" spans="2:9" ht="15.75" thickBot="1" x14ac:dyDescent="0.3">
      <c r="B547" s="27">
        <v>96</v>
      </c>
      <c r="D547" s="37" t="s">
        <v>40</v>
      </c>
      <c r="E547" s="38" t="s">
        <v>15</v>
      </c>
      <c r="F547" s="38" t="s">
        <v>41</v>
      </c>
      <c r="G547" s="38" t="s">
        <v>42</v>
      </c>
      <c r="H547" s="38" t="s">
        <v>43</v>
      </c>
      <c r="I547" s="39" t="s">
        <v>44</v>
      </c>
    </row>
    <row r="548" spans="2:9" ht="15.75" thickTop="1" x14ac:dyDescent="0.25">
      <c r="B548" s="27">
        <v>97</v>
      </c>
      <c r="C548" s="42" t="s">
        <v>37</v>
      </c>
      <c r="D548" s="55">
        <f>D543*E545</f>
        <v>0</v>
      </c>
      <c r="E548" s="57">
        <f>E543*E545</f>
        <v>0</v>
      </c>
      <c r="F548" s="57">
        <f>F543*E545</f>
        <v>0</v>
      </c>
      <c r="G548" s="57">
        <f>G543*E545</f>
        <v>0</v>
      </c>
      <c r="H548" s="57">
        <f>H543*E545</f>
        <v>0</v>
      </c>
      <c r="I548" s="60">
        <f>I543*E545</f>
        <v>0</v>
      </c>
    </row>
    <row r="549" spans="2:9" ht="15.75" thickBot="1" x14ac:dyDescent="0.3">
      <c r="B549" s="27">
        <v>98</v>
      </c>
      <c r="C549" s="43" t="s">
        <v>38</v>
      </c>
      <c r="D549" s="56">
        <f>D544*E545</f>
        <v>0</v>
      </c>
      <c r="E549" s="58">
        <f>E544*E545</f>
        <v>0</v>
      </c>
      <c r="F549" s="59">
        <f>F544*E545</f>
        <v>0</v>
      </c>
      <c r="G549" s="59">
        <f>G544*E545</f>
        <v>0</v>
      </c>
      <c r="H549" s="59">
        <f>H544*E545</f>
        <v>0</v>
      </c>
      <c r="I549" s="61">
        <f>I544*E545</f>
        <v>0</v>
      </c>
    </row>
    <row r="550" spans="2:9" x14ac:dyDescent="0.25">
      <c r="B550" s="27">
        <v>99</v>
      </c>
      <c r="D550" s="26">
        <v>1</v>
      </c>
      <c r="E550" s="26">
        <v>2</v>
      </c>
      <c r="F550" s="26">
        <v>3</v>
      </c>
      <c r="G550" s="26">
        <v>4</v>
      </c>
      <c r="H550" s="26">
        <v>5</v>
      </c>
      <c r="I550" s="26">
        <v>6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imulation">
                <anchor moveWithCells="1" sizeWithCells="1">
                  <from>
                    <xdr:col>7</xdr:col>
                    <xdr:colOff>466725</xdr:colOff>
                    <xdr:row>7</xdr:row>
                    <xdr:rowOff>85725</xdr:rowOff>
                  </from>
                  <to>
                    <xdr:col>9</xdr:col>
                    <xdr:colOff>257175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B1:AE112"/>
  <sheetViews>
    <sheetView zoomScaleNormal="100" zoomScalePageLayoutView="130" workbookViewId="0">
      <selection activeCell="C7" sqref="C7"/>
    </sheetView>
  </sheetViews>
  <sheetFormatPr defaultColWidth="8.85546875" defaultRowHeight="15" x14ac:dyDescent="0.25"/>
  <cols>
    <col min="1" max="1" width="8.85546875" style="5"/>
    <col min="2" max="2" width="11.28515625" style="5" customWidth="1"/>
    <col min="3" max="11" width="10.28515625" style="5" customWidth="1"/>
    <col min="12" max="13" width="8.85546875" style="5"/>
    <col min="14" max="15" width="7" style="5" customWidth="1"/>
    <col min="16" max="22" width="8.85546875" style="5"/>
    <col min="23" max="23" width="9" style="5" customWidth="1"/>
    <col min="24" max="24" width="6.85546875" style="5" customWidth="1"/>
    <col min="25" max="25" width="25" style="5" customWidth="1"/>
    <col min="26" max="26" width="26" style="5" customWidth="1"/>
    <col min="27" max="27" width="25.28515625" style="5" customWidth="1"/>
    <col min="28" max="28" width="31.7109375" style="377" customWidth="1"/>
    <col min="29" max="29" width="20" style="5" customWidth="1"/>
    <col min="30" max="30" width="23.42578125" style="5" customWidth="1"/>
    <col min="31" max="31" width="32.28515625" style="5" customWidth="1"/>
    <col min="32" max="16384" width="8.85546875" style="5"/>
  </cols>
  <sheetData>
    <row r="1" spans="2:31" x14ac:dyDescent="0.25">
      <c r="C1" s="17" t="s">
        <v>62</v>
      </c>
      <c r="D1" s="15">
        <f t="shared" ref="D1:K1" si="0">SUM(D10:D110)</f>
        <v>30.231380540961705</v>
      </c>
      <c r="E1" s="15">
        <f t="shared" si="0"/>
        <v>0</v>
      </c>
      <c r="F1" s="15">
        <f t="shared" si="0"/>
        <v>0.99999999999999989</v>
      </c>
      <c r="G1" s="15">
        <f t="shared" si="0"/>
        <v>28.731380540961705</v>
      </c>
      <c r="H1" s="15">
        <f t="shared" si="0"/>
        <v>28.731380540961705</v>
      </c>
      <c r="I1" s="15">
        <f t="shared" si="0"/>
        <v>22.10773362144112</v>
      </c>
      <c r="J1" s="15">
        <f t="shared" si="0"/>
        <v>17.515128190248998</v>
      </c>
      <c r="K1" s="15">
        <f t="shared" si="0"/>
        <v>13.715769714106502</v>
      </c>
      <c r="L1" s="16">
        <f>SUM(L10:L110)</f>
        <v>9291.0529416694644</v>
      </c>
      <c r="M1" s="16">
        <f>SUM(M10:M110)</f>
        <v>5681.0993674106876</v>
      </c>
      <c r="N1" s="14"/>
      <c r="O1" s="14"/>
      <c r="P1" s="16">
        <f t="shared" ref="P1:V1" si="1">SUM(P10:P110)</f>
        <v>29.959304286950228</v>
      </c>
      <c r="Q1" s="16">
        <f t="shared" si="1"/>
        <v>0</v>
      </c>
      <c r="R1" s="16">
        <f t="shared" si="1"/>
        <v>1</v>
      </c>
      <c r="S1" s="16">
        <f t="shared" si="1"/>
        <v>28.459304286950228</v>
      </c>
      <c r="T1" s="16">
        <f t="shared" si="1"/>
        <v>28.459304286950228</v>
      </c>
      <c r="U1" s="16">
        <f t="shared" si="1"/>
        <v>21.815283141984914</v>
      </c>
      <c r="V1" s="16">
        <f t="shared" si="1"/>
        <v>17.38472899982219</v>
      </c>
      <c r="W1" s="16">
        <f>SUM(W10:W110)</f>
        <v>13.573934115884018</v>
      </c>
    </row>
    <row r="2" spans="2:31" x14ac:dyDescent="0.25">
      <c r="C2" s="18"/>
      <c r="D2" s="19"/>
      <c r="E2" s="19"/>
      <c r="F2" s="19"/>
      <c r="G2" s="19"/>
      <c r="H2" s="19"/>
      <c r="I2" s="19"/>
      <c r="J2" s="19"/>
      <c r="K2" s="19"/>
      <c r="N2" s="14"/>
      <c r="O2" s="14"/>
      <c r="P2" s="20"/>
      <c r="Q2" s="20"/>
      <c r="R2" s="20"/>
      <c r="S2" s="20"/>
      <c r="T2" s="20"/>
      <c r="U2" s="20"/>
      <c r="V2" s="20"/>
      <c r="W2" s="20"/>
    </row>
    <row r="3" spans="2:31" x14ac:dyDescent="0.25">
      <c r="C3" s="224"/>
      <c r="D3" s="235" t="s">
        <v>40</v>
      </c>
      <c r="E3" s="224" t="s">
        <v>15</v>
      </c>
      <c r="F3" s="224" t="s">
        <v>41</v>
      </c>
      <c r="G3" s="224" t="s">
        <v>42</v>
      </c>
      <c r="H3" s="224" t="s">
        <v>43</v>
      </c>
      <c r="I3" s="224" t="s">
        <v>44</v>
      </c>
      <c r="J3" s="19"/>
      <c r="K3" s="19"/>
      <c r="N3" s="14"/>
      <c r="O3" s="14"/>
      <c r="P3" s="20"/>
      <c r="Q3" s="20"/>
      <c r="R3" s="20"/>
      <c r="S3" s="20"/>
      <c r="T3" s="20"/>
      <c r="U3" s="20"/>
      <c r="V3" s="20"/>
      <c r="W3" s="20"/>
    </row>
    <row r="4" spans="2:31" x14ac:dyDescent="0.25">
      <c r="C4" s="247" t="s">
        <v>37</v>
      </c>
      <c r="D4" s="21">
        <f>T1</f>
        <v>28.459304286950228</v>
      </c>
      <c r="E4" s="281">
        <f>U1</f>
        <v>21.815283141984914</v>
      </c>
      <c r="F4" s="225"/>
      <c r="G4" s="281">
        <f>V1</f>
        <v>17.38472899982219</v>
      </c>
      <c r="H4" s="281">
        <f>W1</f>
        <v>13.573934115884018</v>
      </c>
      <c r="I4" s="225"/>
      <c r="J4" s="19"/>
      <c r="K4" s="19"/>
      <c r="N4" s="14"/>
      <c r="O4" s="14"/>
      <c r="P4" s="20"/>
      <c r="Q4" s="20"/>
      <c r="R4" s="20"/>
      <c r="S4" s="20"/>
      <c r="T4" s="20"/>
      <c r="U4" s="20"/>
      <c r="V4" s="20"/>
      <c r="W4" s="20"/>
    </row>
    <row r="5" spans="2:31" x14ac:dyDescent="0.25">
      <c r="C5" s="250" t="s">
        <v>38</v>
      </c>
      <c r="D5" s="282">
        <f>H1</f>
        <v>28.731380540961705</v>
      </c>
      <c r="E5" s="283">
        <f t="shared" ref="E5:I5" si="2">I1</f>
        <v>22.10773362144112</v>
      </c>
      <c r="F5" s="283">
        <f>L1</f>
        <v>9291.0529416694644</v>
      </c>
      <c r="G5" s="283">
        <f>J1</f>
        <v>17.515128190248998</v>
      </c>
      <c r="H5" s="283">
        <f>K1</f>
        <v>13.715769714106502</v>
      </c>
      <c r="I5" s="283">
        <f t="shared" si="2"/>
        <v>5681.0993674106876</v>
      </c>
      <c r="J5" s="19"/>
      <c r="K5" s="19"/>
      <c r="N5" s="14"/>
      <c r="O5" s="14"/>
      <c r="P5" s="20"/>
      <c r="Q5" s="20"/>
      <c r="R5" s="20"/>
      <c r="S5" s="20"/>
      <c r="T5" s="20"/>
      <c r="U5" s="20"/>
      <c r="V5" s="20"/>
      <c r="W5" s="20"/>
    </row>
    <row r="8" spans="2:31" x14ac:dyDescent="0.25">
      <c r="B8" s="244" t="s">
        <v>8</v>
      </c>
      <c r="C8" s="280" t="s">
        <v>9</v>
      </c>
      <c r="D8" s="386" t="s">
        <v>288</v>
      </c>
      <c r="E8" s="387"/>
      <c r="F8" s="387"/>
      <c r="G8" s="387"/>
      <c r="H8" s="387"/>
      <c r="I8" s="387"/>
      <c r="J8" s="387"/>
      <c r="K8" s="387"/>
      <c r="L8" s="387"/>
      <c r="M8" s="388"/>
      <c r="P8" s="333" t="s">
        <v>289</v>
      </c>
      <c r="Q8" s="334"/>
      <c r="R8" s="334"/>
      <c r="S8" s="334"/>
      <c r="T8" s="334"/>
      <c r="U8" s="334"/>
      <c r="V8" s="334"/>
      <c r="W8" s="334"/>
      <c r="Y8" s="333" t="s">
        <v>180</v>
      </c>
      <c r="Z8" s="334" t="s">
        <v>181</v>
      </c>
      <c r="AA8" s="334" t="s">
        <v>183</v>
      </c>
      <c r="AB8" s="378" t="s">
        <v>370</v>
      </c>
      <c r="AC8" s="376" t="s">
        <v>371</v>
      </c>
      <c r="AD8" s="389" t="s">
        <v>366</v>
      </c>
      <c r="AE8" s="389"/>
    </row>
    <row r="9" spans="2:31" x14ac:dyDescent="0.25">
      <c r="B9" s="245" t="s">
        <v>13</v>
      </c>
      <c r="C9" s="256" t="s">
        <v>18</v>
      </c>
      <c r="D9" s="245" t="s">
        <v>10</v>
      </c>
      <c r="E9" s="245" t="s">
        <v>12</v>
      </c>
      <c r="F9" s="245" t="s">
        <v>11</v>
      </c>
      <c r="G9" s="245" t="s">
        <v>36</v>
      </c>
      <c r="H9" s="245" t="s">
        <v>14</v>
      </c>
      <c r="I9" s="245" t="s">
        <v>15</v>
      </c>
      <c r="J9" s="245" t="s">
        <v>16</v>
      </c>
      <c r="K9" s="245" t="s">
        <v>17</v>
      </c>
      <c r="L9" s="245" t="s">
        <v>41</v>
      </c>
      <c r="M9" s="245" t="s">
        <v>80</v>
      </c>
      <c r="N9" s="225"/>
      <c r="O9" s="225"/>
      <c r="P9" s="245" t="s">
        <v>10</v>
      </c>
      <c r="Q9" s="245" t="s">
        <v>12</v>
      </c>
      <c r="R9" s="245" t="s">
        <v>11</v>
      </c>
      <c r="S9" s="245" t="s">
        <v>36</v>
      </c>
      <c r="T9" s="245" t="s">
        <v>14</v>
      </c>
      <c r="U9" s="245" t="s">
        <v>15</v>
      </c>
      <c r="V9" s="245" t="s">
        <v>16</v>
      </c>
      <c r="W9" s="245" t="s">
        <v>17</v>
      </c>
      <c r="Y9" s="245" t="s">
        <v>315</v>
      </c>
      <c r="Z9" s="245" t="s">
        <v>182</v>
      </c>
      <c r="AA9" s="245" t="s">
        <v>184</v>
      </c>
      <c r="AB9" s="379" t="s">
        <v>372</v>
      </c>
      <c r="AC9" s="245" t="s">
        <v>369</v>
      </c>
      <c r="AD9" s="375" t="s">
        <v>367</v>
      </c>
      <c r="AE9" s="375" t="s">
        <v>368</v>
      </c>
    </row>
    <row r="10" spans="2:31" x14ac:dyDescent="0.25">
      <c r="B10" s="116">
        <v>0</v>
      </c>
      <c r="C10" s="116">
        <f>Ageyr</f>
        <v>50</v>
      </c>
      <c r="D10" s="117">
        <v>1</v>
      </c>
      <c r="E10" s="117"/>
      <c r="F10" s="117"/>
      <c r="G10" s="117">
        <f>D10*0.5</f>
        <v>0.5</v>
      </c>
      <c r="H10" s="117">
        <f>G10</f>
        <v>0.5</v>
      </c>
      <c r="I10" s="117">
        <f t="shared" ref="I10" si="3">H10*util</f>
        <v>0.5</v>
      </c>
      <c r="J10" s="117">
        <f t="shared" ref="J10:J41" si="4">H10/((1+DiscRate)^B10)</f>
        <v>0.5</v>
      </c>
      <c r="K10" s="117">
        <f t="shared" ref="K10:K41" si="5">I10/((1+DiscRate)^B10)</f>
        <v>0.5</v>
      </c>
      <c r="L10" s="118">
        <f>(G10*(QOFcost+(QOFcost*CostMult)))+(Y10*VLOOKUP(C10,TableCostAge,2,TRUE))-AE10-AD10</f>
        <v>178.14185107799918</v>
      </c>
      <c r="M10" s="118">
        <f t="shared" ref="M10:M41" si="6">L10/((1+DiscRate)^B10)</f>
        <v>178.14185107799918</v>
      </c>
      <c r="N10" s="225"/>
      <c r="O10" s="225"/>
      <c r="P10" s="117">
        <v>1</v>
      </c>
      <c r="Q10" s="117"/>
      <c r="R10" s="117"/>
      <c r="S10" s="117">
        <f>P10*0.5</f>
        <v>0.5</v>
      </c>
      <c r="T10" s="117">
        <f>S10</f>
        <v>0.5</v>
      </c>
      <c r="U10" s="117">
        <f>T10*util-AA10</f>
        <v>0.5</v>
      </c>
      <c r="V10" s="117">
        <f t="shared" ref="V10:V41" si="7">T10/((1+DiscRate)^B10)</f>
        <v>0.5</v>
      </c>
      <c r="W10" s="117">
        <f>U10/((1+DiscRate)^B10)</f>
        <v>0.5</v>
      </c>
      <c r="Y10" s="8">
        <f t="shared" ref="Y10:Y41" si="8">QOF_Ending-NonQOF_Ending</f>
        <v>0</v>
      </c>
      <c r="Z10" s="5">
        <f t="shared" ref="Z10:Z41" si="9">delta_death*NFCVDMult</f>
        <v>0</v>
      </c>
      <c r="AA10" s="304">
        <f t="shared" ref="AA10:AA41" si="10">IF(C10&gt;40,delta_prevalence*(1-uCVD),0)</f>
        <v>0</v>
      </c>
      <c r="AB10" s="380">
        <v>0</v>
      </c>
      <c r="AC10" s="304">
        <f t="shared" ref="AC10:AC41" si="11">AB10+(AB10*NFCVDMult)</f>
        <v>0</v>
      </c>
      <c r="AD10" s="14">
        <f t="shared" ref="AD10:AD41" si="12">AC10*cCVDacute</f>
        <v>0</v>
      </c>
      <c r="AE10" s="14">
        <f t="shared" ref="AE10:AE41" si="13">IF(C10&gt;40,Z10*cCVDchronic,0)</f>
        <v>0</v>
      </c>
    </row>
    <row r="11" spans="2:31" x14ac:dyDescent="0.25">
      <c r="B11" s="5">
        <v>1</v>
      </c>
      <c r="C11" s="5">
        <f>C$10+B11</f>
        <v>51</v>
      </c>
      <c r="D11" s="8">
        <v>1</v>
      </c>
      <c r="E11" s="8">
        <v>0</v>
      </c>
      <c r="F11" s="8">
        <f>D11*VLOOKUP(C11,LifeTable,4,TRUE)</f>
        <v>4.0396500000000005E-3</v>
      </c>
      <c r="G11" s="8">
        <f>D11+E11-F11</f>
        <v>0.99596035000000005</v>
      </c>
      <c r="H11" s="8">
        <f>G11</f>
        <v>0.99596035000000005</v>
      </c>
      <c r="I11" s="8">
        <f t="shared" ref="I11:I42" si="14">(H11*(VLOOKUP(C11,TableUtil,2,TRUE))*(1-pCVD)+(H11*((MIN((VLOOKUP(C11,TableUtil,2,TRUE)),uCVD))*pCVD)))</f>
        <v>0.79278443860000003</v>
      </c>
      <c r="J11" s="8">
        <f t="shared" si="4"/>
        <v>0.96228053140096625</v>
      </c>
      <c r="K11" s="8">
        <f t="shared" si="5"/>
        <v>0.76597530299516914</v>
      </c>
      <c r="L11" s="86">
        <f>(G11*(QOFcost+(QOFcost*CostMult)))+(Y11*VLOOKUP(C11,TableCostAge,2,TRUE))-AE11-AD11</f>
        <v>335.94161145557905</v>
      </c>
      <c r="M11" s="86">
        <f t="shared" si="6"/>
        <v>324.58126710683968</v>
      </c>
      <c r="P11" s="8">
        <v>1</v>
      </c>
      <c r="Q11" s="8">
        <v>0</v>
      </c>
      <c r="R11" s="8">
        <f>P11*VLOOKUP(C11,LifeTableQOF,6,TRUE)</f>
        <v>4.6263780186805992E-3</v>
      </c>
      <c r="S11" s="8">
        <f>P11+Q11-R11</f>
        <v>0.9953736219813194</v>
      </c>
      <c r="T11" s="8">
        <f>S11</f>
        <v>0.9953736219813194</v>
      </c>
      <c r="U11" s="8">
        <f t="shared" ref="U11:U42" si="15">(T11*(VLOOKUP(C11,TableUtil,2,TRUE))*(1-pCVD)+(T11*((MIN((VLOOKUP(C11,TableUtil,2,TRUE)),uCVD))*pCVD)))-AA11</f>
        <v>0.79212246698521505</v>
      </c>
      <c r="V11" s="8">
        <f t="shared" si="7"/>
        <v>0.96171364442639562</v>
      </c>
      <c r="W11" s="8">
        <f t="shared" ref="W11:W41" si="16">U11/((1+DiscRate)^B11)</f>
        <v>0.76533571689392765</v>
      </c>
      <c r="Y11" s="8">
        <f t="shared" si="8"/>
        <v>5.8672801868064894E-4</v>
      </c>
      <c r="Z11" s="5">
        <f t="shared" si="9"/>
        <v>9.5556917605513463E-4</v>
      </c>
      <c r="AA11" s="304">
        <f t="shared" si="10"/>
        <v>1.9493611191524743E-4</v>
      </c>
      <c r="AB11" s="380">
        <f t="shared" ref="AB11:AB42" si="17">((VLOOKUP(C11,LifeTableQOF,6,TRUE))-(VLOOKUP(C11,LifeTable,4,TRUE)))*D11</f>
        <v>5.8672801868059864E-4</v>
      </c>
      <c r="AC11" s="304">
        <f t="shared" si="11"/>
        <v>1.5422971947356514E-3</v>
      </c>
      <c r="AD11" s="14">
        <f t="shared" si="12"/>
        <v>16.766533132141944</v>
      </c>
      <c r="AE11" s="14">
        <f t="shared" si="13"/>
        <v>3.1363600489893431</v>
      </c>
    </row>
    <row r="12" spans="2:31" x14ac:dyDescent="0.25">
      <c r="B12" s="5">
        <v>2</v>
      </c>
      <c r="C12" s="5">
        <f t="shared" ref="C12:C75" si="18">C$10+B12</f>
        <v>52</v>
      </c>
      <c r="D12" s="8">
        <f t="shared" ref="D12:D75" si="19">G11</f>
        <v>0.99596035000000005</v>
      </c>
      <c r="E12" s="8">
        <v>0</v>
      </c>
      <c r="F12" s="8">
        <f t="shared" ref="F12:F41" si="20">D12*VLOOKUP(C12,LifeTable,4,TRUE)</f>
        <v>4.3456737951550004E-3</v>
      </c>
      <c r="G12" s="8">
        <f t="shared" ref="G12:G75" si="21">D12+E12-F12</f>
        <v>0.991614676204845</v>
      </c>
      <c r="H12" s="8">
        <f t="shared" ref="H12:H75" si="22">G12</f>
        <v>0.991614676204845</v>
      </c>
      <c r="I12" s="8">
        <f t="shared" si="14"/>
        <v>0.78932528225905663</v>
      </c>
      <c r="J12" s="8">
        <f t="shared" si="4"/>
        <v>0.9256829108775888</v>
      </c>
      <c r="K12" s="8">
        <f t="shared" si="5"/>
        <v>0.73684359705856073</v>
      </c>
      <c r="L12" s="86">
        <f t="shared" ref="L12:L43" si="23">G12*(QOFcost+(QOFcost*CostMult))+(Y12*VLOOKUP(C12,TableCostAge,2,TRUE))-AE12-AD12</f>
        <v>332.35497007139577</v>
      </c>
      <c r="M12" s="86">
        <f t="shared" si="6"/>
        <v>310.25692088160361</v>
      </c>
      <c r="P12" s="8">
        <f>S11</f>
        <v>0.9953736219813194</v>
      </c>
      <c r="Q12" s="8">
        <v>0</v>
      </c>
      <c r="R12" s="8">
        <f t="shared" ref="R12:R41" si="24">P12*VLOOKUP(C12,LifeTableQOF,6,TRUE)</f>
        <v>4.926937535208252E-3</v>
      </c>
      <c r="S12" s="8">
        <f t="shared" ref="S12:S75" si="25">P12+Q12-R12</f>
        <v>0.99044668444611117</v>
      </c>
      <c r="T12" s="8">
        <f t="shared" ref="T12:T75" si="26">S12</f>
        <v>0.99044668444611117</v>
      </c>
      <c r="U12" s="8">
        <f t="shared" si="15"/>
        <v>0.78800750406205955</v>
      </c>
      <c r="V12" s="8">
        <f t="shared" si="7"/>
        <v>0.9245925780728711</v>
      </c>
      <c r="W12" s="8">
        <f t="shared" si="16"/>
        <v>0.73561343701095439</v>
      </c>
      <c r="Y12" s="8">
        <f>QOF_Ending-NonQOF_Ending</f>
        <v>1.1679917587338329E-3</v>
      </c>
      <c r="Z12" s="5">
        <f>delta_death*NFCVDMult</f>
        <v>1.9022390051223346E-3</v>
      </c>
      <c r="AA12" s="304">
        <f t="shared" si="10"/>
        <v>3.880567570449562E-4</v>
      </c>
      <c r="AB12" s="380">
        <f t="shared" si="17"/>
        <v>5.8416794831671922E-4</v>
      </c>
      <c r="AC12" s="304">
        <f t="shared" si="11"/>
        <v>1.5355676893859392E-3</v>
      </c>
      <c r="AD12" s="14">
        <f t="shared" si="12"/>
        <v>16.693375718127314</v>
      </c>
      <c r="AE12" s="14">
        <f t="shared" si="13"/>
        <v>6.243510746050573</v>
      </c>
    </row>
    <row r="13" spans="2:31" x14ac:dyDescent="0.25">
      <c r="B13" s="5">
        <v>3</v>
      </c>
      <c r="C13" s="5">
        <f t="shared" si="18"/>
        <v>53</v>
      </c>
      <c r="D13" s="8">
        <f>G12</f>
        <v>0.991614676204845</v>
      </c>
      <c r="E13" s="8">
        <v>0</v>
      </c>
      <c r="F13" s="8">
        <f t="shared" si="20"/>
        <v>4.7474296334314115E-3</v>
      </c>
      <c r="G13" s="8">
        <f t="shared" si="21"/>
        <v>0.98686724657141356</v>
      </c>
      <c r="H13" s="8">
        <f t="shared" si="22"/>
        <v>0.98686724657141356</v>
      </c>
      <c r="I13" s="8">
        <f t="shared" si="14"/>
        <v>0.78554632827084525</v>
      </c>
      <c r="J13" s="8">
        <f t="shared" si="4"/>
        <v>0.89009771450777209</v>
      </c>
      <c r="K13" s="8">
        <f t="shared" si="5"/>
        <v>0.70851778074818672</v>
      </c>
      <c r="L13" s="86">
        <f t="shared" si="23"/>
        <v>328.712191606668</v>
      </c>
      <c r="M13" s="86">
        <f t="shared" si="6"/>
        <v>296.47956348378352</v>
      </c>
      <c r="P13" s="8">
        <f t="shared" ref="P13:P75" si="27">S12</f>
        <v>0.99044668444611117</v>
      </c>
      <c r="Q13" s="8">
        <v>0</v>
      </c>
      <c r="R13" s="8">
        <f t="shared" si="24"/>
        <v>5.3225242068752621E-3</v>
      </c>
      <c r="S13" s="8">
        <f t="shared" si="25"/>
        <v>0.98512416023923588</v>
      </c>
      <c r="T13" s="8">
        <f t="shared" si="26"/>
        <v>0.98512416023923588</v>
      </c>
      <c r="U13" s="8">
        <f t="shared" si="15"/>
        <v>0.78357970380894193</v>
      </c>
      <c r="V13" s="8">
        <f t="shared" si="7"/>
        <v>0.88852555050511484</v>
      </c>
      <c r="W13" s="8">
        <f t="shared" si="16"/>
        <v>0.70674399815998468</v>
      </c>
      <c r="Y13" s="8">
        <f t="shared" si="8"/>
        <v>1.7430863321776791E-3</v>
      </c>
      <c r="Z13" s="5">
        <f>delta_death*NFCVDMult</f>
        <v>2.838861477891317E-3</v>
      </c>
      <c r="AA13" s="304">
        <f t="shared" si="10"/>
        <v>5.7912774148982855E-4</v>
      </c>
      <c r="AB13" s="380">
        <f t="shared" si="17"/>
        <v>5.8137120045156096E-4</v>
      </c>
      <c r="AC13" s="304">
        <f t="shared" si="11"/>
        <v>1.5282160439054381E-3</v>
      </c>
      <c r="AD13" s="14">
        <f t="shared" si="12"/>
        <v>16.613454929873718</v>
      </c>
      <c r="AE13" s="14">
        <f t="shared" si="13"/>
        <v>9.3176841059589002</v>
      </c>
    </row>
    <row r="14" spans="2:31" x14ac:dyDescent="0.25">
      <c r="B14" s="5">
        <v>4</v>
      </c>
      <c r="C14" s="5">
        <f t="shared" si="18"/>
        <v>54</v>
      </c>
      <c r="D14" s="8">
        <f t="shared" si="19"/>
        <v>0.98686724657141356</v>
      </c>
      <c r="E14" s="8">
        <v>0</v>
      </c>
      <c r="F14" s="8">
        <f t="shared" si="20"/>
        <v>5.1701728331064716E-3</v>
      </c>
      <c r="G14" s="8">
        <f t="shared" si="21"/>
        <v>0.98169707373830706</v>
      </c>
      <c r="H14" s="8">
        <f t="shared" si="22"/>
        <v>0.98169707373830706</v>
      </c>
      <c r="I14" s="8">
        <f t="shared" si="14"/>
        <v>0.7814308706956925</v>
      </c>
      <c r="J14" s="8">
        <f t="shared" si="4"/>
        <v>0.85549228486368001</v>
      </c>
      <c r="K14" s="8">
        <f t="shared" si="5"/>
        <v>0.68097185875148936</v>
      </c>
      <c r="L14" s="86">
        <f t="shared" si="23"/>
        <v>325.02669465044414</v>
      </c>
      <c r="M14" s="86">
        <f t="shared" si="6"/>
        <v>283.24198684768669</v>
      </c>
      <c r="P14" s="8">
        <f t="shared" si="27"/>
        <v>0.98512416023923588</v>
      </c>
      <c r="Q14" s="8">
        <v>0</v>
      </c>
      <c r="R14" s="8">
        <f t="shared" si="24"/>
        <v>5.7383447726117648E-3</v>
      </c>
      <c r="S14" s="8">
        <f t="shared" si="25"/>
        <v>0.97938581546662407</v>
      </c>
      <c r="T14" s="8">
        <f t="shared" si="26"/>
        <v>0.97938581546662407</v>
      </c>
      <c r="U14" s="8">
        <f t="shared" si="15"/>
        <v>0.77882321038021662</v>
      </c>
      <c r="V14" s="8">
        <f t="shared" si="7"/>
        <v>0.85347815680661776</v>
      </c>
      <c r="W14" s="8">
        <f t="shared" si="16"/>
        <v>0.67869943343708994</v>
      </c>
      <c r="Y14" s="8">
        <f t="shared" si="8"/>
        <v>2.3112582716829921E-3</v>
      </c>
      <c r="Z14" s="5">
        <f>delta_death*NFCVDMult</f>
        <v>3.7642094667458439E-3</v>
      </c>
      <c r="AA14" s="304">
        <f t="shared" si="10"/>
        <v>7.6789873121615201E-4</v>
      </c>
      <c r="AB14" s="380">
        <f t="shared" si="17"/>
        <v>5.7832541126669472E-4</v>
      </c>
      <c r="AC14" s="304">
        <f t="shared" si="11"/>
        <v>1.5202097582568698E-3</v>
      </c>
      <c r="AD14" s="14">
        <f t="shared" si="12"/>
        <v>16.526417454833041</v>
      </c>
      <c r="AE14" s="14">
        <f t="shared" si="13"/>
        <v>12.35485246213924</v>
      </c>
    </row>
    <row r="15" spans="2:31" x14ac:dyDescent="0.25">
      <c r="B15" s="5">
        <v>5</v>
      </c>
      <c r="C15" s="5">
        <f t="shared" si="18"/>
        <v>55</v>
      </c>
      <c r="D15" s="8">
        <f t="shared" si="19"/>
        <v>0.98169707373830706</v>
      </c>
      <c r="E15" s="8">
        <v>0</v>
      </c>
      <c r="F15" s="8">
        <f t="shared" si="20"/>
        <v>5.6641466912015978E-3</v>
      </c>
      <c r="G15" s="8">
        <f t="shared" si="21"/>
        <v>0.97603292704710543</v>
      </c>
      <c r="H15" s="8">
        <f t="shared" si="22"/>
        <v>0.97603292704710543</v>
      </c>
      <c r="I15" s="8">
        <f t="shared" si="14"/>
        <v>0.77692220992949601</v>
      </c>
      <c r="J15" s="8">
        <f t="shared" si="4"/>
        <v>0.82179353454404624</v>
      </c>
      <c r="K15" s="8">
        <f t="shared" si="5"/>
        <v>0.65414765349706094</v>
      </c>
      <c r="L15" s="86">
        <f t="shared" si="23"/>
        <v>321.27326891711812</v>
      </c>
      <c r="M15" s="86">
        <f t="shared" si="6"/>
        <v>270.50347165713617</v>
      </c>
      <c r="P15" s="8">
        <f t="shared" si="27"/>
        <v>0.97938581546662407</v>
      </c>
      <c r="Q15" s="8">
        <v>0</v>
      </c>
      <c r="R15" s="8">
        <f t="shared" si="24"/>
        <v>6.2244462026972277E-3</v>
      </c>
      <c r="S15" s="8">
        <f t="shared" si="25"/>
        <v>0.97316136926392682</v>
      </c>
      <c r="T15" s="8">
        <f t="shared" si="26"/>
        <v>0.97316136926392682</v>
      </c>
      <c r="U15" s="8">
        <f t="shared" si="15"/>
        <v>0.77368239577002595</v>
      </c>
      <c r="V15" s="8">
        <f t="shared" si="7"/>
        <v>0.81937575994352607</v>
      </c>
      <c r="W15" s="8">
        <f t="shared" si="16"/>
        <v>0.65141981690917883</v>
      </c>
      <c r="Y15" s="8">
        <f t="shared" si="8"/>
        <v>2.8715577831786021E-3</v>
      </c>
      <c r="Z15" s="5">
        <f t="shared" si="9"/>
        <v>4.676736098332141E-3</v>
      </c>
      <c r="AA15" s="304">
        <f t="shared" si="10"/>
        <v>9.5405416405975653E-4</v>
      </c>
      <c r="AB15" s="380">
        <f t="shared" si="17"/>
        <v>5.7498861822500929E-4</v>
      </c>
      <c r="AC15" s="304">
        <f t="shared" si="11"/>
        <v>1.51143852800409E-3</v>
      </c>
      <c r="AD15" s="14">
        <f t="shared" si="12"/>
        <v>16.431064157722176</v>
      </c>
      <c r="AE15" s="14">
        <f t="shared" si="13"/>
        <v>15.349938681601959</v>
      </c>
    </row>
    <row r="16" spans="2:31" x14ac:dyDescent="0.25">
      <c r="B16" s="5">
        <v>6</v>
      </c>
      <c r="C16" s="5">
        <f t="shared" si="18"/>
        <v>56</v>
      </c>
      <c r="D16" s="8">
        <f t="shared" si="19"/>
        <v>0.97603292704710543</v>
      </c>
      <c r="E16" s="8">
        <v>0</v>
      </c>
      <c r="F16" s="8">
        <f t="shared" si="20"/>
        <v>6.133415314387187E-3</v>
      </c>
      <c r="G16" s="8">
        <f t="shared" si="21"/>
        <v>0.96989951173271827</v>
      </c>
      <c r="H16" s="8">
        <f t="shared" si="22"/>
        <v>0.96989951173271827</v>
      </c>
      <c r="I16" s="8">
        <f t="shared" si="14"/>
        <v>0.77204001133924383</v>
      </c>
      <c r="J16" s="8">
        <f t="shared" si="4"/>
        <v>0.78901387770834108</v>
      </c>
      <c r="K16" s="8">
        <f t="shared" si="5"/>
        <v>0.62805504665583967</v>
      </c>
      <c r="L16" s="86">
        <f t="shared" si="23"/>
        <v>317.39515526504778</v>
      </c>
      <c r="M16" s="86">
        <f t="shared" si="6"/>
        <v>258.20116330827562</v>
      </c>
      <c r="P16" s="8">
        <f t="shared" si="27"/>
        <v>0.97316136926392682</v>
      </c>
      <c r="Q16" s="8">
        <v>0</v>
      </c>
      <c r="R16" s="8">
        <f t="shared" si="24"/>
        <v>6.6850647221663624E-3</v>
      </c>
      <c r="S16" s="8">
        <f t="shared" si="25"/>
        <v>0.96647630454176048</v>
      </c>
      <c r="T16" s="8">
        <f t="shared" si="26"/>
        <v>0.96647630454176048</v>
      </c>
      <c r="U16" s="8">
        <f t="shared" si="15"/>
        <v>0.76817780275231162</v>
      </c>
      <c r="V16" s="8">
        <f t="shared" si="7"/>
        <v>0.78622909645289807</v>
      </c>
      <c r="W16" s="8">
        <f t="shared" si="16"/>
        <v>0.62491313748191935</v>
      </c>
      <c r="Y16" s="8">
        <f t="shared" si="8"/>
        <v>3.4232071909577888E-3</v>
      </c>
      <c r="Z16" s="5">
        <f t="shared" si="9"/>
        <v>5.5751748182831951E-3</v>
      </c>
      <c r="AA16" s="304">
        <f t="shared" si="10"/>
        <v>1.1373356629297716E-3</v>
      </c>
      <c r="AB16" s="380">
        <f t="shared" si="17"/>
        <v>5.7137537537333609E-4</v>
      </c>
      <c r="AC16" s="304">
        <f t="shared" si="11"/>
        <v>1.5019406105080655E-3</v>
      </c>
      <c r="AD16" s="14">
        <f t="shared" si="12"/>
        <v>16.327810939777539</v>
      </c>
      <c r="AE16" s="14">
        <f t="shared" si="13"/>
        <v>18.298785691666072</v>
      </c>
    </row>
    <row r="17" spans="2:31" x14ac:dyDescent="0.25">
      <c r="B17" s="5">
        <v>7</v>
      </c>
      <c r="C17" s="5">
        <f t="shared" si="18"/>
        <v>57</v>
      </c>
      <c r="D17" s="8">
        <f t="shared" si="19"/>
        <v>0.96989951173271827</v>
      </c>
      <c r="E17" s="8">
        <v>0</v>
      </c>
      <c r="F17" s="8">
        <f t="shared" si="20"/>
        <v>6.7773183231591297E-3</v>
      </c>
      <c r="G17" s="8">
        <f t="shared" si="21"/>
        <v>0.96312219340955918</v>
      </c>
      <c r="H17" s="8">
        <f t="shared" si="22"/>
        <v>0.96312219340955918</v>
      </c>
      <c r="I17" s="8">
        <f t="shared" si="14"/>
        <v>0.76664526595400917</v>
      </c>
      <c r="J17" s="8">
        <f t="shared" si="4"/>
        <v>0.75700533805388648</v>
      </c>
      <c r="K17" s="8">
        <f t="shared" si="5"/>
        <v>0.60257624909089369</v>
      </c>
      <c r="L17" s="86">
        <f t="shared" si="23"/>
        <v>313.28054230147973</v>
      </c>
      <c r="M17" s="86">
        <f t="shared" si="6"/>
        <v>246.23567440708791</v>
      </c>
      <c r="P17" s="8">
        <f t="shared" si="27"/>
        <v>0.96647630454176048</v>
      </c>
      <c r="Q17" s="8">
        <v>0</v>
      </c>
      <c r="R17" s="8">
        <f t="shared" si="24"/>
        <v>7.3187784071392734E-3</v>
      </c>
      <c r="S17" s="8">
        <f t="shared" si="25"/>
        <v>0.95915752613462124</v>
      </c>
      <c r="T17" s="8">
        <f t="shared" si="26"/>
        <v>0.95915752613462124</v>
      </c>
      <c r="U17" s="8">
        <f t="shared" si="15"/>
        <v>0.7621721589699969</v>
      </c>
      <c r="V17" s="8">
        <f>T17/((1+DiscRate)^B17)</f>
        <v>0.75388914541366636</v>
      </c>
      <c r="W17" s="8">
        <f>U17/((1+DiscRate)^B17)</f>
        <v>0.59906042743528842</v>
      </c>
      <c r="Y17" s="8">
        <f t="shared" si="8"/>
        <v>3.9646672749379386E-3</v>
      </c>
      <c r="Z17" s="5">
        <f>delta_death*NFCVDMult</f>
        <v>6.4570187900081476E-3</v>
      </c>
      <c r="AA17" s="304">
        <f t="shared" si="10"/>
        <v>1.3172318331616619E-3</v>
      </c>
      <c r="AB17" s="380">
        <f t="shared" si="17"/>
        <v>5.6738280423165031E-4</v>
      </c>
      <c r="AC17" s="304">
        <f t="shared" si="11"/>
        <v>1.4914455752011585E-3</v>
      </c>
      <c r="AD17" s="14">
        <f t="shared" si="12"/>
        <v>16.213717911665395</v>
      </c>
      <c r="AE17" s="14">
        <f t="shared" si="13"/>
        <v>21.193165577147695</v>
      </c>
    </row>
    <row r="18" spans="2:31" x14ac:dyDescent="0.25">
      <c r="B18" s="5">
        <v>8</v>
      </c>
      <c r="C18" s="5">
        <f t="shared" si="18"/>
        <v>58</v>
      </c>
      <c r="D18" s="8">
        <f t="shared" si="19"/>
        <v>0.96312219340955918</v>
      </c>
      <c r="E18" s="8">
        <v>0</v>
      </c>
      <c r="F18" s="8">
        <f t="shared" si="20"/>
        <v>7.2848395684563883E-3</v>
      </c>
      <c r="G18" s="8">
        <f t="shared" si="21"/>
        <v>0.9558373538411028</v>
      </c>
      <c r="H18" s="8">
        <f t="shared" si="22"/>
        <v>0.9558373538411028</v>
      </c>
      <c r="I18" s="8">
        <f t="shared" si="14"/>
        <v>0.76084653365751787</v>
      </c>
      <c r="J18" s="8">
        <f t="shared" si="4"/>
        <v>0.72587393237009479</v>
      </c>
      <c r="K18" s="8">
        <f t="shared" si="5"/>
        <v>0.57779565016659551</v>
      </c>
      <c r="L18" s="86">
        <f t="shared" si="23"/>
        <v>309.38521664907114</v>
      </c>
      <c r="M18" s="86">
        <f t="shared" si="6"/>
        <v>234.95070884577294</v>
      </c>
      <c r="P18" s="8">
        <f t="shared" si="27"/>
        <v>0.95915752613462124</v>
      </c>
      <c r="Q18" s="8">
        <v>0</v>
      </c>
      <c r="R18" s="8">
        <f t="shared" si="24"/>
        <v>7.8156250152297945E-3</v>
      </c>
      <c r="S18" s="8">
        <f t="shared" si="25"/>
        <v>0.95134190111939143</v>
      </c>
      <c r="T18" s="8">
        <f t="shared" si="26"/>
        <v>0.95134190111939143</v>
      </c>
      <c r="U18" s="8">
        <f t="shared" si="15"/>
        <v>0.75577457185812602</v>
      </c>
      <c r="V18" s="8">
        <f t="shared" si="7"/>
        <v>0.72246003362280342</v>
      </c>
      <c r="W18" s="8">
        <f t="shared" si="16"/>
        <v>0.57394394376344993</v>
      </c>
      <c r="Y18" s="8">
        <f t="shared" si="8"/>
        <v>4.4954527217113682E-3</v>
      </c>
      <c r="Z18" s="5">
        <f t="shared" si="9"/>
        <v>7.3214776123017673E-3</v>
      </c>
      <c r="AA18" s="304">
        <f t="shared" si="10"/>
        <v>1.4935814329095603E-3</v>
      </c>
      <c r="AB18" s="380">
        <f t="shared" si="17"/>
        <v>5.6309124836153668E-4</v>
      </c>
      <c r="AC18" s="304">
        <f t="shared" si="11"/>
        <v>1.4801646164454957E-3</v>
      </c>
      <c r="AD18" s="14">
        <f t="shared" si="12"/>
        <v>16.091080997467046</v>
      </c>
      <c r="AE18" s="14">
        <f t="shared" si="13"/>
        <v>24.030484090738646</v>
      </c>
    </row>
    <row r="19" spans="2:31" x14ac:dyDescent="0.25">
      <c r="B19" s="5">
        <v>9</v>
      </c>
      <c r="C19" s="5">
        <f t="shared" si="18"/>
        <v>59</v>
      </c>
      <c r="D19" s="8">
        <f t="shared" si="19"/>
        <v>0.9558373538411028</v>
      </c>
      <c r="E19" s="8">
        <v>0</v>
      </c>
      <c r="F19" s="8">
        <f t="shared" si="20"/>
        <v>8.0046838156761623E-3</v>
      </c>
      <c r="G19" s="8">
        <f t="shared" si="21"/>
        <v>0.94783267002542659</v>
      </c>
      <c r="H19" s="8">
        <f t="shared" si="22"/>
        <v>0.94783267002542659</v>
      </c>
      <c r="I19" s="8">
        <f t="shared" si="14"/>
        <v>0.75447480534023958</v>
      </c>
      <c r="J19" s="8">
        <f t="shared" si="4"/>
        <v>0.69545418645083401</v>
      </c>
      <c r="K19" s="8">
        <f t="shared" si="5"/>
        <v>0.55358153241486385</v>
      </c>
      <c r="L19" s="86">
        <f t="shared" si="23"/>
        <v>305.15671761936841</v>
      </c>
      <c r="M19" s="86">
        <f t="shared" si="6"/>
        <v>223.90293508905074</v>
      </c>
      <c r="P19" s="8">
        <f t="shared" si="27"/>
        <v>0.95134190111939143</v>
      </c>
      <c r="Q19" s="8">
        <v>0</v>
      </c>
      <c r="R19" s="8">
        <f t="shared" si="24"/>
        <v>8.522786033105063E-3</v>
      </c>
      <c r="S19" s="8">
        <f t="shared" si="25"/>
        <v>0.94281911508628635</v>
      </c>
      <c r="T19" s="8">
        <f t="shared" si="26"/>
        <v>0.94281911508628635</v>
      </c>
      <c r="U19" s="8">
        <f t="shared" si="15"/>
        <v>0.74881829848662262</v>
      </c>
      <c r="V19" s="8">
        <f t="shared" si="7"/>
        <v>0.69177558591121258</v>
      </c>
      <c r="W19" s="8">
        <f t="shared" si="16"/>
        <v>0.5494311781419623</v>
      </c>
      <c r="Y19" s="8">
        <f>QOF_Ending-NonQOF_Ending</f>
        <v>5.0135549391402412E-3</v>
      </c>
      <c r="Z19" s="5">
        <f t="shared" si="9"/>
        <v>8.1652800101046173E-3</v>
      </c>
      <c r="AA19" s="304">
        <f t="shared" si="10"/>
        <v>1.6657171220613417E-3</v>
      </c>
      <c r="AB19" s="380">
        <f t="shared" si="17"/>
        <v>5.583756266249048E-4</v>
      </c>
      <c r="AC19" s="304">
        <f t="shared" si="11"/>
        <v>1.4677689408610969E-3</v>
      </c>
      <c r="AD19" s="14">
        <f t="shared" si="12"/>
        <v>15.95632583737825</v>
      </c>
      <c r="AE19" s="14">
        <f t="shared" si="13"/>
        <v>26.80000428459385</v>
      </c>
    </row>
    <row r="20" spans="2:31" x14ac:dyDescent="0.25">
      <c r="B20" s="5">
        <v>10</v>
      </c>
      <c r="C20" s="5">
        <f t="shared" si="18"/>
        <v>60</v>
      </c>
      <c r="D20" s="8">
        <f t="shared" si="19"/>
        <v>0.94783267002542659</v>
      </c>
      <c r="E20" s="8">
        <v>0</v>
      </c>
      <c r="F20" s="8">
        <f t="shared" si="20"/>
        <v>8.8209099603246306E-3</v>
      </c>
      <c r="G20" s="8">
        <f t="shared" si="21"/>
        <v>0.93901176006510201</v>
      </c>
      <c r="H20" s="8">
        <f t="shared" si="22"/>
        <v>0.93901176006510201</v>
      </c>
      <c r="I20" s="8">
        <f t="shared" si="14"/>
        <v>0.74745336101182125</v>
      </c>
      <c r="J20" s="8">
        <f t="shared" si="4"/>
        <v>0.66568310300487732</v>
      </c>
      <c r="K20" s="8">
        <f t="shared" si="5"/>
        <v>0.52988374999188237</v>
      </c>
      <c r="L20" s="86">
        <f t="shared" si="23"/>
        <v>300.67002637349418</v>
      </c>
      <c r="M20" s="86">
        <f t="shared" si="6"/>
        <v>213.1506384147834</v>
      </c>
      <c r="P20" s="8">
        <f t="shared" si="27"/>
        <v>0.94281911508628635</v>
      </c>
      <c r="Q20" s="8">
        <v>0</v>
      </c>
      <c r="R20" s="8">
        <f t="shared" si="24"/>
        <v>9.3245049346506823E-3</v>
      </c>
      <c r="S20" s="8">
        <f t="shared" si="25"/>
        <v>0.93349461015163571</v>
      </c>
      <c r="T20" s="8">
        <f t="shared" si="26"/>
        <v>0.93349461015163571</v>
      </c>
      <c r="U20" s="8">
        <f t="shared" si="15"/>
        <v>0.74122867679537463</v>
      </c>
      <c r="V20" s="8">
        <f t="shared" si="7"/>
        <v>0.66177189163316386</v>
      </c>
      <c r="W20" s="8">
        <f t="shared" si="16"/>
        <v>0.52547095424144108</v>
      </c>
      <c r="Y20" s="8">
        <f t="shared" si="8"/>
        <v>5.5171499134663016E-3</v>
      </c>
      <c r="Z20" s="5">
        <f t="shared" si="9"/>
        <v>8.9854553202327395E-3</v>
      </c>
      <c r="AA20" s="304">
        <f t="shared" si="10"/>
        <v>1.8330328853274785E-3</v>
      </c>
      <c r="AB20" s="380">
        <f t="shared" si="17"/>
        <v>5.5317915969322771E-4</v>
      </c>
      <c r="AC20" s="304">
        <f t="shared" si="11"/>
        <v>1.4541092959897224E-3</v>
      </c>
      <c r="AD20" s="14">
        <f t="shared" si="12"/>
        <v>15.807829886603699</v>
      </c>
      <c r="AE20" s="14">
        <f t="shared" si="13"/>
        <v>29.491975876302941</v>
      </c>
    </row>
    <row r="21" spans="2:31" x14ac:dyDescent="0.25">
      <c r="B21" s="5">
        <v>11</v>
      </c>
      <c r="C21" s="5">
        <f t="shared" si="18"/>
        <v>61</v>
      </c>
      <c r="D21" s="8">
        <f t="shared" si="19"/>
        <v>0.93901176006510201</v>
      </c>
      <c r="E21" s="8">
        <v>0</v>
      </c>
      <c r="F21" s="8">
        <f t="shared" si="20"/>
        <v>9.4848404119475885E-3</v>
      </c>
      <c r="G21" s="8">
        <f t="shared" si="21"/>
        <v>0.92952691965315437</v>
      </c>
      <c r="H21" s="8">
        <f t="shared" si="22"/>
        <v>0.92952691965315437</v>
      </c>
      <c r="I21" s="8">
        <f t="shared" si="14"/>
        <v>0.73990342804391096</v>
      </c>
      <c r="J21" s="8">
        <f t="shared" si="4"/>
        <v>0.63667547941237956</v>
      </c>
      <c r="K21" s="8">
        <f t="shared" si="5"/>
        <v>0.50679368161225424</v>
      </c>
      <c r="L21" s="86">
        <f t="shared" si="23"/>
        <v>295.93745985306055</v>
      </c>
      <c r="M21" s="86">
        <f t="shared" si="6"/>
        <v>202.70109465827537</v>
      </c>
      <c r="P21" s="8">
        <f t="shared" si="27"/>
        <v>0.93349461015163571</v>
      </c>
      <c r="Q21" s="8">
        <v>0</v>
      </c>
      <c r="R21" s="8">
        <f t="shared" si="24"/>
        <v>9.9734865701963053E-3</v>
      </c>
      <c r="S21" s="8">
        <f t="shared" si="25"/>
        <v>0.92352112358143945</v>
      </c>
      <c r="T21" s="8">
        <f t="shared" si="26"/>
        <v>0.92352112358143945</v>
      </c>
      <c r="U21" s="8">
        <f t="shared" si="15"/>
        <v>0.73312743235752331</v>
      </c>
      <c r="V21" s="8">
        <f t="shared" si="7"/>
        <v>0.63256183513552655</v>
      </c>
      <c r="W21" s="8">
        <f t="shared" si="16"/>
        <v>0.5021524924106151</v>
      </c>
      <c r="Y21" s="8">
        <f t="shared" si="8"/>
        <v>6.0057960717149195E-3</v>
      </c>
      <c r="Z21" s="5">
        <f t="shared" si="9"/>
        <v>9.781284378933764E-3</v>
      </c>
      <c r="AA21" s="304">
        <f t="shared" si="10"/>
        <v>1.9953820133024876E-3</v>
      </c>
      <c r="AB21" s="380">
        <f t="shared" si="17"/>
        <v>5.4759156614858564E-4</v>
      </c>
      <c r="AC21" s="304">
        <f t="shared" si="11"/>
        <v>1.439421519754656E-3</v>
      </c>
      <c r="AD21" s="14">
        <f t="shared" si="12"/>
        <v>15.648156972898544</v>
      </c>
      <c r="AE21" s="14">
        <f t="shared" si="13"/>
        <v>32.10403843344708</v>
      </c>
    </row>
    <row r="22" spans="2:31" x14ac:dyDescent="0.25">
      <c r="B22" s="5">
        <v>12</v>
      </c>
      <c r="C22" s="5">
        <f t="shared" si="18"/>
        <v>62</v>
      </c>
      <c r="D22" s="8">
        <f t="shared" si="19"/>
        <v>0.92952691965315437</v>
      </c>
      <c r="E22" s="8">
        <v>0</v>
      </c>
      <c r="F22" s="8">
        <f t="shared" si="20"/>
        <v>1.0269599313711981E-2</v>
      </c>
      <c r="G22" s="8">
        <f t="shared" si="21"/>
        <v>0.91925732033944241</v>
      </c>
      <c r="H22" s="8">
        <f t="shared" si="22"/>
        <v>0.91925732033944241</v>
      </c>
      <c r="I22" s="8">
        <f t="shared" si="14"/>
        <v>0.73172882699019615</v>
      </c>
      <c r="J22" s="8">
        <f t="shared" si="4"/>
        <v>0.60834914143066265</v>
      </c>
      <c r="K22" s="8">
        <f t="shared" si="5"/>
        <v>0.48424591657880744</v>
      </c>
      <c r="L22" s="86">
        <f t="shared" si="23"/>
        <v>291.23183771425897</v>
      </c>
      <c r="M22" s="86">
        <f t="shared" si="6"/>
        <v>192.73236612934664</v>
      </c>
      <c r="P22" s="8">
        <f t="shared" si="27"/>
        <v>0.92352112358143945</v>
      </c>
      <c r="Q22" s="8">
        <v>0</v>
      </c>
      <c r="R22" s="8">
        <f t="shared" si="24"/>
        <v>1.0741288770410055E-2</v>
      </c>
      <c r="S22" s="8">
        <f t="shared" si="25"/>
        <v>0.91277983481102942</v>
      </c>
      <c r="T22" s="8">
        <f t="shared" si="26"/>
        <v>0.91277983481102942</v>
      </c>
      <c r="U22" s="8">
        <f t="shared" si="15"/>
        <v>0.72442065110892095</v>
      </c>
      <c r="V22" s="8">
        <f t="shared" si="7"/>
        <v>0.60406244969304934</v>
      </c>
      <c r="W22" s="8">
        <f t="shared" si="16"/>
        <v>0.47940948783962006</v>
      </c>
      <c r="Y22" s="8">
        <f>QOF_Ending-NonQOF_Ending</f>
        <v>6.4774855284129851E-3</v>
      </c>
      <c r="Z22" s="5">
        <f t="shared" si="9"/>
        <v>1.0549497062051246E-2</v>
      </c>
      <c r="AA22" s="304">
        <f t="shared" si="10"/>
        <v>2.1520974006584538E-3</v>
      </c>
      <c r="AB22" s="380">
        <f t="shared" si="17"/>
        <v>5.4154166500741164E-4</v>
      </c>
      <c r="AC22" s="304">
        <f t="shared" si="11"/>
        <v>1.4235185029199682E-3</v>
      </c>
      <c r="AD22" s="14">
        <f t="shared" si="12"/>
        <v>15.475273005029106</v>
      </c>
      <c r="AE22" s="14">
        <f t="shared" si="13"/>
        <v>34.625458785664009</v>
      </c>
    </row>
    <row r="23" spans="2:31" x14ac:dyDescent="0.25">
      <c r="B23" s="5">
        <v>13</v>
      </c>
      <c r="C23" s="5">
        <f t="shared" si="18"/>
        <v>63</v>
      </c>
      <c r="D23" s="8">
        <f t="shared" si="19"/>
        <v>0.91925732033944241</v>
      </c>
      <c r="E23" s="8">
        <v>0</v>
      </c>
      <c r="F23" s="8">
        <f t="shared" si="20"/>
        <v>1.1111361989571951E-2</v>
      </c>
      <c r="G23" s="8">
        <f t="shared" si="21"/>
        <v>0.90814595834987044</v>
      </c>
      <c r="H23" s="8">
        <f t="shared" si="22"/>
        <v>0.90814595834987044</v>
      </c>
      <c r="I23" s="8">
        <f t="shared" si="14"/>
        <v>0.72288418284649691</v>
      </c>
      <c r="J23" s="8">
        <f t="shared" si="4"/>
        <v>0.58067229724127478</v>
      </c>
      <c r="K23" s="8">
        <f t="shared" si="5"/>
        <v>0.46221514860405472</v>
      </c>
      <c r="L23" s="86">
        <f t="shared" si="23"/>
        <v>285.91790467743328</v>
      </c>
      <c r="M23" s="86">
        <f t="shared" si="6"/>
        <v>182.81709564961218</v>
      </c>
      <c r="P23" s="8">
        <f t="shared" si="27"/>
        <v>0.91277983481102942</v>
      </c>
      <c r="Q23" s="8">
        <v>0</v>
      </c>
      <c r="R23" s="8">
        <f t="shared" si="24"/>
        <v>1.1564292578881774E-2</v>
      </c>
      <c r="S23" s="8">
        <f t="shared" si="25"/>
        <v>0.90121554223214762</v>
      </c>
      <c r="T23" s="8">
        <f t="shared" si="26"/>
        <v>0.90121554223214762</v>
      </c>
      <c r="U23" s="8">
        <f t="shared" si="15"/>
        <v>0.7150649913258712</v>
      </c>
      <c r="V23" s="8">
        <f t="shared" si="7"/>
        <v>0.57624096039402573</v>
      </c>
      <c r="W23" s="8">
        <f t="shared" si="16"/>
        <v>0.45721552507316188</v>
      </c>
      <c r="Y23" s="8">
        <f t="shared" si="8"/>
        <v>6.9304161177228263E-3</v>
      </c>
      <c r="Z23" s="5">
        <f t="shared" si="9"/>
        <v>1.1287158288815574E-2</v>
      </c>
      <c r="AA23" s="304">
        <f t="shared" si="10"/>
        <v>2.3025802909183769E-3</v>
      </c>
      <c r="AB23" s="380">
        <f t="shared" si="17"/>
        <v>5.3499587490144569E-4</v>
      </c>
      <c r="AC23" s="304">
        <f t="shared" si="11"/>
        <v>1.4063119721317127E-3</v>
      </c>
      <c r="AD23" s="14">
        <f t="shared" si="12"/>
        <v>15.288218350754153</v>
      </c>
      <c r="AE23" s="14">
        <f t="shared" si="13"/>
        <v>37.046603438804873</v>
      </c>
    </row>
    <row r="24" spans="2:31" x14ac:dyDescent="0.25">
      <c r="B24" s="5">
        <v>14</v>
      </c>
      <c r="C24" s="5">
        <f t="shared" si="18"/>
        <v>64</v>
      </c>
      <c r="D24" s="8">
        <f t="shared" si="19"/>
        <v>0.90814595834987044</v>
      </c>
      <c r="E24" s="8">
        <v>0</v>
      </c>
      <c r="F24" s="8">
        <f t="shared" si="20"/>
        <v>1.1913558161910693E-2</v>
      </c>
      <c r="G24" s="8">
        <f t="shared" si="21"/>
        <v>0.8962324001879598</v>
      </c>
      <c r="H24" s="8">
        <f t="shared" si="22"/>
        <v>0.8962324001879598</v>
      </c>
      <c r="I24" s="8">
        <f t="shared" si="14"/>
        <v>0.71340099054961603</v>
      </c>
      <c r="J24" s="8">
        <f t="shared" si="4"/>
        <v>0.55367605669207742</v>
      </c>
      <c r="K24" s="8">
        <f t="shared" si="5"/>
        <v>0.44072614112689368</v>
      </c>
      <c r="L24" s="86">
        <f t="shared" si="23"/>
        <v>281.3412536836322</v>
      </c>
      <c r="M24" s="86">
        <f t="shared" si="6"/>
        <v>173.80750337935794</v>
      </c>
      <c r="P24" s="8">
        <f t="shared" si="27"/>
        <v>0.90121554223214762</v>
      </c>
      <c r="Q24" s="8">
        <v>0</v>
      </c>
      <c r="R24" s="8">
        <f t="shared" si="24"/>
        <v>1.2346589453989136E-2</v>
      </c>
      <c r="S24" s="8">
        <f t="shared" si="25"/>
        <v>0.88886895277815847</v>
      </c>
      <c r="T24" s="8">
        <f t="shared" si="26"/>
        <v>0.88886895277815847</v>
      </c>
      <c r="U24" s="8">
        <f t="shared" si="15"/>
        <v>0.70509323462684315</v>
      </c>
      <c r="V24" s="8">
        <f t="shared" si="7"/>
        <v>0.54912705296864228</v>
      </c>
      <c r="W24" s="8">
        <f t="shared" si="16"/>
        <v>0.43559376079974144</v>
      </c>
      <c r="Y24" s="8">
        <f t="shared" si="8"/>
        <v>7.3634474098013269E-3</v>
      </c>
      <c r="Z24" s="5">
        <f t="shared" si="9"/>
        <v>1.1992410708681287E-2</v>
      </c>
      <c r="AA24" s="304">
        <f t="shared" si="10"/>
        <v>2.4464517845709821E-3</v>
      </c>
      <c r="AB24" s="380">
        <f t="shared" si="17"/>
        <v>5.2797750476680746E-4</v>
      </c>
      <c r="AC24" s="304">
        <f t="shared" si="11"/>
        <v>1.3878631982098362E-3</v>
      </c>
      <c r="AD24" s="14">
        <f t="shared" si="12"/>
        <v>15.087659093910302</v>
      </c>
      <c r="AE24" s="14">
        <f t="shared" si="13"/>
        <v>39.361376214598401</v>
      </c>
    </row>
    <row r="25" spans="2:31" x14ac:dyDescent="0.25">
      <c r="B25" s="5">
        <v>15</v>
      </c>
      <c r="C25" s="5">
        <f t="shared" si="18"/>
        <v>65</v>
      </c>
      <c r="D25" s="8">
        <f t="shared" si="19"/>
        <v>0.8962324001879598</v>
      </c>
      <c r="E25" s="8">
        <v>0</v>
      </c>
      <c r="F25" s="8">
        <f t="shared" si="20"/>
        <v>1.273174304221013E-2</v>
      </c>
      <c r="G25" s="8">
        <f t="shared" si="21"/>
        <v>0.88350065714574966</v>
      </c>
      <c r="H25" s="8">
        <f t="shared" si="22"/>
        <v>0.88350065714574966</v>
      </c>
      <c r="I25" s="8">
        <f t="shared" si="14"/>
        <v>0.70326652308801674</v>
      </c>
      <c r="J25" s="8">
        <f t="shared" si="4"/>
        <v>0.52735325379914821</v>
      </c>
      <c r="K25" s="8">
        <f t="shared" si="5"/>
        <v>0.41977319002412194</v>
      </c>
      <c r="L25" s="86">
        <f t="shared" si="23"/>
        <v>281.36056178717791</v>
      </c>
      <c r="M25" s="86">
        <f t="shared" si="6"/>
        <v>167.94147978177128</v>
      </c>
      <c r="P25" s="8">
        <f t="shared" si="27"/>
        <v>0.88886895277815847</v>
      </c>
      <c r="Q25" s="8">
        <v>0</v>
      </c>
      <c r="R25" s="8">
        <f t="shared" si="24"/>
        <v>1.3143339907041614E-2</v>
      </c>
      <c r="S25" s="8">
        <f t="shared" si="25"/>
        <v>0.87572561287111683</v>
      </c>
      <c r="T25" s="8">
        <f t="shared" si="26"/>
        <v>0.87572561287111683</v>
      </c>
      <c r="U25" s="8">
        <f t="shared" si="15"/>
        <v>0.69449438599956237</v>
      </c>
      <c r="V25" s="8">
        <f t="shared" si="7"/>
        <v>0.52271240281222731</v>
      </c>
      <c r="W25" s="8">
        <f t="shared" si="16"/>
        <v>0.41453718369073284</v>
      </c>
      <c r="Y25" s="8">
        <f t="shared" si="8"/>
        <v>7.7750442746328252E-3</v>
      </c>
      <c r="Z25" s="5">
        <f t="shared" si="9"/>
        <v>1.2662754146307345E-2</v>
      </c>
      <c r="AA25" s="304">
        <f t="shared" si="10"/>
        <v>2.5832018458466976E-3</v>
      </c>
      <c r="AB25" s="380">
        <f t="shared" si="17"/>
        <v>5.2047713553073343E-4</v>
      </c>
      <c r="AC25" s="304">
        <f t="shared" si="11"/>
        <v>1.3681474217955929E-3</v>
      </c>
      <c r="AD25" s="14">
        <f t="shared" si="12"/>
        <v>14.873326071971576</v>
      </c>
      <c r="AE25" s="14">
        <f t="shared" si="13"/>
        <v>41.56157106135143</v>
      </c>
    </row>
    <row r="26" spans="2:31" x14ac:dyDescent="0.25">
      <c r="B26" s="5">
        <v>16</v>
      </c>
      <c r="C26" s="5">
        <f t="shared" si="18"/>
        <v>66</v>
      </c>
      <c r="D26" s="8">
        <f t="shared" si="19"/>
        <v>0.88350065714574966</v>
      </c>
      <c r="E26" s="8">
        <v>0</v>
      </c>
      <c r="F26" s="8">
        <f t="shared" si="20"/>
        <v>1.3301919631437122E-2</v>
      </c>
      <c r="G26" s="8">
        <f t="shared" si="21"/>
        <v>0.87019873751431254</v>
      </c>
      <c r="H26" s="8">
        <f t="shared" si="22"/>
        <v>0.87019873751431254</v>
      </c>
      <c r="I26" s="8">
        <f t="shared" si="14"/>
        <v>0.69267819506139283</v>
      </c>
      <c r="J26" s="8">
        <f t="shared" si="4"/>
        <v>0.5018487562912487</v>
      </c>
      <c r="K26" s="8">
        <f t="shared" si="5"/>
        <v>0.39947161000783399</v>
      </c>
      <c r="L26" s="86">
        <f t="shared" si="23"/>
        <v>273.47439291822741</v>
      </c>
      <c r="M26" s="86">
        <f t="shared" si="6"/>
        <v>157.71429909855436</v>
      </c>
      <c r="P26" s="8">
        <f t="shared" si="27"/>
        <v>0.87572561287111683</v>
      </c>
      <c r="Q26" s="8">
        <v>0</v>
      </c>
      <c r="R26" s="8">
        <f t="shared" si="24"/>
        <v>1.3692988640735291E-2</v>
      </c>
      <c r="S26" s="8">
        <f t="shared" si="25"/>
        <v>0.86203262423038152</v>
      </c>
      <c r="T26" s="8">
        <f t="shared" si="26"/>
        <v>0.86203262423038152</v>
      </c>
      <c r="U26" s="8">
        <f t="shared" si="15"/>
        <v>0.68346483721078755</v>
      </c>
      <c r="V26" s="8">
        <f t="shared" si="7"/>
        <v>0.49713931048467297</v>
      </c>
      <c r="W26" s="8">
        <f t="shared" si="16"/>
        <v>0.39415821206864604</v>
      </c>
      <c r="Y26" s="8">
        <f t="shared" si="8"/>
        <v>8.1661132839310202E-3</v>
      </c>
      <c r="Z26" s="5">
        <f t="shared" si="9"/>
        <v>1.3299665081353676E-2</v>
      </c>
      <c r="AA26" s="304">
        <f t="shared" si="10"/>
        <v>2.7131316765961495E-3</v>
      </c>
      <c r="AB26" s="380">
        <f t="shared" si="17"/>
        <v>5.1264087081391802E-4</v>
      </c>
      <c r="AC26" s="304">
        <f t="shared" si="11"/>
        <v>1.347548696823964E-3</v>
      </c>
      <c r="AD26" s="14">
        <f t="shared" si="12"/>
        <v>14.649394390130002</v>
      </c>
      <c r="AE26" s="14">
        <f t="shared" si="13"/>
        <v>43.652034066542072</v>
      </c>
    </row>
    <row r="27" spans="2:31" x14ac:dyDescent="0.25">
      <c r="B27" s="5">
        <v>17</v>
      </c>
      <c r="C27" s="5">
        <f t="shared" si="18"/>
        <v>67</v>
      </c>
      <c r="D27" s="8">
        <f t="shared" si="19"/>
        <v>0.87019873751431254</v>
      </c>
      <c r="E27" s="8">
        <v>0</v>
      </c>
      <c r="F27" s="8">
        <f t="shared" si="20"/>
        <v>1.4539650340852577E-2</v>
      </c>
      <c r="G27" s="8">
        <f t="shared" si="21"/>
        <v>0.85565908717345995</v>
      </c>
      <c r="H27" s="8">
        <f t="shared" si="22"/>
        <v>0.85565908717345995</v>
      </c>
      <c r="I27" s="8">
        <f t="shared" si="14"/>
        <v>0.68110463339007421</v>
      </c>
      <c r="J27" s="8">
        <f t="shared" si="4"/>
        <v>0.47677647728059236</v>
      </c>
      <c r="K27" s="8">
        <f t="shared" si="5"/>
        <v>0.37951407591535152</v>
      </c>
      <c r="L27" s="86">
        <f t="shared" si="23"/>
        <v>269.09298152628315</v>
      </c>
      <c r="M27" s="86">
        <f t="shared" si="6"/>
        <v>149.93962632576387</v>
      </c>
      <c r="P27" s="8">
        <f t="shared" si="27"/>
        <v>0.86203262423038152</v>
      </c>
      <c r="Q27" s="8">
        <v>0</v>
      </c>
      <c r="R27" s="8">
        <f t="shared" si="24"/>
        <v>1.4902552557254287E-2</v>
      </c>
      <c r="S27" s="8">
        <f t="shared" si="25"/>
        <v>0.84713007167312726</v>
      </c>
      <c r="T27" s="8">
        <f t="shared" si="26"/>
        <v>0.84713007167312726</v>
      </c>
      <c r="U27" s="8">
        <f t="shared" si="15"/>
        <v>0.67148183375630566</v>
      </c>
      <c r="V27" s="8">
        <f t="shared" si="7"/>
        <v>0.47202407760895088</v>
      </c>
      <c r="W27" s="8">
        <f t="shared" si="16"/>
        <v>0.37415221559067402</v>
      </c>
      <c r="Y27" s="8">
        <f t="shared" si="8"/>
        <v>8.5290155003326928E-3</v>
      </c>
      <c r="Z27" s="5">
        <f t="shared" si="9"/>
        <v>1.3890702428939895E-2</v>
      </c>
      <c r="AA27" s="304">
        <f t="shared" si="10"/>
        <v>2.8337032955037381E-3</v>
      </c>
      <c r="AB27" s="380">
        <f t="shared" si="17"/>
        <v>5.0407544927201378E-4</v>
      </c>
      <c r="AC27" s="304">
        <f t="shared" si="11"/>
        <v>1.3250332804892984E-3</v>
      </c>
      <c r="AD27" s="14">
        <f t="shared" si="12"/>
        <v>14.404626082667804</v>
      </c>
      <c r="AE27" s="14">
        <f t="shared" si="13"/>
        <v>45.591931219862438</v>
      </c>
    </row>
    <row r="28" spans="2:31" x14ac:dyDescent="0.25">
      <c r="B28" s="5">
        <v>18</v>
      </c>
      <c r="C28" s="5">
        <f t="shared" si="18"/>
        <v>68</v>
      </c>
      <c r="D28" s="8">
        <f t="shared" si="19"/>
        <v>0.85565908717345995</v>
      </c>
      <c r="E28" s="8">
        <v>0</v>
      </c>
      <c r="F28" s="8">
        <f t="shared" si="20"/>
        <v>1.586571636027901E-2</v>
      </c>
      <c r="G28" s="8">
        <f t="shared" si="21"/>
        <v>0.83979337081318095</v>
      </c>
      <c r="H28" s="8">
        <f t="shared" si="22"/>
        <v>0.83979337081318095</v>
      </c>
      <c r="I28" s="8">
        <f t="shared" si="14"/>
        <v>0.66847552316729208</v>
      </c>
      <c r="J28" s="8">
        <f t="shared" si="4"/>
        <v>0.4521121160977854</v>
      </c>
      <c r="K28" s="8">
        <f t="shared" si="5"/>
        <v>0.35988124441383723</v>
      </c>
      <c r="L28" s="86">
        <f t="shared" si="23"/>
        <v>264.10210387200004</v>
      </c>
      <c r="M28" s="86">
        <f t="shared" si="6"/>
        <v>142.18230959816594</v>
      </c>
      <c r="P28" s="8">
        <f t="shared" si="27"/>
        <v>0.84713007167312726</v>
      </c>
      <c r="Q28" s="8">
        <v>0</v>
      </c>
      <c r="R28" s="8">
        <f t="shared" si="24"/>
        <v>1.6197367989188194E-2</v>
      </c>
      <c r="S28" s="8">
        <f t="shared" si="25"/>
        <v>0.83093270368393912</v>
      </c>
      <c r="T28" s="8">
        <f t="shared" si="26"/>
        <v>0.83093270368393912</v>
      </c>
      <c r="U28" s="8">
        <f t="shared" si="15"/>
        <v>0.65847853999814587</v>
      </c>
      <c r="V28" s="8">
        <f t="shared" si="7"/>
        <v>0.44734187724491076</v>
      </c>
      <c r="W28" s="8">
        <f t="shared" si="16"/>
        <v>0.35449925716283032</v>
      </c>
      <c r="Y28" s="8">
        <f t="shared" si="8"/>
        <v>8.8606671292418282E-3</v>
      </c>
      <c r="Z28" s="5">
        <f t="shared" si="9"/>
        <v>1.4430843795439968E-2</v>
      </c>
      <c r="AA28" s="304">
        <f t="shared" si="10"/>
        <v>2.9438921342697529E-3</v>
      </c>
      <c r="AB28" s="380">
        <f t="shared" si="17"/>
        <v>4.9472883188408207E-4</v>
      </c>
      <c r="AC28" s="304">
        <f t="shared" si="11"/>
        <v>1.3004643808991769E-3</v>
      </c>
      <c r="AD28" s="14">
        <f t="shared" si="12"/>
        <v>14.137534065380795</v>
      </c>
      <c r="AE28" s="14">
        <f t="shared" si="13"/>
        <v>47.364778068785483</v>
      </c>
    </row>
    <row r="29" spans="2:31" x14ac:dyDescent="0.25">
      <c r="B29" s="5">
        <v>19</v>
      </c>
      <c r="C29" s="5">
        <f t="shared" si="18"/>
        <v>69</v>
      </c>
      <c r="D29" s="8">
        <f t="shared" si="19"/>
        <v>0.83979337081318095</v>
      </c>
      <c r="E29" s="8">
        <v>0</v>
      </c>
      <c r="F29" s="8">
        <f t="shared" si="20"/>
        <v>1.7303837431434245E-2</v>
      </c>
      <c r="G29" s="8">
        <f t="shared" si="21"/>
        <v>0.82248953338174668</v>
      </c>
      <c r="H29" s="8">
        <f t="shared" si="22"/>
        <v>0.82248953338174668</v>
      </c>
      <c r="I29" s="8">
        <f t="shared" si="14"/>
        <v>0.6547016685718704</v>
      </c>
      <c r="J29" s="8">
        <f t="shared" si="4"/>
        <v>0.42782261107208219</v>
      </c>
      <c r="K29" s="8">
        <f t="shared" si="5"/>
        <v>0.34054679841337748</v>
      </c>
      <c r="L29" s="86">
        <f t="shared" si="23"/>
        <v>259.67492426986735</v>
      </c>
      <c r="M29" s="86">
        <f t="shared" si="6"/>
        <v>135.07138950972742</v>
      </c>
      <c r="P29" s="8">
        <f t="shared" si="27"/>
        <v>0.83093270368393912</v>
      </c>
      <c r="Q29" s="8">
        <v>0</v>
      </c>
      <c r="R29" s="8">
        <f t="shared" si="24"/>
        <v>1.7600687165917228E-2</v>
      </c>
      <c r="S29" s="8">
        <f t="shared" si="25"/>
        <v>0.81333201651802189</v>
      </c>
      <c r="T29" s="8">
        <f t="shared" si="26"/>
        <v>0.81333201651802189</v>
      </c>
      <c r="U29" s="8">
        <f t="shared" si="15"/>
        <v>0.64436976685132097</v>
      </c>
      <c r="V29" s="8">
        <f t="shared" si="7"/>
        <v>0.42305927656560288</v>
      </c>
      <c r="W29" s="8">
        <f t="shared" si="16"/>
        <v>0.33517260094091672</v>
      </c>
      <c r="Y29" s="8">
        <f t="shared" si="8"/>
        <v>9.1575168637247906E-3</v>
      </c>
      <c r="Z29" s="5">
        <f t="shared" si="9"/>
        <v>1.4914305377571201E-2</v>
      </c>
      <c r="AA29" s="304">
        <f t="shared" si="10"/>
        <v>3.0425182970245245E-3</v>
      </c>
      <c r="AB29" s="380">
        <f t="shared" si="17"/>
        <v>4.8453500614420436E-4</v>
      </c>
      <c r="AC29" s="304">
        <f t="shared" si="11"/>
        <v>1.2736684748887702E-3</v>
      </c>
      <c r="AD29" s="14">
        <f t="shared" si="12"/>
        <v>13.84623194315509</v>
      </c>
      <c r="AE29" s="14">
        <f t="shared" si="13"/>
        <v>48.951591069260601</v>
      </c>
    </row>
    <row r="30" spans="2:31" x14ac:dyDescent="0.25">
      <c r="B30" s="5">
        <v>20</v>
      </c>
      <c r="C30" s="5">
        <f t="shared" si="18"/>
        <v>70</v>
      </c>
      <c r="D30" s="8">
        <f t="shared" si="19"/>
        <v>0.82248953338174668</v>
      </c>
      <c r="E30" s="8">
        <v>0</v>
      </c>
      <c r="F30" s="8">
        <f t="shared" si="20"/>
        <v>1.8718525234276806E-2</v>
      </c>
      <c r="G30" s="8">
        <f t="shared" si="21"/>
        <v>0.80377100814746982</v>
      </c>
      <c r="H30" s="8">
        <f t="shared" si="22"/>
        <v>0.80377100814746982</v>
      </c>
      <c r="I30" s="8">
        <f t="shared" si="14"/>
        <v>0.58434152292321051</v>
      </c>
      <c r="J30" s="8">
        <f t="shared" si="4"/>
        <v>0.40394788759016875</v>
      </c>
      <c r="K30" s="8">
        <f t="shared" si="5"/>
        <v>0.29367011427805262</v>
      </c>
      <c r="L30" s="86">
        <f t="shared" si="23"/>
        <v>252.73754328516301</v>
      </c>
      <c r="M30" s="86">
        <f t="shared" si="6"/>
        <v>127.01726697019559</v>
      </c>
      <c r="P30" s="8">
        <f t="shared" si="27"/>
        <v>0.81333201651802189</v>
      </c>
      <c r="Q30" s="8">
        <v>0</v>
      </c>
      <c r="R30" s="8">
        <f t="shared" si="24"/>
        <v>1.8978350819588177E-2</v>
      </c>
      <c r="S30" s="8">
        <f t="shared" si="25"/>
        <v>0.79435366569843369</v>
      </c>
      <c r="T30" s="8">
        <f t="shared" si="26"/>
        <v>0.79435366569843369</v>
      </c>
      <c r="U30" s="8">
        <f t="shared" si="15"/>
        <v>0.57436627150695096</v>
      </c>
      <c r="V30" s="8">
        <f t="shared" si="7"/>
        <v>0.39921505255327294</v>
      </c>
      <c r="W30" s="8">
        <f t="shared" si="16"/>
        <v>0.2886568932276119</v>
      </c>
      <c r="Y30" s="8">
        <f t="shared" si="8"/>
        <v>9.4173424490361368E-3</v>
      </c>
      <c r="Z30" s="5">
        <f t="shared" si="9"/>
        <v>1.5337467920638951E-2</v>
      </c>
      <c r="AA30" s="304">
        <f t="shared" si="10"/>
        <v>3.1288434558103453E-3</v>
      </c>
      <c r="AB30" s="380">
        <f t="shared" si="17"/>
        <v>4.735077767737204E-4</v>
      </c>
      <c r="AC30" s="304">
        <f t="shared" si="11"/>
        <v>1.244681850111503E-3</v>
      </c>
      <c r="AD30" s="14">
        <f t="shared" si="12"/>
        <v>13.531114204255022</v>
      </c>
      <c r="AE30" s="14">
        <f t="shared" si="13"/>
        <v>50.340491137998107</v>
      </c>
    </row>
    <row r="31" spans="2:31" x14ac:dyDescent="0.25">
      <c r="B31" s="5">
        <v>21</v>
      </c>
      <c r="C31" s="5">
        <f t="shared" si="18"/>
        <v>71</v>
      </c>
      <c r="D31" s="8">
        <f t="shared" si="19"/>
        <v>0.80377100814746982</v>
      </c>
      <c r="E31" s="8">
        <v>0</v>
      </c>
      <c r="F31" s="8">
        <f t="shared" si="20"/>
        <v>2.0196133084694236E-2</v>
      </c>
      <c r="G31" s="8">
        <f t="shared" si="21"/>
        <v>0.78357487506277557</v>
      </c>
      <c r="H31" s="8">
        <f t="shared" si="22"/>
        <v>0.78357487506277557</v>
      </c>
      <c r="I31" s="8">
        <f t="shared" si="14"/>
        <v>0.56965893417063784</v>
      </c>
      <c r="J31" s="8">
        <f t="shared" si="4"/>
        <v>0.38048115952112049</v>
      </c>
      <c r="K31" s="8">
        <f t="shared" si="5"/>
        <v>0.27660980297185461</v>
      </c>
      <c r="L31" s="86">
        <f t="shared" si="23"/>
        <v>244.37341893510589</v>
      </c>
      <c r="M31" s="86">
        <f t="shared" si="6"/>
        <v>118.66062166059197</v>
      </c>
      <c r="P31" s="8">
        <f t="shared" si="27"/>
        <v>0.79435366569843369</v>
      </c>
      <c r="Q31" s="8">
        <v>0</v>
      </c>
      <c r="R31" s="8">
        <f t="shared" si="24"/>
        <v>2.041570775665813E-2</v>
      </c>
      <c r="S31" s="8">
        <f t="shared" si="25"/>
        <v>0.77393795794177556</v>
      </c>
      <c r="T31" s="8">
        <f t="shared" si="26"/>
        <v>0.77393795794177556</v>
      </c>
      <c r="U31" s="8">
        <f t="shared" si="15"/>
        <v>0.55945109988194519</v>
      </c>
      <c r="V31" s="8">
        <f t="shared" si="7"/>
        <v>0.37580175297415425</v>
      </c>
      <c r="W31" s="8">
        <f t="shared" si="16"/>
        <v>0.2716531756603292</v>
      </c>
      <c r="Y31" s="8">
        <f t="shared" si="8"/>
        <v>9.6369171210000104E-3</v>
      </c>
      <c r="Z31" s="5">
        <f t="shared" si="9"/>
        <v>1.5695076184929629E-2</v>
      </c>
      <c r="AA31" s="304">
        <f t="shared" si="10"/>
        <v>3.2017955417256438E-3</v>
      </c>
      <c r="AB31" s="380">
        <f t="shared" si="17"/>
        <v>4.6161007708139714E-4</v>
      </c>
      <c r="AC31" s="304">
        <f t="shared" si="11"/>
        <v>1.2134070715513427E-3</v>
      </c>
      <c r="AD31" s="14">
        <f t="shared" si="12"/>
        <v>13.191121618702009</v>
      </c>
      <c r="AE31" s="14">
        <f t="shared" si="13"/>
        <v>51.514229577259982</v>
      </c>
    </row>
    <row r="32" spans="2:31" x14ac:dyDescent="0.25">
      <c r="B32" s="5">
        <v>22</v>
      </c>
      <c r="C32" s="5">
        <f t="shared" si="18"/>
        <v>72</v>
      </c>
      <c r="D32" s="8">
        <f t="shared" si="19"/>
        <v>0.78357487506277557</v>
      </c>
      <c r="E32" s="8">
        <v>0</v>
      </c>
      <c r="F32" s="8">
        <f t="shared" si="20"/>
        <v>2.2393551281956543E-2</v>
      </c>
      <c r="G32" s="8">
        <f t="shared" si="21"/>
        <v>0.76118132378081904</v>
      </c>
      <c r="H32" s="8">
        <f t="shared" si="22"/>
        <v>0.76118132378081904</v>
      </c>
      <c r="I32" s="8">
        <f t="shared" si="14"/>
        <v>0.55337882238865543</v>
      </c>
      <c r="J32" s="8">
        <f t="shared" si="4"/>
        <v>0.35710869817151136</v>
      </c>
      <c r="K32" s="8">
        <f t="shared" si="5"/>
        <v>0.25961802357068875</v>
      </c>
      <c r="L32" s="86">
        <f t="shared" si="23"/>
        <v>238.44033743312789</v>
      </c>
      <c r="M32" s="86">
        <f t="shared" si="6"/>
        <v>111.86443470444203</v>
      </c>
      <c r="P32" s="8">
        <f t="shared" si="27"/>
        <v>0.77393795794177556</v>
      </c>
      <c r="Q32" s="8">
        <v>0</v>
      </c>
      <c r="R32" s="8">
        <f t="shared" si="24"/>
        <v>2.2561043643194001E-2</v>
      </c>
      <c r="S32" s="8">
        <f t="shared" si="25"/>
        <v>0.75137691429858156</v>
      </c>
      <c r="T32" s="8">
        <f t="shared" si="26"/>
        <v>0.75137691429858156</v>
      </c>
      <c r="U32" s="8">
        <f t="shared" si="15"/>
        <v>0.54299357303592655</v>
      </c>
      <c r="V32" s="8">
        <f t="shared" si="7"/>
        <v>0.35250895327872883</v>
      </c>
      <c r="W32" s="8">
        <f t="shared" si="16"/>
        <v>0.25474577728629694</v>
      </c>
      <c r="Y32" s="8">
        <f t="shared" si="8"/>
        <v>9.8044094822374861E-3</v>
      </c>
      <c r="Z32" s="5">
        <f t="shared" si="9"/>
        <v>1.5967861074226587E-2</v>
      </c>
      <c r="AA32" s="304">
        <f t="shared" si="10"/>
        <v>3.2574436591422231E-3</v>
      </c>
      <c r="AB32" s="380">
        <f t="shared" si="17"/>
        <v>4.4841786117149929E-4</v>
      </c>
      <c r="AC32" s="304">
        <f t="shared" si="11"/>
        <v>1.1787294748755674E-3</v>
      </c>
      <c r="AD32" s="14">
        <f t="shared" si="12"/>
        <v>12.814136511297274</v>
      </c>
      <c r="AE32" s="14">
        <f t="shared" si="13"/>
        <v>52.409561542959125</v>
      </c>
    </row>
    <row r="33" spans="2:31" x14ac:dyDescent="0.25">
      <c r="B33" s="5">
        <v>23</v>
      </c>
      <c r="C33" s="5">
        <f t="shared" si="18"/>
        <v>73</v>
      </c>
      <c r="D33" s="8">
        <f t="shared" si="19"/>
        <v>0.76118132378081904</v>
      </c>
      <c r="E33" s="8">
        <v>0</v>
      </c>
      <c r="F33" s="8">
        <f t="shared" si="20"/>
        <v>2.4135175853313415E-2</v>
      </c>
      <c r="G33" s="8">
        <f t="shared" si="21"/>
        <v>0.73704614792750567</v>
      </c>
      <c r="H33" s="8">
        <f t="shared" si="22"/>
        <v>0.73704614792750567</v>
      </c>
      <c r="I33" s="8">
        <f t="shared" si="14"/>
        <v>0.53583254954329662</v>
      </c>
      <c r="J33" s="8">
        <f t="shared" si="4"/>
        <v>0.33409243014156592</v>
      </c>
      <c r="K33" s="8">
        <f t="shared" si="5"/>
        <v>0.24288519671291842</v>
      </c>
      <c r="L33" s="86">
        <f t="shared" si="23"/>
        <v>231.66094973906854</v>
      </c>
      <c r="M33" s="86">
        <f t="shared" si="6"/>
        <v>105.00858037839049</v>
      </c>
      <c r="P33" s="8">
        <f t="shared" si="27"/>
        <v>0.75137691429858156</v>
      </c>
      <c r="Q33" s="8">
        <v>0</v>
      </c>
      <c r="R33" s="8">
        <f t="shared" si="24"/>
        <v>2.4252909219034724E-2</v>
      </c>
      <c r="S33" s="8">
        <f t="shared" si="25"/>
        <v>0.72712400507954689</v>
      </c>
      <c r="T33" s="8">
        <f t="shared" si="26"/>
        <v>0.72712400507954689</v>
      </c>
      <c r="U33" s="8">
        <f t="shared" si="15"/>
        <v>0.52532259198020925</v>
      </c>
      <c r="V33" s="8">
        <f t="shared" si="7"/>
        <v>0.32959486533425025</v>
      </c>
      <c r="W33" s="8">
        <f t="shared" si="16"/>
        <v>0.23812118394002763</v>
      </c>
      <c r="Y33" s="8">
        <f t="shared" si="8"/>
        <v>9.9221428479587814E-3</v>
      </c>
      <c r="Z33" s="5">
        <f t="shared" si="9"/>
        <v>1.6159606434418307E-2</v>
      </c>
      <c r="AA33" s="304">
        <f t="shared" si="10"/>
        <v>3.296559712621334E-3</v>
      </c>
      <c r="AB33" s="380">
        <f t="shared" si="17"/>
        <v>4.3419964062798953E-4</v>
      </c>
      <c r="AC33" s="304">
        <f t="shared" si="11"/>
        <v>1.1413548805827977E-3</v>
      </c>
      <c r="AD33" s="14">
        <f t="shared" si="12"/>
        <v>12.407831957512819</v>
      </c>
      <c r="AE33" s="14">
        <f t="shared" si="13"/>
        <v>53.038906338034103</v>
      </c>
    </row>
    <row r="34" spans="2:31" x14ac:dyDescent="0.25">
      <c r="B34" s="5">
        <v>24</v>
      </c>
      <c r="C34" s="5">
        <f t="shared" si="18"/>
        <v>74</v>
      </c>
      <c r="D34" s="8">
        <f t="shared" si="19"/>
        <v>0.73704614792750567</v>
      </c>
      <c r="E34" s="8">
        <v>0</v>
      </c>
      <c r="F34" s="8">
        <f t="shared" si="20"/>
        <v>2.6126701294812035E-2</v>
      </c>
      <c r="G34" s="8">
        <f t="shared" si="21"/>
        <v>0.71091944663269369</v>
      </c>
      <c r="H34" s="8">
        <f t="shared" si="22"/>
        <v>0.71091944663269369</v>
      </c>
      <c r="I34" s="8">
        <f t="shared" si="14"/>
        <v>0.51683843770196825</v>
      </c>
      <c r="J34" s="8">
        <f t="shared" si="4"/>
        <v>0.31135224327707467</v>
      </c>
      <c r="K34" s="8">
        <f t="shared" si="5"/>
        <v>0.22635308086243328</v>
      </c>
      <c r="L34" s="86">
        <f t="shared" si="23"/>
        <v>224.18360387698786</v>
      </c>
      <c r="M34" s="86">
        <f t="shared" si="6"/>
        <v>98.182808620091706</v>
      </c>
      <c r="P34" s="8">
        <f t="shared" si="27"/>
        <v>0.72712400507954689</v>
      </c>
      <c r="Q34" s="8">
        <v>0</v>
      </c>
      <c r="R34" s="8">
        <f t="shared" si="24"/>
        <v>2.6188152848723716E-2</v>
      </c>
      <c r="S34" s="8">
        <f t="shared" si="25"/>
        <v>0.70093585223082322</v>
      </c>
      <c r="T34" s="8">
        <f t="shared" si="26"/>
        <v>0.70093585223082322</v>
      </c>
      <c r="U34" s="8">
        <f t="shared" si="15"/>
        <v>0.50626338802786275</v>
      </c>
      <c r="V34" s="8">
        <f t="shared" si="7"/>
        <v>0.30697985688686691</v>
      </c>
      <c r="W34" s="8">
        <f t="shared" si="16"/>
        <v>0.2217216624163707</v>
      </c>
      <c r="Y34" s="8">
        <f t="shared" si="8"/>
        <v>9.9835944018704659E-3</v>
      </c>
      <c r="Z34" s="5">
        <f t="shared" si="9"/>
        <v>1.6259688940910396E-2</v>
      </c>
      <c r="AA34" s="304">
        <f t="shared" si="10"/>
        <v>3.3169765439457202E-3</v>
      </c>
      <c r="AB34" s="380">
        <f t="shared" si="17"/>
        <v>4.1880819689692813E-4</v>
      </c>
      <c r="AC34" s="304">
        <f t="shared" si="11"/>
        <v>1.1008963039790612E-3</v>
      </c>
      <c r="AD34" s="14">
        <f t="shared" si="12"/>
        <v>11.968000991456943</v>
      </c>
      <c r="AE34" s="14">
        <f t="shared" si="13"/>
        <v>53.367396187675709</v>
      </c>
    </row>
    <row r="35" spans="2:31" x14ac:dyDescent="0.25">
      <c r="B35" s="5">
        <v>25</v>
      </c>
      <c r="C35" s="5">
        <f t="shared" si="18"/>
        <v>75</v>
      </c>
      <c r="D35" s="8">
        <f t="shared" si="19"/>
        <v>0.71091944663269369</v>
      </c>
      <c r="E35" s="8">
        <v>0</v>
      </c>
      <c r="F35" s="8">
        <f t="shared" si="20"/>
        <v>2.7637882137154259E-2</v>
      </c>
      <c r="G35" s="8">
        <f t="shared" si="21"/>
        <v>0.68328156449553945</v>
      </c>
      <c r="H35" s="8">
        <f t="shared" si="22"/>
        <v>0.68328156449553945</v>
      </c>
      <c r="I35" s="8">
        <f t="shared" si="14"/>
        <v>0.49674569738825719</v>
      </c>
      <c r="J35" s="8">
        <f t="shared" si="4"/>
        <v>0.28912853683997519</v>
      </c>
      <c r="K35" s="8">
        <f t="shared" si="5"/>
        <v>0.21019644628266199</v>
      </c>
      <c r="L35" s="86">
        <f t="shared" si="23"/>
        <v>217.91691232856735</v>
      </c>
      <c r="M35" s="86">
        <f t="shared" si="6"/>
        <v>92.210885362845389</v>
      </c>
      <c r="P35" s="8">
        <f t="shared" si="27"/>
        <v>0.70093585223082322</v>
      </c>
      <c r="Q35" s="8">
        <v>0</v>
      </c>
      <c r="R35" s="8">
        <f t="shared" si="24"/>
        <v>2.7646631163904679E-2</v>
      </c>
      <c r="S35" s="8">
        <f t="shared" si="25"/>
        <v>0.67328922106691858</v>
      </c>
      <c r="T35" s="8">
        <f t="shared" si="26"/>
        <v>0.67328922106691858</v>
      </c>
      <c r="U35" s="8">
        <f t="shared" si="15"/>
        <v>0.48616138037127277</v>
      </c>
      <c r="V35" s="8">
        <f t="shared" si="7"/>
        <v>0.28490030680240253</v>
      </c>
      <c r="W35" s="8">
        <f t="shared" si="16"/>
        <v>0.20571772440344591</v>
      </c>
      <c r="Y35" s="8">
        <f t="shared" si="8"/>
        <v>9.9923434286208757E-3</v>
      </c>
      <c r="Z35" s="5">
        <f t="shared" si="9"/>
        <v>1.6273937962632542E-2</v>
      </c>
      <c r="AA35" s="304">
        <f t="shared" si="10"/>
        <v>3.3198833443770378E-3</v>
      </c>
      <c r="AB35" s="380">
        <f t="shared" si="17"/>
        <v>4.0252650473230494E-4</v>
      </c>
      <c r="AC35" s="304">
        <f t="shared" si="11"/>
        <v>1.0580975840414715E-3</v>
      </c>
      <c r="AD35" s="14">
        <f t="shared" si="12"/>
        <v>11.502729992912556</v>
      </c>
      <c r="AE35" s="14">
        <f t="shared" si="13"/>
        <v>53.414164191067172</v>
      </c>
    </row>
    <row r="36" spans="2:31" x14ac:dyDescent="0.25">
      <c r="B36" s="5">
        <v>26</v>
      </c>
      <c r="C36" s="5">
        <f t="shared" si="18"/>
        <v>76</v>
      </c>
      <c r="D36" s="8">
        <f t="shared" si="19"/>
        <v>0.68328156449553945</v>
      </c>
      <c r="E36" s="8">
        <v>0</v>
      </c>
      <c r="F36" s="8">
        <f t="shared" si="20"/>
        <v>2.9446172760287284E-2</v>
      </c>
      <c r="G36" s="8">
        <f t="shared" si="21"/>
        <v>0.65383539173525218</v>
      </c>
      <c r="H36" s="8">
        <f t="shared" si="22"/>
        <v>0.65383539173525218</v>
      </c>
      <c r="I36" s="8">
        <f t="shared" si="14"/>
        <v>0.47533832979152835</v>
      </c>
      <c r="J36" s="8">
        <f t="shared" si="4"/>
        <v>0.26731253863858523</v>
      </c>
      <c r="K36" s="8">
        <f t="shared" si="5"/>
        <v>0.19433621559025147</v>
      </c>
      <c r="L36" s="86">
        <f t="shared" si="23"/>
        <v>209.2949417093416</v>
      </c>
      <c r="M36" s="86">
        <f t="shared" si="6"/>
        <v>85.567656477048999</v>
      </c>
      <c r="P36" s="8">
        <f t="shared" si="27"/>
        <v>0.67328922106691858</v>
      </c>
      <c r="Q36" s="8">
        <v>0</v>
      </c>
      <c r="R36" s="8">
        <f t="shared" si="24"/>
        <v>2.9395097121813988E-2</v>
      </c>
      <c r="S36" s="8">
        <f t="shared" si="25"/>
        <v>0.64389412394510459</v>
      </c>
      <c r="T36" s="8">
        <f t="shared" si="26"/>
        <v>0.64389412394510459</v>
      </c>
      <c r="U36" s="8">
        <f t="shared" si="15"/>
        <v>0.46480811427268676</v>
      </c>
      <c r="V36" s="8">
        <f t="shared" si="7"/>
        <v>0.26324817387053917</v>
      </c>
      <c r="W36" s="8">
        <f t="shared" si="16"/>
        <v>0.19003106680458776</v>
      </c>
      <c r="Y36" s="8">
        <f t="shared" si="8"/>
        <v>9.9412677901475899E-3</v>
      </c>
      <c r="Z36" s="5">
        <f t="shared" si="9"/>
        <v>1.6190754095119012E-2</v>
      </c>
      <c r="AA36" s="304">
        <f t="shared" si="10"/>
        <v>3.3029138354042776E-3</v>
      </c>
      <c r="AB36" s="380">
        <f t="shared" si="17"/>
        <v>3.8517953444240942E-4</v>
      </c>
      <c r="AC36" s="304">
        <f t="shared" si="11"/>
        <v>1.0124986305852656E-3</v>
      </c>
      <c r="AD36" s="14">
        <f t="shared" si="12"/>
        <v>11.007017255753933</v>
      </c>
      <c r="AE36" s="14">
        <f t="shared" si="13"/>
        <v>53.141138893341569</v>
      </c>
    </row>
    <row r="37" spans="2:31" x14ac:dyDescent="0.25">
      <c r="B37" s="5">
        <v>27</v>
      </c>
      <c r="C37" s="5">
        <f t="shared" si="18"/>
        <v>77</v>
      </c>
      <c r="D37" s="8">
        <f t="shared" si="19"/>
        <v>0.65383539173525218</v>
      </c>
      <c r="E37" s="8">
        <v>0</v>
      </c>
      <c r="F37" s="8">
        <f t="shared" si="20"/>
        <v>3.112166562293437E-2</v>
      </c>
      <c r="G37" s="8">
        <f t="shared" si="21"/>
        <v>0.62271372611231779</v>
      </c>
      <c r="H37" s="8">
        <f t="shared" si="22"/>
        <v>0.62271372611231779</v>
      </c>
      <c r="I37" s="8">
        <f t="shared" si="14"/>
        <v>0.45271287888365502</v>
      </c>
      <c r="J37" s="8">
        <f t="shared" si="4"/>
        <v>0.24597954526969001</v>
      </c>
      <c r="K37" s="8">
        <f t="shared" si="5"/>
        <v>0.17882712941106466</v>
      </c>
      <c r="L37" s="86">
        <f t="shared" si="23"/>
        <v>201.0355811389669</v>
      </c>
      <c r="M37" s="86">
        <f t="shared" si="6"/>
        <v>79.411515690071084</v>
      </c>
      <c r="P37" s="8">
        <f t="shared" si="27"/>
        <v>0.64389412394510459</v>
      </c>
      <c r="Q37" s="8">
        <v>0</v>
      </c>
      <c r="R37" s="8">
        <f t="shared" si="24"/>
        <v>3.1009742745437281E-2</v>
      </c>
      <c r="S37" s="8">
        <f t="shared" si="25"/>
        <v>0.61288438119966726</v>
      </c>
      <c r="T37" s="8">
        <f t="shared" si="26"/>
        <v>0.61288438119966726</v>
      </c>
      <c r="U37" s="8">
        <f t="shared" si="15"/>
        <v>0.4423012168578298</v>
      </c>
      <c r="V37" s="8">
        <f t="shared" si="7"/>
        <v>0.24209683369529217</v>
      </c>
      <c r="W37" s="8">
        <f t="shared" si="16"/>
        <v>0.17471439544805537</v>
      </c>
      <c r="Y37" s="8">
        <f t="shared" si="8"/>
        <v>9.8293449126505283E-3</v>
      </c>
      <c r="Z37" s="5">
        <f t="shared" si="9"/>
        <v>1.6008471932981806E-2</v>
      </c>
      <c r="AA37" s="304">
        <f t="shared" si="10"/>
        <v>3.2657282743282878E-3</v>
      </c>
      <c r="AB37" s="380">
        <f t="shared" si="17"/>
        <v>3.6684551822484626E-4</v>
      </c>
      <c r="AC37" s="304">
        <f t="shared" si="11"/>
        <v>9.6430508795511773E-4</v>
      </c>
      <c r="AD37" s="14">
        <f t="shared" si="12"/>
        <v>10.483098369029792</v>
      </c>
      <c r="AE37" s="14">
        <f t="shared" si="13"/>
        <v>52.542854116795425</v>
      </c>
    </row>
    <row r="38" spans="2:31" x14ac:dyDescent="0.25">
      <c r="B38" s="5">
        <v>28</v>
      </c>
      <c r="C38" s="5">
        <f t="shared" si="18"/>
        <v>78</v>
      </c>
      <c r="D38" s="8">
        <f t="shared" si="19"/>
        <v>0.62271372611231779</v>
      </c>
      <c r="E38" s="8">
        <v>0</v>
      </c>
      <c r="F38" s="8">
        <f t="shared" si="20"/>
        <v>3.3049939435371462E-2</v>
      </c>
      <c r="G38" s="8">
        <f t="shared" si="21"/>
        <v>0.5896637866769463</v>
      </c>
      <c r="H38" s="8">
        <f t="shared" si="22"/>
        <v>0.5896637866769463</v>
      </c>
      <c r="I38" s="8">
        <f t="shared" si="14"/>
        <v>0.42868557291413995</v>
      </c>
      <c r="J38" s="8">
        <f t="shared" si="4"/>
        <v>0.22504774356045334</v>
      </c>
      <c r="K38" s="8">
        <f t="shared" si="5"/>
        <v>0.16360970956844959</v>
      </c>
      <c r="L38" s="86">
        <f t="shared" si="23"/>
        <v>189.96557643595276</v>
      </c>
      <c r="M38" s="86">
        <f t="shared" si="6"/>
        <v>72.501186772885163</v>
      </c>
      <c r="P38" s="8">
        <f t="shared" si="27"/>
        <v>0.61288438119966726</v>
      </c>
      <c r="Q38" s="8">
        <v>0</v>
      </c>
      <c r="R38" s="8">
        <f t="shared" si="24"/>
        <v>3.2870148616635633E-2</v>
      </c>
      <c r="S38" s="8">
        <f t="shared" si="25"/>
        <v>0.58001423258303164</v>
      </c>
      <c r="T38" s="8">
        <f t="shared" si="26"/>
        <v>0.58001423258303164</v>
      </c>
      <c r="U38" s="8">
        <f t="shared" si="15"/>
        <v>0.41846435300390428</v>
      </c>
      <c r="V38" s="8">
        <f t="shared" si="7"/>
        <v>0.22136494935761084</v>
      </c>
      <c r="W38" s="8">
        <f t="shared" si="16"/>
        <v>0.1597087366255513</v>
      </c>
      <c r="Y38" s="8">
        <f t="shared" si="8"/>
        <v>9.6495540939146585E-3</v>
      </c>
      <c r="Z38" s="5">
        <f t="shared" si="9"/>
        <v>1.5715657274312466E-2</v>
      </c>
      <c r="AA38" s="304">
        <f t="shared" si="10"/>
        <v>3.2059940839597426E-3</v>
      </c>
      <c r="AB38" s="380">
        <f t="shared" si="17"/>
        <v>3.4737554084829299E-4</v>
      </c>
      <c r="AC38" s="304">
        <f t="shared" si="11"/>
        <v>9.131255115017022E-4</v>
      </c>
      <c r="AD38" s="14">
        <f t="shared" si="12"/>
        <v>9.9267178820366482</v>
      </c>
      <c r="AE38" s="14">
        <f t="shared" si="13"/>
        <v>51.581780632821953</v>
      </c>
    </row>
    <row r="39" spans="2:31" x14ac:dyDescent="0.25">
      <c r="B39" s="5">
        <v>29</v>
      </c>
      <c r="C39" s="5">
        <f t="shared" si="18"/>
        <v>79</v>
      </c>
      <c r="D39" s="8">
        <f t="shared" si="19"/>
        <v>0.5896637866769463</v>
      </c>
      <c r="E39" s="8">
        <v>0</v>
      </c>
      <c r="F39" s="8">
        <f t="shared" si="20"/>
        <v>3.5142885549535319E-2</v>
      </c>
      <c r="G39" s="8">
        <f t="shared" si="21"/>
        <v>0.55452090112741104</v>
      </c>
      <c r="H39" s="8">
        <f t="shared" si="22"/>
        <v>0.55452090112741104</v>
      </c>
      <c r="I39" s="8">
        <f t="shared" si="14"/>
        <v>0.4031366951196278</v>
      </c>
      <c r="J39" s="8">
        <f t="shared" si="4"/>
        <v>0.20447855918491054</v>
      </c>
      <c r="K39" s="8">
        <f t="shared" si="5"/>
        <v>0.14865591252742996</v>
      </c>
      <c r="L39" s="86">
        <f t="shared" si="23"/>
        <v>179.29863831572007</v>
      </c>
      <c r="M39" s="86">
        <f t="shared" si="6"/>
        <v>66.11604206816169</v>
      </c>
      <c r="P39" s="8">
        <f t="shared" si="27"/>
        <v>0.58001423258303164</v>
      </c>
      <c r="Q39" s="8">
        <v>0</v>
      </c>
      <c r="R39" s="8">
        <f t="shared" si="24"/>
        <v>3.4889116494321623E-2</v>
      </c>
      <c r="S39" s="8">
        <f t="shared" si="25"/>
        <v>0.54512511608871006</v>
      </c>
      <c r="T39" s="8">
        <f t="shared" si="26"/>
        <v>0.54512511608871006</v>
      </c>
      <c r="U39" s="8">
        <f t="shared" si="15"/>
        <v>0.39318427823329427</v>
      </c>
      <c r="V39" s="8">
        <f t="shared" si="7"/>
        <v>0.20101388078736304</v>
      </c>
      <c r="W39" s="8">
        <f t="shared" si="16"/>
        <v>0.14498597716306852</v>
      </c>
      <c r="Y39" s="8">
        <f t="shared" si="8"/>
        <v>9.3957850387009767E-3</v>
      </c>
      <c r="Z39" s="5">
        <f t="shared" si="9"/>
        <v>1.5302358643127076E-2</v>
      </c>
      <c r="AA39" s="304">
        <f t="shared" si="10"/>
        <v>3.1216811631979229E-3</v>
      </c>
      <c r="AB39" s="380">
        <f t="shared" si="17"/>
        <v>3.2667259257406319E-4</v>
      </c>
      <c r="AC39" s="304">
        <f t="shared" si="11"/>
        <v>8.5870489747017094E-4</v>
      </c>
      <c r="AD39" s="14">
        <f t="shared" si="12"/>
        <v>9.3351036125264386</v>
      </c>
      <c r="AE39" s="14">
        <f t="shared" si="13"/>
        <v>50.225255801722703</v>
      </c>
    </row>
    <row r="40" spans="2:31" x14ac:dyDescent="0.25">
      <c r="B40" s="5">
        <v>30</v>
      </c>
      <c r="C40" s="5">
        <f t="shared" si="18"/>
        <v>80</v>
      </c>
      <c r="D40" s="8">
        <f t="shared" si="19"/>
        <v>0.55452090112741104</v>
      </c>
      <c r="E40" s="8">
        <v>0</v>
      </c>
      <c r="F40" s="8">
        <f t="shared" si="20"/>
        <v>3.777672252628235E-2</v>
      </c>
      <c r="G40" s="8">
        <f t="shared" si="21"/>
        <v>0.51674417860112865</v>
      </c>
      <c r="H40" s="8">
        <f t="shared" si="22"/>
        <v>0.51674417860112865</v>
      </c>
      <c r="I40" s="8">
        <f t="shared" si="14"/>
        <v>0.35707022741337985</v>
      </c>
      <c r="J40" s="8">
        <f t="shared" si="4"/>
        <v>0.18410479464000237</v>
      </c>
      <c r="K40" s="8">
        <f t="shared" si="5"/>
        <v>0.12721641309624163</v>
      </c>
      <c r="L40" s="86">
        <f t="shared" si="23"/>
        <v>167.44446034938269</v>
      </c>
      <c r="M40" s="86">
        <f t="shared" si="6"/>
        <v>59.656846197438306</v>
      </c>
      <c r="P40" s="8">
        <f t="shared" si="27"/>
        <v>0.54512511608871006</v>
      </c>
      <c r="Q40" s="8">
        <v>0</v>
      </c>
      <c r="R40" s="8">
        <f t="shared" si="24"/>
        <v>3.7435894886073622E-2</v>
      </c>
      <c r="S40" s="8">
        <f t="shared" si="25"/>
        <v>0.50768922120263649</v>
      </c>
      <c r="T40" s="8">
        <f t="shared" si="26"/>
        <v>0.50768922120263649</v>
      </c>
      <c r="U40" s="8">
        <f t="shared" si="15"/>
        <v>0.34780480818952858</v>
      </c>
      <c r="V40" s="8">
        <f t="shared" si="7"/>
        <v>0.18087870880999601</v>
      </c>
      <c r="W40" s="8">
        <f t="shared" si="16"/>
        <v>0.12391534426160387</v>
      </c>
      <c r="Y40" s="8">
        <f t="shared" si="8"/>
        <v>9.0549573984921583E-3</v>
      </c>
      <c r="Z40" s="5">
        <f t="shared" si="9"/>
        <v>1.4747272850456889E-2</v>
      </c>
      <c r="AA40" s="304">
        <f t="shared" si="10"/>
        <v>3.0084436614932048E-3</v>
      </c>
      <c r="AB40" s="380">
        <f t="shared" si="17"/>
        <v>3.0441803037181074E-4</v>
      </c>
      <c r="AC40" s="304">
        <f t="shared" si="11"/>
        <v>8.0020564779774526E-4</v>
      </c>
      <c r="AD40" s="14">
        <f t="shared" si="12"/>
        <v>8.6991499123018308</v>
      </c>
      <c r="AE40" s="14">
        <f t="shared" si="13"/>
        <v>48.403358499551977</v>
      </c>
    </row>
    <row r="41" spans="2:31" x14ac:dyDescent="0.25">
      <c r="B41" s="5">
        <v>31</v>
      </c>
      <c r="C41" s="5">
        <f t="shared" si="18"/>
        <v>81</v>
      </c>
      <c r="D41" s="8">
        <f t="shared" si="19"/>
        <v>0.51674417860112865</v>
      </c>
      <c r="E41" s="8">
        <v>0</v>
      </c>
      <c r="F41" s="8">
        <f t="shared" si="20"/>
        <v>3.9275864736428828E-2</v>
      </c>
      <c r="G41" s="8">
        <f t="shared" si="21"/>
        <v>0.47746831386469979</v>
      </c>
      <c r="H41" s="8">
        <f t="shared" si="22"/>
        <v>0.47746831386469979</v>
      </c>
      <c r="I41" s="8">
        <f t="shared" si="14"/>
        <v>0.32993060488050752</v>
      </c>
      <c r="J41" s="8">
        <f t="shared" si="4"/>
        <v>0.16435908403543623</v>
      </c>
      <c r="K41" s="8">
        <f t="shared" si="5"/>
        <v>0.11357212706848642</v>
      </c>
      <c r="L41" s="86">
        <f t="shared" si="23"/>
        <v>155.83275345554139</v>
      </c>
      <c r="M41" s="86">
        <f t="shared" si="6"/>
        <v>53.642363015382351</v>
      </c>
      <c r="P41" s="8">
        <f t="shared" si="27"/>
        <v>0.50768922120263649</v>
      </c>
      <c r="Q41" s="8">
        <v>0</v>
      </c>
      <c r="R41" s="8">
        <f t="shared" si="24"/>
        <v>3.8863981432543077E-2</v>
      </c>
      <c r="S41" s="8">
        <f t="shared" si="25"/>
        <v>0.46882523977009338</v>
      </c>
      <c r="T41" s="8">
        <f t="shared" si="26"/>
        <v>0.46882523977009338</v>
      </c>
      <c r="U41" s="8">
        <f t="shared" si="15"/>
        <v>0.32108664224820704</v>
      </c>
      <c r="V41" s="8">
        <f t="shared" si="7"/>
        <v>0.16138387562853351</v>
      </c>
      <c r="W41" s="8">
        <f t="shared" si="16"/>
        <v>0.1105277667302621</v>
      </c>
      <c r="Y41" s="8">
        <f t="shared" si="8"/>
        <v>8.6430740946064066E-3</v>
      </c>
      <c r="Z41" s="5">
        <f t="shared" si="9"/>
        <v>1.4076462906507036E-2</v>
      </c>
      <c r="AA41" s="304">
        <f t="shared" si="10"/>
        <v>2.8715984329274347E-3</v>
      </c>
      <c r="AB41" s="380">
        <f t="shared" si="17"/>
        <v>2.8128031178811574E-4</v>
      </c>
      <c r="AC41" s="304">
        <f t="shared" si="11"/>
        <v>7.3938489724885773E-4</v>
      </c>
      <c r="AD41" s="14">
        <f t="shared" si="12"/>
        <v>8.0379588444062247</v>
      </c>
      <c r="AE41" s="14">
        <f t="shared" si="13"/>
        <v>46.201632490185901</v>
      </c>
    </row>
    <row r="42" spans="2:31" x14ac:dyDescent="0.25">
      <c r="B42" s="5">
        <v>32</v>
      </c>
      <c r="C42" s="5">
        <f t="shared" si="18"/>
        <v>82</v>
      </c>
      <c r="D42" s="8">
        <f t="shared" si="19"/>
        <v>0.47746831386469979</v>
      </c>
      <c r="E42" s="8">
        <v>0</v>
      </c>
      <c r="F42" s="8">
        <f t="shared" ref="F42:F73" si="28">D42*VLOOKUP(C42,LifeTable,4,TRUE)</f>
        <v>4.1330552501216915E-2</v>
      </c>
      <c r="G42" s="8">
        <f t="shared" si="21"/>
        <v>0.43613776136348287</v>
      </c>
      <c r="H42" s="8">
        <f t="shared" si="22"/>
        <v>0.43613776136348287</v>
      </c>
      <c r="I42" s="8">
        <f t="shared" si="14"/>
        <v>0.30137119310216665</v>
      </c>
      <c r="J42" s="8">
        <f t="shared" ref="J42:J73" si="29">H42/((1+DiscRate)^B42)</f>
        <v>0.14505493096429597</v>
      </c>
      <c r="K42" s="8">
        <f t="shared" ref="K42:K73" si="30">I42/((1+DiscRate)^B42)</f>
        <v>0.10023295729632851</v>
      </c>
      <c r="L42" s="86">
        <f t="shared" si="23"/>
        <v>143.44161210378758</v>
      </c>
      <c r="M42" s="86">
        <f t="shared" ref="M42:M73" si="31">L42/((1+DiscRate)^B42)</f>
        <v>47.707203971686091</v>
      </c>
      <c r="P42" s="8">
        <f t="shared" si="27"/>
        <v>0.46882523977009338</v>
      </c>
      <c r="Q42" s="8">
        <v>0</v>
      </c>
      <c r="R42" s="8">
        <f t="shared" ref="R42:R73" si="32">P42*VLOOKUP(C42,LifeTableQOF,6,TRUE)</f>
        <v>4.0834673007298115E-2</v>
      </c>
      <c r="S42" s="8">
        <f t="shared" si="25"/>
        <v>0.42799056676279529</v>
      </c>
      <c r="T42" s="8">
        <f t="shared" si="26"/>
        <v>0.42799056676279529</v>
      </c>
      <c r="U42" s="8">
        <f t="shared" si="15"/>
        <v>0.29303463555124559</v>
      </c>
      <c r="V42" s="8">
        <f t="shared" ref="V42:V73" si="33">T42/((1+DiscRate)^B42)</f>
        <v>0.14234525788609054</v>
      </c>
      <c r="W42" s="8">
        <f t="shared" ref="W42:W73" si="34">U42/((1+DiscRate)^B42)</f>
        <v>9.7460304049684005E-2</v>
      </c>
      <c r="Y42" s="8">
        <f t="shared" ref="Y42:Y73" si="35">QOF_Ending-NonQOF_Ending</f>
        <v>8.1471946006875795E-3</v>
      </c>
      <c r="Z42" s="5">
        <f t="shared" ref="Z42:Z73" si="36">delta_death*NFCVDMult</f>
        <v>1.3268853342381957E-2</v>
      </c>
      <c r="AA42" s="304">
        <f t="shared" ref="AA42:AA73" si="37">IF(C42&gt;40,delta_prevalence*(1-uCVD),0)</f>
        <v>2.7068460818459187E-3</v>
      </c>
      <c r="AB42" s="380">
        <f t="shared" si="17"/>
        <v>2.569321605991577E-4</v>
      </c>
      <c r="AC42" s="304">
        <f t="shared" ref="AC42:AC73" si="38">AB42+(AB42*NFCVDMult)</f>
        <v>6.7538235419632958E-4</v>
      </c>
      <c r="AD42" s="14">
        <f t="shared" ref="AD42:AD73" si="39">AC42*cCVDacute</f>
        <v>7.3421780556617557</v>
      </c>
      <c r="AE42" s="14">
        <f t="shared" ref="AE42:AE73" si="40">IF(C42&gt;40,Z42*cCVDchronic,0)</f>
        <v>43.550904070334227</v>
      </c>
    </row>
    <row r="43" spans="2:31" x14ac:dyDescent="0.25">
      <c r="B43" s="5">
        <v>33</v>
      </c>
      <c r="C43" s="5">
        <f t="shared" si="18"/>
        <v>83</v>
      </c>
      <c r="D43" s="8">
        <f t="shared" si="19"/>
        <v>0.43613776136348287</v>
      </c>
      <c r="E43" s="8">
        <v>0</v>
      </c>
      <c r="F43" s="8">
        <f t="shared" si="28"/>
        <v>4.2390791336264902E-2</v>
      </c>
      <c r="G43" s="8">
        <f t="shared" si="21"/>
        <v>0.39374697002721798</v>
      </c>
      <c r="H43" s="8">
        <f t="shared" si="22"/>
        <v>0.39374697002721798</v>
      </c>
      <c r="I43" s="8">
        <f t="shared" ref="I43:I74" si="41">(H43*(VLOOKUP(C43,TableUtil,2,TRUE))*(1-pCVD)+(H43*((MIN((VLOOKUP(C43,TableUtil,2,TRUE)),uCVD))*pCVD)))</f>
        <v>0.27207915628880758</v>
      </c>
      <c r="J43" s="8">
        <f t="shared" si="29"/>
        <v>0.12652771983203542</v>
      </c>
      <c r="K43" s="8">
        <f t="shared" si="30"/>
        <v>8.7430654403936464E-2</v>
      </c>
      <c r="L43" s="86">
        <f t="shared" si="23"/>
        <v>130.60234553456655</v>
      </c>
      <c r="M43" s="86">
        <f t="shared" si="31"/>
        <v>41.968112120487</v>
      </c>
      <c r="P43" s="8">
        <f t="shared" si="27"/>
        <v>0.42799056676279529</v>
      </c>
      <c r="Q43" s="8">
        <v>0</v>
      </c>
      <c r="R43" s="8">
        <f t="shared" si="32"/>
        <v>4.1826543965721372E-2</v>
      </c>
      <c r="S43" s="8">
        <f t="shared" si="25"/>
        <v>0.3861640227970739</v>
      </c>
      <c r="T43" s="8">
        <f t="shared" si="26"/>
        <v>0.3861640227970739</v>
      </c>
      <c r="U43" s="8">
        <f t="shared" ref="U43:U74" si="42">(T43*(VLOOKUP(C43,TableUtil,2,TRUE))*(1-pCVD)+(T43*((MIN((VLOOKUP(C43,TableUtil,2,TRUE)),uCVD))*pCVD)))-AA43</f>
        <v>0.26431996075119785</v>
      </c>
      <c r="V43" s="8">
        <f t="shared" si="33"/>
        <v>0.12409099499178977</v>
      </c>
      <c r="W43" s="8">
        <f t="shared" si="34"/>
        <v>8.4937293454297152E-2</v>
      </c>
      <c r="Y43" s="8">
        <f t="shared" si="35"/>
        <v>7.582947230144077E-3</v>
      </c>
      <c r="Z43" s="5">
        <f t="shared" si="36"/>
        <v>1.2349897066569601E-2</v>
      </c>
      <c r="AA43" s="304">
        <f t="shared" si="37"/>
        <v>2.5193790015801982E-3</v>
      </c>
      <c r="AB43" s="380">
        <f t="shared" ref="AB43:AB74" si="43">((VLOOKUP(C43,LifeTableQOF,6,TRUE))-(VLOOKUP(C43,LifeTable,4,TRUE)))*D43</f>
        <v>2.3195941443407208E-4</v>
      </c>
      <c r="AC43" s="304">
        <f t="shared" si="38"/>
        <v>6.0973797532063129E-4</v>
      </c>
      <c r="AD43" s="14">
        <f t="shared" si="39"/>
        <v>6.628548635135628</v>
      </c>
      <c r="AE43" s="14">
        <f t="shared" si="40"/>
        <v>40.53471453382744</v>
      </c>
    </row>
    <row r="44" spans="2:31" x14ac:dyDescent="0.25">
      <c r="B44" s="5">
        <v>34</v>
      </c>
      <c r="C44" s="5">
        <f t="shared" si="18"/>
        <v>84</v>
      </c>
      <c r="D44" s="8">
        <f t="shared" si="19"/>
        <v>0.39374697002721798</v>
      </c>
      <c r="E44" s="8">
        <v>0</v>
      </c>
      <c r="F44" s="8">
        <f t="shared" si="28"/>
        <v>4.32596900755636E-2</v>
      </c>
      <c r="G44" s="8">
        <f t="shared" si="21"/>
        <v>0.35048727995165441</v>
      </c>
      <c r="H44" s="8">
        <f t="shared" si="22"/>
        <v>0.35048727995165441</v>
      </c>
      <c r="I44" s="8">
        <f t="shared" si="41"/>
        <v>0.24218671044659318</v>
      </c>
      <c r="J44" s="8">
        <f t="shared" si="29"/>
        <v>0.10881790689118083</v>
      </c>
      <c r="K44" s="8">
        <f t="shared" si="30"/>
        <v>7.5193173661805945E-2</v>
      </c>
      <c r="L44" s="86">
        <f t="shared" ref="L44:L75" si="44">G44*(QOFcost+(QOFcost*CostMult))+(Y44*VLOOKUP(C44,TableCostAge,2,TRUE))-AE44-AD44</f>
        <v>116.27388610702678</v>
      </c>
      <c r="M44" s="86">
        <f t="shared" si="31"/>
        <v>36.100257087833519</v>
      </c>
      <c r="P44" s="8">
        <f t="shared" si="27"/>
        <v>0.3861640227970739</v>
      </c>
      <c r="Q44" s="8">
        <v>0</v>
      </c>
      <c r="R44" s="8">
        <f t="shared" si="32"/>
        <v>4.2629074911069702E-2</v>
      </c>
      <c r="S44" s="8">
        <f t="shared" si="25"/>
        <v>0.34353494788600419</v>
      </c>
      <c r="T44" s="8">
        <f t="shared" si="26"/>
        <v>0.34353494788600419</v>
      </c>
      <c r="U44" s="8">
        <f t="shared" si="42"/>
        <v>0.23507278728419376</v>
      </c>
      <c r="V44" s="8">
        <f t="shared" si="33"/>
        <v>0.10665937428052273</v>
      </c>
      <c r="W44" s="8">
        <f t="shared" si="34"/>
        <v>7.2984470885420524E-2</v>
      </c>
      <c r="Y44" s="8">
        <f t="shared" si="35"/>
        <v>6.952332065650213E-3</v>
      </c>
      <c r="Z44" s="5">
        <f t="shared" si="36"/>
        <v>1.1322851495270129E-2</v>
      </c>
      <c r="AA44" s="304">
        <f t="shared" si="37"/>
        <v>2.3098617050351057E-3</v>
      </c>
      <c r="AB44" s="380">
        <f t="shared" si="43"/>
        <v>2.0647479323727255E-4</v>
      </c>
      <c r="AC44" s="304">
        <f t="shared" si="38"/>
        <v>5.4274806086399561E-4</v>
      </c>
      <c r="AD44" s="14">
        <f t="shared" si="39"/>
        <v>5.9002917050897628</v>
      </c>
      <c r="AE44" s="14">
        <f t="shared" si="40"/>
        <v>37.163755341094706</v>
      </c>
    </row>
    <row r="45" spans="2:31" x14ac:dyDescent="0.25">
      <c r="B45" s="5">
        <v>35</v>
      </c>
      <c r="C45" s="5">
        <f t="shared" si="18"/>
        <v>85</v>
      </c>
      <c r="D45" s="8">
        <f t="shared" si="19"/>
        <v>0.35048727995165441</v>
      </c>
      <c r="E45" s="8">
        <v>0</v>
      </c>
      <c r="F45" s="8">
        <f t="shared" si="28"/>
        <v>4.3512075776888023E-2</v>
      </c>
      <c r="G45" s="8">
        <f t="shared" si="21"/>
        <v>0.30697520417476637</v>
      </c>
      <c r="H45" s="8">
        <f t="shared" si="22"/>
        <v>0.30697520417476637</v>
      </c>
      <c r="I45" s="8">
        <f t="shared" si="41"/>
        <v>0.21211986608476355</v>
      </c>
      <c r="J45" s="8">
        <f t="shared" si="29"/>
        <v>9.2085458355213839E-2</v>
      </c>
      <c r="K45" s="8">
        <f t="shared" si="30"/>
        <v>6.363105172345275E-2</v>
      </c>
      <c r="L45" s="86">
        <f t="shared" si="44"/>
        <v>104.55348995871748</v>
      </c>
      <c r="M45" s="86">
        <f t="shared" si="31"/>
        <v>31.363627793222147</v>
      </c>
      <c r="P45" s="8">
        <f t="shared" si="27"/>
        <v>0.34353494788600419</v>
      </c>
      <c r="Q45" s="8">
        <v>0</v>
      </c>
      <c r="R45" s="8">
        <f t="shared" si="32"/>
        <v>4.2826216284423221E-2</v>
      </c>
      <c r="S45" s="8">
        <f t="shared" si="25"/>
        <v>0.30070873160158096</v>
      </c>
      <c r="T45" s="8">
        <f t="shared" si="26"/>
        <v>0.30070873160158096</v>
      </c>
      <c r="U45" s="8">
        <f t="shared" si="42"/>
        <v>0.20570774365390623</v>
      </c>
      <c r="V45" s="8">
        <f t="shared" si="33"/>
        <v>9.0205661579042848E-2</v>
      </c>
      <c r="W45" s="8">
        <f t="shared" si="34"/>
        <v>6.1707563360076399E-2</v>
      </c>
      <c r="Y45" s="8">
        <f t="shared" si="35"/>
        <v>6.266472573185411E-3</v>
      </c>
      <c r="Z45" s="5">
        <f t="shared" si="36"/>
        <v>1.0205832758755851E-2</v>
      </c>
      <c r="AA45" s="304">
        <f t="shared" si="37"/>
        <v>2.0819898827861933E-3</v>
      </c>
      <c r="AB45" s="380">
        <f t="shared" si="43"/>
        <v>1.8084148965322853E-4</v>
      </c>
      <c r="AC45" s="304">
        <f t="shared" si="38"/>
        <v>4.7536731382147204E-4</v>
      </c>
      <c r="AD45" s="14">
        <f t="shared" si="39"/>
        <v>5.1677859781694826</v>
      </c>
      <c r="AE45" s="14">
        <f t="shared" si="40"/>
        <v>33.497487082381227</v>
      </c>
    </row>
    <row r="46" spans="2:31" x14ac:dyDescent="0.25">
      <c r="B46" s="5">
        <v>36</v>
      </c>
      <c r="C46" s="5">
        <f t="shared" si="18"/>
        <v>86</v>
      </c>
      <c r="D46" s="8">
        <f t="shared" si="19"/>
        <v>0.30697520417476637</v>
      </c>
      <c r="E46" s="8">
        <v>0</v>
      </c>
      <c r="F46" s="8">
        <f t="shared" si="28"/>
        <v>4.2499235862636264E-2</v>
      </c>
      <c r="G46" s="8">
        <f t="shared" si="21"/>
        <v>0.26447596831213011</v>
      </c>
      <c r="H46" s="8">
        <f t="shared" si="22"/>
        <v>0.26447596831213011</v>
      </c>
      <c r="I46" s="8">
        <f t="shared" si="41"/>
        <v>0.1827528941036819</v>
      </c>
      <c r="J46" s="8">
        <f t="shared" si="29"/>
        <v>7.6653788365479272E-2</v>
      </c>
      <c r="K46" s="8">
        <f t="shared" si="30"/>
        <v>5.2967767760546174E-2</v>
      </c>
      <c r="L46" s="86">
        <f t="shared" si="44"/>
        <v>90.087112929021472</v>
      </c>
      <c r="M46" s="86">
        <f t="shared" si="31"/>
        <v>26.110192668879716</v>
      </c>
      <c r="P46" s="8">
        <f t="shared" si="27"/>
        <v>0.30070873160158096</v>
      </c>
      <c r="Q46" s="8">
        <v>0</v>
      </c>
      <c r="R46" s="8">
        <f t="shared" si="32"/>
        <v>4.1784297288731766E-2</v>
      </c>
      <c r="S46" s="8">
        <f t="shared" si="25"/>
        <v>0.25892443431284917</v>
      </c>
      <c r="T46" s="8">
        <f t="shared" si="26"/>
        <v>0.25892443431284917</v>
      </c>
      <c r="U46" s="8">
        <f t="shared" si="42"/>
        <v>0.17707232736270895</v>
      </c>
      <c r="V46" s="8">
        <f t="shared" si="33"/>
        <v>7.5044772185293027E-2</v>
      </c>
      <c r="W46" s="8">
        <f t="shared" si="34"/>
        <v>5.132135367030783E-2</v>
      </c>
      <c r="Y46" s="8">
        <f t="shared" si="35"/>
        <v>5.5515339992809332E-3</v>
      </c>
      <c r="Z46" s="5">
        <f t="shared" si="36"/>
        <v>9.0414546444599671E-3</v>
      </c>
      <c r="AA46" s="304">
        <f t="shared" si="37"/>
        <v>1.844456747469833E-3</v>
      </c>
      <c r="AB46" s="380">
        <f t="shared" si="43"/>
        <v>1.5580485797091759E-4</v>
      </c>
      <c r="AC46" s="304">
        <f t="shared" si="38"/>
        <v>4.0955500287015478E-4</v>
      </c>
      <c r="AD46" s="14">
        <f t="shared" si="39"/>
        <v>4.4523309440590051</v>
      </c>
      <c r="AE46" s="14">
        <f t="shared" si="40"/>
        <v>29.675776324954651</v>
      </c>
    </row>
    <row r="47" spans="2:31" x14ac:dyDescent="0.25">
      <c r="B47" s="5">
        <v>37</v>
      </c>
      <c r="C47" s="5">
        <f t="shared" si="18"/>
        <v>87</v>
      </c>
      <c r="D47" s="8">
        <f t="shared" si="19"/>
        <v>0.26447596831213011</v>
      </c>
      <c r="E47" s="8">
        <v>0</v>
      </c>
      <c r="F47" s="8">
        <f t="shared" si="28"/>
        <v>4.1181632368672276E-2</v>
      </c>
      <c r="G47" s="8">
        <f t="shared" si="21"/>
        <v>0.22329433594345782</v>
      </c>
      <c r="H47" s="8">
        <f t="shared" si="22"/>
        <v>0.22329433594345782</v>
      </c>
      <c r="I47" s="8">
        <f t="shared" si="41"/>
        <v>0.15429638613692934</v>
      </c>
      <c r="J47" s="8">
        <f t="shared" si="29"/>
        <v>6.2529472447298534E-2</v>
      </c>
      <c r="K47" s="8">
        <f t="shared" si="30"/>
        <v>4.3207865461083288E-2</v>
      </c>
      <c r="L47" s="86">
        <f t="shared" si="44"/>
        <v>76.066835284952774</v>
      </c>
      <c r="M47" s="86">
        <f t="shared" si="31"/>
        <v>21.301118369200651</v>
      </c>
      <c r="P47" s="8">
        <f t="shared" si="27"/>
        <v>0.25892443431284917</v>
      </c>
      <c r="Q47" s="8">
        <v>0</v>
      </c>
      <c r="R47" s="8">
        <f t="shared" si="32"/>
        <v>4.0445984572019311E-2</v>
      </c>
      <c r="S47" s="8">
        <f t="shared" si="25"/>
        <v>0.21847844974082986</v>
      </c>
      <c r="T47" s="8">
        <f t="shared" si="26"/>
        <v>0.21847844974082986</v>
      </c>
      <c r="U47" s="8">
        <f t="shared" si="42"/>
        <v>0.14936856564722281</v>
      </c>
      <c r="V47" s="8">
        <f t="shared" si="33"/>
        <v>6.1180872079339345E-2</v>
      </c>
      <c r="W47" s="8">
        <f t="shared" si="34"/>
        <v>4.1827919954474636E-2</v>
      </c>
      <c r="Y47" s="8">
        <f t="shared" si="35"/>
        <v>4.8158862026279614E-3</v>
      </c>
      <c r="Z47" s="5">
        <f t="shared" si="36"/>
        <v>7.8433486455421406E-3</v>
      </c>
      <c r="AA47" s="304">
        <f t="shared" si="37"/>
        <v>1.6000431236905964E-3</v>
      </c>
      <c r="AB47" s="380">
        <f t="shared" si="43"/>
        <v>1.3154443679479316E-4</v>
      </c>
      <c r="AC47" s="304">
        <f t="shared" si="38"/>
        <v>3.4578307050670145E-4</v>
      </c>
      <c r="AD47" s="14">
        <f t="shared" si="39"/>
        <v>3.7590571570598521</v>
      </c>
      <c r="AE47" s="14">
        <f t="shared" si="40"/>
        <v>25.743364225839883</v>
      </c>
    </row>
    <row r="48" spans="2:31" x14ac:dyDescent="0.25">
      <c r="B48" s="5">
        <v>38</v>
      </c>
      <c r="C48" s="5">
        <f t="shared" si="18"/>
        <v>88</v>
      </c>
      <c r="D48" s="8">
        <f t="shared" si="19"/>
        <v>0.22329433594345782</v>
      </c>
      <c r="E48" s="8">
        <v>0</v>
      </c>
      <c r="F48" s="8">
        <f t="shared" si="28"/>
        <v>3.8852483165211449E-2</v>
      </c>
      <c r="G48" s="8">
        <f t="shared" si="21"/>
        <v>0.18444185277824637</v>
      </c>
      <c r="H48" s="8">
        <f t="shared" si="22"/>
        <v>0.18444185277824637</v>
      </c>
      <c r="I48" s="8">
        <f t="shared" si="41"/>
        <v>0.12744932026976824</v>
      </c>
      <c r="J48" s="8">
        <f t="shared" si="29"/>
        <v>4.9902945918348651E-2</v>
      </c>
      <c r="K48" s="8">
        <f t="shared" si="30"/>
        <v>3.4482935629578916E-2</v>
      </c>
      <c r="L48" s="86">
        <f t="shared" si="44"/>
        <v>62.837410123777836</v>
      </c>
      <c r="M48" s="86">
        <f t="shared" si="31"/>
        <v>17.001411728530531</v>
      </c>
      <c r="P48" s="8">
        <f t="shared" si="27"/>
        <v>0.21847844974082986</v>
      </c>
      <c r="Q48" s="8">
        <v>0</v>
      </c>
      <c r="R48" s="8">
        <f t="shared" si="32"/>
        <v>3.8120847439378658E-2</v>
      </c>
      <c r="S48" s="8">
        <f t="shared" si="25"/>
        <v>0.1803576023014512</v>
      </c>
      <c r="T48" s="8">
        <f t="shared" si="26"/>
        <v>0.1803576023014512</v>
      </c>
      <c r="U48" s="8">
        <f t="shared" si="42"/>
        <v>0.12327014070907552</v>
      </c>
      <c r="V48" s="8">
        <f t="shared" si="33"/>
        <v>4.8797903176745171E-2</v>
      </c>
      <c r="W48" s="8">
        <f t="shared" si="34"/>
        <v>3.3352208690660884E-2</v>
      </c>
      <c r="Y48" s="8">
        <f t="shared" si="35"/>
        <v>4.0842504767951704E-3</v>
      </c>
      <c r="Z48" s="5">
        <f t="shared" si="36"/>
        <v>6.6517768687610664E-3</v>
      </c>
      <c r="AA48" s="304">
        <f t="shared" si="37"/>
        <v>1.3569624812272572E-3</v>
      </c>
      <c r="AB48" s="380">
        <f t="shared" si="43"/>
        <v>1.0865613560053587E-4</v>
      </c>
      <c r="AC48" s="304">
        <f t="shared" si="38"/>
        <v>2.8561794867810764E-4</v>
      </c>
      <c r="AD48" s="14">
        <f t="shared" si="39"/>
        <v>3.104993522643805</v>
      </c>
      <c r="AE48" s="14">
        <f t="shared" si="40"/>
        <v>21.832398688391677</v>
      </c>
    </row>
    <row r="49" spans="2:31" x14ac:dyDescent="0.25">
      <c r="B49" s="5">
        <v>39</v>
      </c>
      <c r="C49" s="5">
        <f t="shared" si="18"/>
        <v>89</v>
      </c>
      <c r="D49" s="8">
        <f t="shared" si="19"/>
        <v>0.18444185277824637</v>
      </c>
      <c r="E49" s="8">
        <v>0</v>
      </c>
      <c r="F49" s="8">
        <f t="shared" si="28"/>
        <v>3.5847694289718582E-2</v>
      </c>
      <c r="G49" s="8">
        <f t="shared" si="21"/>
        <v>0.14859415848852781</v>
      </c>
      <c r="H49" s="8">
        <f t="shared" si="22"/>
        <v>0.14859415848852781</v>
      </c>
      <c r="I49" s="8">
        <f t="shared" si="41"/>
        <v>0.10267856351557271</v>
      </c>
      <c r="J49" s="8">
        <f t="shared" si="29"/>
        <v>3.8844371136651235E-2</v>
      </c>
      <c r="K49" s="8">
        <f t="shared" si="30"/>
        <v>2.6841460455426003E-2</v>
      </c>
      <c r="L49" s="86">
        <f t="shared" si="44"/>
        <v>50.629270439681157</v>
      </c>
      <c r="M49" s="86">
        <f t="shared" si="31"/>
        <v>13.235124390765982</v>
      </c>
      <c r="P49" s="8">
        <f t="shared" si="27"/>
        <v>0.1803576023014512</v>
      </c>
      <c r="Q49" s="8">
        <v>0</v>
      </c>
      <c r="R49" s="8">
        <f t="shared" si="32"/>
        <v>3.5139488313008373E-2</v>
      </c>
      <c r="S49" s="8">
        <f t="shared" si="25"/>
        <v>0.14521811398844284</v>
      </c>
      <c r="T49" s="8">
        <f t="shared" si="26"/>
        <v>0.14521811398844284</v>
      </c>
      <c r="U49" s="8">
        <f t="shared" si="42"/>
        <v>9.922405056370906E-2</v>
      </c>
      <c r="V49" s="8">
        <f t="shared" si="33"/>
        <v>3.7961830888305771E-2</v>
      </c>
      <c r="W49" s="8">
        <f t="shared" si="34"/>
        <v>2.5938407572570446E-2</v>
      </c>
      <c r="Y49" s="8">
        <f t="shared" si="35"/>
        <v>3.3760445000849681E-3</v>
      </c>
      <c r="Z49" s="5">
        <f t="shared" si="36"/>
        <v>5.4983637367888678E-3</v>
      </c>
      <c r="AA49" s="304">
        <f t="shared" si="37"/>
        <v>1.1216662023049288E-3</v>
      </c>
      <c r="AB49" s="380">
        <f t="shared" si="43"/>
        <v>8.7537978994335142E-5</v>
      </c>
      <c r="AC49" s="304">
        <f t="shared" si="38"/>
        <v>2.3010590109433243E-4</v>
      </c>
      <c r="AD49" s="14">
        <f t="shared" si="39"/>
        <v>2.5015141230680729</v>
      </c>
      <c r="AE49" s="14">
        <f t="shared" si="40"/>
        <v>18.046677091519499</v>
      </c>
    </row>
    <row r="50" spans="2:31" x14ac:dyDescent="0.25">
      <c r="B50" s="5">
        <v>40</v>
      </c>
      <c r="C50" s="5">
        <f t="shared" si="18"/>
        <v>90</v>
      </c>
      <c r="D50" s="8">
        <f t="shared" si="19"/>
        <v>0.14859415848852781</v>
      </c>
      <c r="E50" s="8">
        <v>0</v>
      </c>
      <c r="F50" s="8">
        <f t="shared" si="28"/>
        <v>3.2193745419265202E-2</v>
      </c>
      <c r="G50" s="8">
        <f t="shared" si="21"/>
        <v>0.1164004130692626</v>
      </c>
      <c r="H50" s="8">
        <f t="shared" si="22"/>
        <v>0.1164004130692626</v>
      </c>
      <c r="I50" s="8">
        <f t="shared" si="41"/>
        <v>8.0432685430860448E-2</v>
      </c>
      <c r="J50" s="8">
        <f t="shared" si="29"/>
        <v>2.9399539627773159E-2</v>
      </c>
      <c r="K50" s="8">
        <f t="shared" si="30"/>
        <v>2.0315081882791249E-2</v>
      </c>
      <c r="L50" s="86">
        <f t="shared" si="44"/>
        <v>39.663913056462469</v>
      </c>
      <c r="M50" s="86">
        <f t="shared" si="31"/>
        <v>10.018012418926245</v>
      </c>
      <c r="P50" s="8">
        <f t="shared" si="27"/>
        <v>0.14521811398844284</v>
      </c>
      <c r="Q50" s="8">
        <v>0</v>
      </c>
      <c r="R50" s="8">
        <f t="shared" si="32"/>
        <v>3.1529321159944015E-2</v>
      </c>
      <c r="S50" s="8">
        <f t="shared" si="25"/>
        <v>0.11368879282849882</v>
      </c>
      <c r="T50" s="8">
        <f t="shared" si="26"/>
        <v>0.11368879282849882</v>
      </c>
      <c r="U50" s="8">
        <f t="shared" si="42"/>
        <v>7.7658039764306491E-2</v>
      </c>
      <c r="V50" s="8">
        <f t="shared" si="33"/>
        <v>2.8714659010757048E-2</v>
      </c>
      <c r="W50" s="8">
        <f t="shared" si="34"/>
        <v>1.9614282778424301E-2</v>
      </c>
      <c r="Y50" s="8">
        <f t="shared" si="35"/>
        <v>2.7116202407637818E-3</v>
      </c>
      <c r="Z50" s="5">
        <f t="shared" si="36"/>
        <v>4.4162552950303344E-3</v>
      </c>
      <c r="AA50" s="304">
        <f t="shared" si="37"/>
        <v>9.0091608018618807E-4</v>
      </c>
      <c r="AB50" s="380">
        <f t="shared" si="43"/>
        <v>6.857239219787683E-5</v>
      </c>
      <c r="AC50" s="304">
        <f t="shared" si="38"/>
        <v>1.802521862871374E-4</v>
      </c>
      <c r="AD50" s="14">
        <f t="shared" si="39"/>
        <v>1.9595472674397973</v>
      </c>
      <c r="AE50" s="14">
        <f t="shared" si="40"/>
        <v>14.494991069774326</v>
      </c>
    </row>
    <row r="51" spans="2:31" x14ac:dyDescent="0.25">
      <c r="B51" s="5">
        <v>41</v>
      </c>
      <c r="C51" s="5">
        <f t="shared" si="18"/>
        <v>91</v>
      </c>
      <c r="D51" s="8">
        <f t="shared" si="19"/>
        <v>0.1164004130692626</v>
      </c>
      <c r="E51" s="8">
        <v>0</v>
      </c>
      <c r="F51" s="8">
        <f t="shared" si="28"/>
        <v>2.7650126601794462E-2</v>
      </c>
      <c r="G51" s="8">
        <f t="shared" si="21"/>
        <v>8.8750286467468145E-2</v>
      </c>
      <c r="H51" s="8">
        <f t="shared" si="22"/>
        <v>8.8750286467468145E-2</v>
      </c>
      <c r="I51" s="8">
        <f t="shared" si="41"/>
        <v>6.1326447949020486E-2</v>
      </c>
      <c r="J51" s="8">
        <f t="shared" si="29"/>
        <v>2.1657854015521855E-2</v>
      </c>
      <c r="K51" s="8">
        <f t="shared" si="30"/>
        <v>1.49655771247256E-2</v>
      </c>
      <c r="L51" s="86">
        <f t="shared" si="44"/>
        <v>30.244880636757156</v>
      </c>
      <c r="M51" s="86">
        <f t="shared" si="31"/>
        <v>7.3806996644216802</v>
      </c>
      <c r="P51" s="8">
        <f t="shared" si="27"/>
        <v>0.11368879282849882</v>
      </c>
      <c r="Q51" s="8">
        <v>0</v>
      </c>
      <c r="R51" s="8">
        <f t="shared" si="32"/>
        <v>2.7057065162901052E-2</v>
      </c>
      <c r="S51" s="8">
        <f t="shared" si="25"/>
        <v>8.6631727665597763E-2</v>
      </c>
      <c r="T51" s="8">
        <f t="shared" si="26"/>
        <v>8.6631727665597763E-2</v>
      </c>
      <c r="U51" s="8">
        <f t="shared" si="42"/>
        <v>5.9158648081405654E-2</v>
      </c>
      <c r="V51" s="8">
        <f t="shared" si="33"/>
        <v>2.1140859208175215E-2</v>
      </c>
      <c r="W51" s="8">
        <f t="shared" si="34"/>
        <v>1.4436565952633448E-2</v>
      </c>
      <c r="Y51" s="8">
        <f t="shared" si="35"/>
        <v>2.1185588018703821E-3</v>
      </c>
      <c r="Z51" s="5">
        <f t="shared" si="36"/>
        <v>3.4503712525607438E-3</v>
      </c>
      <c r="AA51" s="304">
        <f t="shared" si="37"/>
        <v>7.0387573552239166E-4</v>
      </c>
      <c r="AB51" s="380">
        <f t="shared" si="43"/>
        <v>5.2283486723528656E-5</v>
      </c>
      <c r="AC51" s="304">
        <f t="shared" si="38"/>
        <v>1.3743450514946975E-4</v>
      </c>
      <c r="AD51" s="14">
        <f t="shared" si="39"/>
        <v>1.4940701389806212</v>
      </c>
      <c r="AE51" s="14">
        <f t="shared" si="40"/>
        <v>11.324775664476277</v>
      </c>
    </row>
    <row r="52" spans="2:31" x14ac:dyDescent="0.25">
      <c r="B52" s="5">
        <v>42</v>
      </c>
      <c r="C52" s="5">
        <f t="shared" si="18"/>
        <v>92</v>
      </c>
      <c r="D52" s="8">
        <f t="shared" si="19"/>
        <v>8.8750286467468145E-2</v>
      </c>
      <c r="E52" s="8">
        <v>0</v>
      </c>
      <c r="F52" s="8">
        <f t="shared" si="28"/>
        <v>2.3568634793401766E-2</v>
      </c>
      <c r="G52" s="8">
        <f t="shared" si="21"/>
        <v>6.5181651674066379E-2</v>
      </c>
      <c r="H52" s="8">
        <f t="shared" si="22"/>
        <v>6.5181651674066379E-2</v>
      </c>
      <c r="I52" s="8">
        <f t="shared" si="41"/>
        <v>4.5040521306779865E-2</v>
      </c>
      <c r="J52" s="8">
        <f t="shared" si="29"/>
        <v>1.5368471277573624E-2</v>
      </c>
      <c r="K52" s="8">
        <f t="shared" si="30"/>
        <v>1.0619613652803372E-2</v>
      </c>
      <c r="L52" s="86">
        <f t="shared" si="44"/>
        <v>22.215112644952303</v>
      </c>
      <c r="M52" s="86">
        <f t="shared" si="31"/>
        <v>5.2378593030935532</v>
      </c>
      <c r="P52" s="8">
        <f t="shared" si="27"/>
        <v>8.6631727665597763E-2</v>
      </c>
      <c r="Q52" s="8">
        <v>0</v>
      </c>
      <c r="R52" s="8">
        <f t="shared" si="32"/>
        <v>2.3043510119370711E-2</v>
      </c>
      <c r="S52" s="8">
        <f t="shared" si="25"/>
        <v>6.3588217546227052E-2</v>
      </c>
      <c r="T52" s="8">
        <f t="shared" si="26"/>
        <v>6.3588217546227052E-2</v>
      </c>
      <c r="U52" s="8">
        <f t="shared" si="42"/>
        <v>4.3410051438143964E-2</v>
      </c>
      <c r="V52" s="8">
        <f t="shared" si="33"/>
        <v>1.4992772810329236E-2</v>
      </c>
      <c r="W52" s="8">
        <f t="shared" si="34"/>
        <v>1.0235182931864005E-2</v>
      </c>
      <c r="Y52" s="8">
        <f t="shared" si="35"/>
        <v>1.5934341278393271E-3</v>
      </c>
      <c r="Z52" s="5">
        <f t="shared" si="36"/>
        <v>2.595131795582982E-3</v>
      </c>
      <c r="AA52" s="304">
        <f t="shared" si="37"/>
        <v>5.2940688629892819E-4</v>
      </c>
      <c r="AB52" s="380">
        <f t="shared" si="43"/>
        <v>3.8399019941962906E-5</v>
      </c>
      <c r="AC52" s="304">
        <f t="shared" si="38"/>
        <v>1.0093722960472287E-4</v>
      </c>
      <c r="AD52" s="14">
        <f t="shared" si="39"/>
        <v>1.0973030426371715</v>
      </c>
      <c r="AE52" s="14">
        <f t="shared" si="40"/>
        <v>8.517716863921553</v>
      </c>
    </row>
    <row r="53" spans="2:31" x14ac:dyDescent="0.25">
      <c r="B53" s="5">
        <v>43</v>
      </c>
      <c r="C53" s="5">
        <f t="shared" si="18"/>
        <v>93</v>
      </c>
      <c r="D53" s="8">
        <f t="shared" si="19"/>
        <v>6.5181651674066379E-2</v>
      </c>
      <c r="E53" s="8">
        <v>0</v>
      </c>
      <c r="F53" s="8">
        <f t="shared" si="28"/>
        <v>1.9303518441072802E-2</v>
      </c>
      <c r="G53" s="8">
        <f t="shared" si="21"/>
        <v>4.5878133232993577E-2</v>
      </c>
      <c r="H53" s="8">
        <f t="shared" si="22"/>
        <v>4.5878133232993577E-2</v>
      </c>
      <c r="I53" s="8">
        <f t="shared" si="41"/>
        <v>3.1701790063998557E-2</v>
      </c>
      <c r="J53" s="8">
        <f t="shared" si="29"/>
        <v>1.0451309217700952E-2</v>
      </c>
      <c r="K53" s="8">
        <f t="shared" si="30"/>
        <v>7.2218546694313565E-3</v>
      </c>
      <c r="L53" s="86">
        <f t="shared" si="44"/>
        <v>15.637593382251486</v>
      </c>
      <c r="M53" s="86">
        <f t="shared" si="31"/>
        <v>3.5623359614172392</v>
      </c>
      <c r="P53" s="8">
        <f t="shared" si="27"/>
        <v>6.3588217546227052E-2</v>
      </c>
      <c r="Q53" s="8">
        <v>0</v>
      </c>
      <c r="R53" s="8">
        <f t="shared" si="32"/>
        <v>1.8857990060276789E-2</v>
      </c>
      <c r="S53" s="8">
        <f t="shared" si="25"/>
        <v>4.4730227485950264E-2</v>
      </c>
      <c r="T53" s="8">
        <f t="shared" si="26"/>
        <v>4.4730227485950264E-2</v>
      </c>
      <c r="U53" s="8">
        <f t="shared" si="42"/>
        <v>3.0527203866873482E-2</v>
      </c>
      <c r="V53" s="8">
        <f t="shared" si="33"/>
        <v>1.0189809521229042E-2</v>
      </c>
      <c r="W53" s="8">
        <f t="shared" si="34"/>
        <v>6.9542770091404783E-3</v>
      </c>
      <c r="Y53" s="8">
        <f t="shared" si="35"/>
        <v>1.1479057470433138E-3</v>
      </c>
      <c r="Z53" s="5">
        <f t="shared" si="36"/>
        <v>1.8695261074419018E-3</v>
      </c>
      <c r="AA53" s="304">
        <f t="shared" si="37"/>
        <v>3.8138332591814789E-4</v>
      </c>
      <c r="AB53" s="380">
        <f t="shared" si="43"/>
        <v>2.7027166505736022E-5</v>
      </c>
      <c r="AC53" s="304">
        <f t="shared" si="38"/>
        <v>7.104471195561193E-5</v>
      </c>
      <c r="AD53" s="14">
        <f t="shared" si="39"/>
        <v>0.77233721291402235</v>
      </c>
      <c r="AE53" s="14">
        <f t="shared" si="40"/>
        <v>6.1361407848352627</v>
      </c>
    </row>
    <row r="54" spans="2:31" x14ac:dyDescent="0.25">
      <c r="B54" s="5">
        <v>44</v>
      </c>
      <c r="C54" s="5">
        <f t="shared" si="18"/>
        <v>94</v>
      </c>
      <c r="D54" s="8">
        <f t="shared" si="19"/>
        <v>4.5878133232993577E-2</v>
      </c>
      <c r="E54" s="8">
        <v>0</v>
      </c>
      <c r="F54" s="8">
        <f t="shared" si="28"/>
        <v>1.4650799912497334E-2</v>
      </c>
      <c r="G54" s="8">
        <f t="shared" si="21"/>
        <v>3.1227333320496244E-2</v>
      </c>
      <c r="H54" s="8">
        <f t="shared" si="22"/>
        <v>3.1227333320496244E-2</v>
      </c>
      <c r="I54" s="8">
        <f t="shared" si="41"/>
        <v>2.1578087324462904E-2</v>
      </c>
      <c r="J54" s="8">
        <f t="shared" si="29"/>
        <v>6.8732083344709097E-3</v>
      </c>
      <c r="K54" s="8">
        <f t="shared" si="30"/>
        <v>4.7493869591193989E-3</v>
      </c>
      <c r="L54" s="86">
        <f t="shared" si="44"/>
        <v>10.644862794528759</v>
      </c>
      <c r="M54" s="86">
        <f t="shared" si="31"/>
        <v>2.3429589368949579</v>
      </c>
      <c r="P54" s="8">
        <f t="shared" si="27"/>
        <v>4.4730227485950264E-2</v>
      </c>
      <c r="Q54" s="8">
        <v>0</v>
      </c>
      <c r="R54" s="8">
        <f t="shared" si="32"/>
        <v>1.4302161745829666E-2</v>
      </c>
      <c r="S54" s="8">
        <f t="shared" si="25"/>
        <v>3.0428065740120597E-2</v>
      </c>
      <c r="T54" s="8">
        <f t="shared" si="26"/>
        <v>3.0428065740120597E-2</v>
      </c>
      <c r="U54" s="8">
        <f t="shared" si="42"/>
        <v>2.0760242592753088E-2</v>
      </c>
      <c r="V54" s="8">
        <f t="shared" si="33"/>
        <v>6.6972876902542432E-3</v>
      </c>
      <c r="W54" s="8">
        <f t="shared" si="34"/>
        <v>4.5693774409002585E-3</v>
      </c>
      <c r="Y54" s="8">
        <f t="shared" si="35"/>
        <v>7.9926758037564619E-4</v>
      </c>
      <c r="Z54" s="5">
        <f t="shared" si="36"/>
        <v>1.3017197728933461E-3</v>
      </c>
      <c r="AA54" s="304">
        <f t="shared" si="37"/>
        <v>2.6555083367024257E-4</v>
      </c>
      <c r="AB54" s="380">
        <f t="shared" si="43"/>
        <v>1.8396265883288583E-5</v>
      </c>
      <c r="AC54" s="304">
        <f t="shared" si="38"/>
        <v>4.8357174639809556E-5</v>
      </c>
      <c r="AD54" s="14">
        <f t="shared" si="39"/>
        <v>0.52569775367717531</v>
      </c>
      <c r="AE54" s="14">
        <f t="shared" si="40"/>
        <v>4.2724922412593704</v>
      </c>
    </row>
    <row r="55" spans="2:31" x14ac:dyDescent="0.25">
      <c r="B55" s="5">
        <v>45</v>
      </c>
      <c r="C55" s="5">
        <f t="shared" si="18"/>
        <v>95</v>
      </c>
      <c r="D55" s="8">
        <f t="shared" si="19"/>
        <v>3.1227333320496244E-2</v>
      </c>
      <c r="E55" s="8">
        <v>0</v>
      </c>
      <c r="F55" s="8">
        <f t="shared" si="28"/>
        <v>1.0841782724793105E-2</v>
      </c>
      <c r="G55" s="8">
        <f t="shared" si="21"/>
        <v>2.0385550595703138E-2</v>
      </c>
      <c r="H55" s="8">
        <f t="shared" si="22"/>
        <v>2.0385550595703138E-2</v>
      </c>
      <c r="I55" s="8">
        <f t="shared" si="41"/>
        <v>1.4086415461630867E-2</v>
      </c>
      <c r="J55" s="8">
        <f t="shared" si="29"/>
        <v>4.3351757151549094E-3</v>
      </c>
      <c r="K55" s="8">
        <f t="shared" si="30"/>
        <v>2.9956064191720422E-3</v>
      </c>
      <c r="L55" s="86">
        <f t="shared" si="44"/>
        <v>6.9497403336194719</v>
      </c>
      <c r="M55" s="86">
        <f t="shared" si="31"/>
        <v>1.4779265038487683</v>
      </c>
      <c r="P55" s="8">
        <f t="shared" si="27"/>
        <v>3.0428065740120597E-2</v>
      </c>
      <c r="Q55" s="8">
        <v>0</v>
      </c>
      <c r="R55" s="8">
        <f t="shared" si="32"/>
        <v>1.057598782053196E-2</v>
      </c>
      <c r="S55" s="8">
        <f t="shared" si="25"/>
        <v>1.9852077919588637E-2</v>
      </c>
      <c r="T55" s="8">
        <f t="shared" si="26"/>
        <v>1.9852077919588637E-2</v>
      </c>
      <c r="U55" s="8">
        <f t="shared" si="42"/>
        <v>1.3540543430306482E-2</v>
      </c>
      <c r="V55" s="8">
        <f t="shared" si="33"/>
        <v>4.2217278208077367E-3</v>
      </c>
      <c r="W55" s="8">
        <f t="shared" si="34"/>
        <v>2.8795216873581976E-3</v>
      </c>
      <c r="Y55" s="8">
        <f t="shared" si="35"/>
        <v>5.334726761145013E-4</v>
      </c>
      <c r="Z55" s="5">
        <f t="shared" si="36"/>
        <v>8.6883535357483107E-4</v>
      </c>
      <c r="AA55" s="304">
        <f t="shared" si="37"/>
        <v>1.7724241212926551E-4</v>
      </c>
      <c r="AB55" s="380">
        <f t="shared" si="43"/>
        <v>1.200928702707072E-5</v>
      </c>
      <c r="AC55" s="304">
        <f t="shared" si="38"/>
        <v>3.1568101578440754E-5</v>
      </c>
      <c r="AD55" s="14">
        <f t="shared" si="39"/>
        <v>0.34318134198802636</v>
      </c>
      <c r="AE55" s="14">
        <f t="shared" si="40"/>
        <v>2.8516831228808956</v>
      </c>
    </row>
    <row r="56" spans="2:31" x14ac:dyDescent="0.25">
      <c r="B56" s="5">
        <v>46</v>
      </c>
      <c r="C56" s="5">
        <f t="shared" si="18"/>
        <v>96</v>
      </c>
      <c r="D56" s="8">
        <f t="shared" si="19"/>
        <v>2.0385550595703138E-2</v>
      </c>
      <c r="E56" s="8">
        <v>0</v>
      </c>
      <c r="F56" s="8">
        <f t="shared" si="28"/>
        <v>7.5522018026704238E-3</v>
      </c>
      <c r="G56" s="8">
        <f t="shared" si="21"/>
        <v>1.2833348793032714E-2</v>
      </c>
      <c r="H56" s="8">
        <f t="shared" si="22"/>
        <v>1.2833348793032714E-2</v>
      </c>
      <c r="I56" s="8">
        <f t="shared" si="41"/>
        <v>8.8678440159856049E-3</v>
      </c>
      <c r="J56" s="8">
        <f t="shared" si="29"/>
        <v>2.6368407851420357E-3</v>
      </c>
      <c r="K56" s="8">
        <f t="shared" si="30"/>
        <v>1.8220569825331465E-3</v>
      </c>
      <c r="L56" s="86">
        <f t="shared" si="44"/>
        <v>4.3754937261199398</v>
      </c>
      <c r="M56" s="86">
        <f t="shared" si="31"/>
        <v>0.89902335689885604</v>
      </c>
      <c r="P56" s="8">
        <f t="shared" si="27"/>
        <v>1.9852077919588637E-2</v>
      </c>
      <c r="Q56" s="8">
        <v>0</v>
      </c>
      <c r="R56" s="8">
        <f t="shared" si="32"/>
        <v>7.3619294284793116E-3</v>
      </c>
      <c r="S56" s="8">
        <f t="shared" si="25"/>
        <v>1.2490148491109326E-2</v>
      </c>
      <c r="T56" s="8">
        <f t="shared" si="26"/>
        <v>1.2490148491109326E-2</v>
      </c>
      <c r="U56" s="8">
        <f t="shared" si="42"/>
        <v>8.5166668060738231E-3</v>
      </c>
      <c r="V56" s="8">
        <f t="shared" si="33"/>
        <v>2.5663241516288905E-3</v>
      </c>
      <c r="W56" s="8">
        <f t="shared" si="34"/>
        <v>1.7499013507614534E-3</v>
      </c>
      <c r="Y56" s="8">
        <f t="shared" si="35"/>
        <v>3.4320030192338744E-4</v>
      </c>
      <c r="Z56" s="5">
        <f t="shared" si="36"/>
        <v>5.5895000628784699E-4</v>
      </c>
      <c r="AA56" s="304">
        <f t="shared" si="37"/>
        <v>1.1402580128272076E-4</v>
      </c>
      <c r="AB56" s="380">
        <f t="shared" si="43"/>
        <v>7.5602259772406384E-6</v>
      </c>
      <c r="AC56" s="304">
        <f t="shared" si="38"/>
        <v>1.9873118284834009E-5</v>
      </c>
      <c r="AD56" s="14">
        <f t="shared" si="39"/>
        <v>0.21604350789132834</v>
      </c>
      <c r="AE56" s="14">
        <f t="shared" si="40"/>
        <v>1.8345803873045781</v>
      </c>
    </row>
    <row r="57" spans="2:31" x14ac:dyDescent="0.25">
      <c r="B57" s="5">
        <v>47</v>
      </c>
      <c r="C57" s="5">
        <f t="shared" si="18"/>
        <v>97</v>
      </c>
      <c r="D57" s="8">
        <f t="shared" si="19"/>
        <v>1.2833348793032714E-2</v>
      </c>
      <c r="E57" s="8">
        <v>0</v>
      </c>
      <c r="F57" s="8">
        <f t="shared" si="28"/>
        <v>5.2209662644393529E-3</v>
      </c>
      <c r="G57" s="8">
        <f t="shared" si="21"/>
        <v>7.6123825285933609E-3</v>
      </c>
      <c r="H57" s="8">
        <f t="shared" si="22"/>
        <v>7.6123825285933609E-3</v>
      </c>
      <c r="I57" s="8">
        <f t="shared" si="41"/>
        <v>5.2601563272580117E-3</v>
      </c>
      <c r="J57" s="8">
        <f t="shared" si="29"/>
        <v>1.5112077201567464E-3</v>
      </c>
      <c r="K57" s="8">
        <f t="shared" si="30"/>
        <v>1.0442445346283116E-3</v>
      </c>
      <c r="L57" s="86">
        <f t="shared" si="44"/>
        <v>2.5956646260744392</v>
      </c>
      <c r="M57" s="86">
        <f t="shared" si="31"/>
        <v>0.51529050295719903</v>
      </c>
      <c r="P57" s="8">
        <f t="shared" si="27"/>
        <v>1.2490148491109326E-2</v>
      </c>
      <c r="Q57" s="8">
        <v>0</v>
      </c>
      <c r="R57" s="8">
        <f t="shared" si="32"/>
        <v>5.0857073401559131E-3</v>
      </c>
      <c r="S57" s="8">
        <f t="shared" si="25"/>
        <v>7.4044411509534133E-3</v>
      </c>
      <c r="T57" s="8">
        <f t="shared" si="26"/>
        <v>7.4044411509534133E-3</v>
      </c>
      <c r="U57" s="8">
        <f t="shared" si="42"/>
        <v>5.0473818267241805E-3</v>
      </c>
      <c r="V57" s="8">
        <f t="shared" si="33"/>
        <v>1.4699272650496665E-3</v>
      </c>
      <c r="W57" s="8">
        <f t="shared" si="34"/>
        <v>1.0020046095258303E-3</v>
      </c>
      <c r="Y57" s="8">
        <f t="shared" si="35"/>
        <v>2.0794137763994764E-4</v>
      </c>
      <c r="Z57" s="5">
        <f t="shared" si="36"/>
        <v>3.3866180678739045E-4</v>
      </c>
      <c r="AA57" s="304">
        <f t="shared" si="37"/>
        <v>6.9087008584627635E-5</v>
      </c>
      <c r="AB57" s="380">
        <f t="shared" si="43"/>
        <v>4.4845139853615622E-6</v>
      </c>
      <c r="AC57" s="304">
        <f t="shared" si="38"/>
        <v>1.1788176325598477E-5</v>
      </c>
      <c r="AD57" s="14">
        <f t="shared" si="39"/>
        <v>0.12815094886077041</v>
      </c>
      <c r="AE57" s="14">
        <f t="shared" si="40"/>
        <v>1.1115525568870321</v>
      </c>
    </row>
    <row r="58" spans="2:31" x14ac:dyDescent="0.25">
      <c r="B58" s="5">
        <v>48</v>
      </c>
      <c r="C58" s="5">
        <f t="shared" si="18"/>
        <v>98</v>
      </c>
      <c r="D58" s="8">
        <f t="shared" si="19"/>
        <v>7.6123825285933609E-3</v>
      </c>
      <c r="E58" s="8">
        <v>0</v>
      </c>
      <c r="F58" s="8">
        <f t="shared" si="28"/>
        <v>3.3764892081087116E-3</v>
      </c>
      <c r="G58" s="8">
        <f t="shared" si="21"/>
        <v>4.2358933204846494E-3</v>
      </c>
      <c r="H58" s="8">
        <f t="shared" si="22"/>
        <v>4.2358933204846494E-3</v>
      </c>
      <c r="I58" s="8">
        <f t="shared" si="41"/>
        <v>2.9270022844548925E-3</v>
      </c>
      <c r="J58" s="8">
        <f t="shared" si="29"/>
        <v>8.1247166516332789E-4</v>
      </c>
      <c r="K58" s="8">
        <f t="shared" si="30"/>
        <v>5.6141792062785946E-4</v>
      </c>
      <c r="L58" s="86">
        <f t="shared" si="44"/>
        <v>1.4444877662235158</v>
      </c>
      <c r="M58" s="86">
        <f t="shared" si="31"/>
        <v>0.27706207213863399</v>
      </c>
      <c r="P58" s="8">
        <f t="shared" si="27"/>
        <v>7.4044411509534133E-3</v>
      </c>
      <c r="Q58" s="8">
        <v>0</v>
      </c>
      <c r="R58" s="8">
        <f t="shared" si="32"/>
        <v>3.2866835804252858E-3</v>
      </c>
      <c r="S58" s="8">
        <f t="shared" si="25"/>
        <v>4.1177575705281279E-3</v>
      </c>
      <c r="T58" s="8">
        <f t="shared" si="26"/>
        <v>4.1177575705281279E-3</v>
      </c>
      <c r="U58" s="8">
        <f t="shared" si="42"/>
        <v>2.8061207385236537E-3</v>
      </c>
      <c r="V58" s="8">
        <f t="shared" si="33"/>
        <v>7.8981246621270091E-4</v>
      </c>
      <c r="W58" s="8">
        <f t="shared" si="34"/>
        <v>5.3823206029579768E-4</v>
      </c>
      <c r="Y58" s="8">
        <f t="shared" si="35"/>
        <v>1.1813574995652148E-4</v>
      </c>
      <c r="Z58" s="5">
        <f t="shared" si="36"/>
        <v>1.9240069956511145E-4</v>
      </c>
      <c r="AA58" s="304">
        <f t="shared" si="37"/>
        <v>3.924974271128273E-5</v>
      </c>
      <c r="AB58" s="380">
        <f t="shared" si="43"/>
        <v>2.4953978291113068E-6</v>
      </c>
      <c r="AC58" s="304">
        <f t="shared" si="38"/>
        <v>6.5595044876882163E-6</v>
      </c>
      <c r="AD58" s="14">
        <f t="shared" si="39"/>
        <v>7.1309310357728264E-2</v>
      </c>
      <c r="AE58" s="14">
        <f t="shared" si="40"/>
        <v>0.63149574372499384</v>
      </c>
    </row>
    <row r="59" spans="2:31" x14ac:dyDescent="0.25">
      <c r="B59" s="5">
        <v>49</v>
      </c>
      <c r="C59" s="5">
        <f t="shared" si="18"/>
        <v>99</v>
      </c>
      <c r="D59" s="8">
        <f t="shared" si="19"/>
        <v>4.2358933204846494E-3</v>
      </c>
      <c r="E59" s="8">
        <v>0</v>
      </c>
      <c r="F59" s="8">
        <f t="shared" si="28"/>
        <v>2.010008685623065E-3</v>
      </c>
      <c r="G59" s="8">
        <f t="shared" si="21"/>
        <v>2.2258846348615843E-3</v>
      </c>
      <c r="H59" s="8">
        <f t="shared" si="22"/>
        <v>2.2258846348615843E-3</v>
      </c>
      <c r="I59" s="8">
        <f t="shared" si="41"/>
        <v>1.5380862826893547E-3</v>
      </c>
      <c r="J59" s="8">
        <f t="shared" si="29"/>
        <v>4.1250148061395132E-4</v>
      </c>
      <c r="K59" s="8">
        <f t="shared" si="30"/>
        <v>2.8503852310424036E-4</v>
      </c>
      <c r="L59" s="86">
        <f t="shared" si="44"/>
        <v>0.75912336186807394</v>
      </c>
      <c r="M59" s="86">
        <f t="shared" si="31"/>
        <v>0.14068092561261303</v>
      </c>
      <c r="P59" s="8">
        <f t="shared" si="27"/>
        <v>4.1177575705281279E-3</v>
      </c>
      <c r="Q59" s="8">
        <v>0</v>
      </c>
      <c r="R59" s="8">
        <f t="shared" si="32"/>
        <v>1.9552258315685316E-3</v>
      </c>
      <c r="S59" s="8">
        <f t="shared" si="25"/>
        <v>2.1625317389595963E-3</v>
      </c>
      <c r="T59" s="8">
        <f t="shared" si="26"/>
        <v>2.1625317389595963E-3</v>
      </c>
      <c r="U59" s="8">
        <f t="shared" si="42"/>
        <v>1.4732608932651399E-3</v>
      </c>
      <c r="V59" s="8">
        <f t="shared" si="33"/>
        <v>4.0076090657365442E-4</v>
      </c>
      <c r="W59" s="8">
        <f t="shared" si="34"/>
        <v>2.7302506620712337E-4</v>
      </c>
      <c r="Y59" s="8">
        <f t="shared" si="35"/>
        <v>6.3352895901988039E-5</v>
      </c>
      <c r="Z59" s="5">
        <f t="shared" si="36"/>
        <v>1.0317910958794654E-4</v>
      </c>
      <c r="AA59" s="304">
        <f t="shared" si="37"/>
        <v>2.1048538355941091E-5</v>
      </c>
      <c r="AB59" s="380">
        <f t="shared" si="43"/>
        <v>1.3112860181873268E-6</v>
      </c>
      <c r="AC59" s="304">
        <f t="shared" si="38"/>
        <v>3.446899897322512E-6</v>
      </c>
      <c r="AD59" s="14">
        <f t="shared" si="39"/>
        <v>3.7471741198064075E-2</v>
      </c>
      <c r="AE59" s="14">
        <f t="shared" si="40"/>
        <v>0.33865349083137158</v>
      </c>
    </row>
    <row r="60" spans="2:31" x14ac:dyDescent="0.25">
      <c r="B60" s="5">
        <v>50</v>
      </c>
      <c r="C60" s="5">
        <f t="shared" si="18"/>
        <v>100</v>
      </c>
      <c r="D60" s="8">
        <f t="shared" si="19"/>
        <v>2.2258846348615843E-3</v>
      </c>
      <c r="E60" s="8">
        <v>0</v>
      </c>
      <c r="F60" s="8">
        <f t="shared" si="28"/>
        <v>1.1301637086151368E-3</v>
      </c>
      <c r="G60" s="8">
        <f t="shared" si="21"/>
        <v>1.0957209262464475E-3</v>
      </c>
      <c r="H60" s="8">
        <f t="shared" si="22"/>
        <v>1.0957209262464475E-3</v>
      </c>
      <c r="I60" s="8">
        <f t="shared" si="41"/>
        <v>7.5714316003629514E-4</v>
      </c>
      <c r="J60" s="8">
        <f t="shared" si="29"/>
        <v>1.9619252938565275E-4</v>
      </c>
      <c r="K60" s="8">
        <f t="shared" si="30"/>
        <v>1.3556903780548603E-4</v>
      </c>
      <c r="L60" s="86">
        <f t="shared" si="44"/>
        <v>0.37372356654373018</v>
      </c>
      <c r="M60" s="86">
        <f t="shared" si="31"/>
        <v>6.6916465730390132E-2</v>
      </c>
      <c r="P60" s="8">
        <f t="shared" si="27"/>
        <v>2.1625317389595963E-3</v>
      </c>
      <c r="Q60" s="8">
        <v>0</v>
      </c>
      <c r="R60" s="8">
        <f t="shared" si="32"/>
        <v>1.0986242328911407E-3</v>
      </c>
      <c r="S60" s="8">
        <f t="shared" si="25"/>
        <v>1.0639075060684556E-3</v>
      </c>
      <c r="T60" s="8">
        <f t="shared" si="26"/>
        <v>1.0639075060684556E-3</v>
      </c>
      <c r="U60" s="8">
        <f t="shared" si="42"/>
        <v>7.2459030949028269E-4</v>
      </c>
      <c r="V60" s="8">
        <f t="shared" si="33"/>
        <v>1.90496229147498E-4</v>
      </c>
      <c r="W60" s="8">
        <f t="shared" si="34"/>
        <v>1.2974034006470853E-4</v>
      </c>
      <c r="Y60" s="8">
        <f t="shared" si="35"/>
        <v>3.1813420177991903E-5</v>
      </c>
      <c r="Z60" s="5">
        <f t="shared" si="36"/>
        <v>5.18126333481373E-5</v>
      </c>
      <c r="AA60" s="304">
        <f t="shared" si="37"/>
        <v>1.0569777203020006E-5</v>
      </c>
      <c r="AB60" s="380">
        <f t="shared" si="43"/>
        <v>6.4549775308193202E-7</v>
      </c>
      <c r="AC60" s="304">
        <f t="shared" si="38"/>
        <v>1.696781715018768E-6</v>
      </c>
      <c r="AD60" s="14">
        <f t="shared" si="39"/>
        <v>1.8445956421356886E-2</v>
      </c>
      <c r="AE60" s="14">
        <f t="shared" si="40"/>
        <v>0.1700589317216053</v>
      </c>
    </row>
    <row r="61" spans="2:31" x14ac:dyDescent="0.25">
      <c r="B61" s="5">
        <v>51</v>
      </c>
      <c r="C61" s="5">
        <f t="shared" si="18"/>
        <v>101</v>
      </c>
      <c r="D61" s="8">
        <f t="shared" si="19"/>
        <v>1.0957209262464475E-3</v>
      </c>
      <c r="E61" s="8">
        <v>0</v>
      </c>
      <c r="F61" s="8">
        <f t="shared" si="28"/>
        <v>1.0957209262464475E-3</v>
      </c>
      <c r="G61" s="8">
        <f t="shared" si="21"/>
        <v>0</v>
      </c>
      <c r="H61" s="8">
        <f t="shared" si="22"/>
        <v>0</v>
      </c>
      <c r="I61" s="8">
        <f t="shared" si="41"/>
        <v>0</v>
      </c>
      <c r="J61" s="8">
        <f t="shared" si="29"/>
        <v>0</v>
      </c>
      <c r="K61" s="8">
        <f t="shared" si="30"/>
        <v>0</v>
      </c>
      <c r="L61" s="86">
        <f t="shared" si="44"/>
        <v>0</v>
      </c>
      <c r="M61" s="86">
        <f t="shared" si="31"/>
        <v>0</v>
      </c>
      <c r="P61" s="8">
        <f t="shared" si="27"/>
        <v>1.0639075060684556E-3</v>
      </c>
      <c r="Q61" s="8">
        <v>0</v>
      </c>
      <c r="R61" s="8">
        <f t="shared" si="32"/>
        <v>1.0639075060684556E-3</v>
      </c>
      <c r="S61" s="8">
        <f t="shared" si="25"/>
        <v>0</v>
      </c>
      <c r="T61" s="8">
        <f t="shared" si="26"/>
        <v>0</v>
      </c>
      <c r="U61" s="8">
        <f t="shared" si="42"/>
        <v>0</v>
      </c>
      <c r="V61" s="8">
        <f t="shared" si="33"/>
        <v>0</v>
      </c>
      <c r="W61" s="8">
        <f t="shared" si="34"/>
        <v>0</v>
      </c>
      <c r="Y61" s="8">
        <f t="shared" si="35"/>
        <v>0</v>
      </c>
      <c r="Z61" s="5">
        <f t="shared" si="36"/>
        <v>0</v>
      </c>
      <c r="AA61" s="304">
        <f t="shared" si="37"/>
        <v>0</v>
      </c>
      <c r="AB61" s="380">
        <f t="shared" si="43"/>
        <v>0</v>
      </c>
      <c r="AC61" s="304">
        <f t="shared" si="38"/>
        <v>0</v>
      </c>
      <c r="AD61" s="14">
        <f t="shared" si="39"/>
        <v>0</v>
      </c>
      <c r="AE61" s="14">
        <f t="shared" si="40"/>
        <v>0</v>
      </c>
    </row>
    <row r="62" spans="2:31" x14ac:dyDescent="0.25">
      <c r="B62" s="5">
        <v>52</v>
      </c>
      <c r="C62" s="5">
        <f t="shared" si="18"/>
        <v>102</v>
      </c>
      <c r="D62" s="8">
        <f t="shared" si="19"/>
        <v>0</v>
      </c>
      <c r="E62" s="8">
        <v>0</v>
      </c>
      <c r="F62" s="8">
        <f t="shared" si="28"/>
        <v>0</v>
      </c>
      <c r="G62" s="8">
        <f t="shared" si="21"/>
        <v>0</v>
      </c>
      <c r="H62" s="8">
        <f t="shared" si="22"/>
        <v>0</v>
      </c>
      <c r="I62" s="8">
        <f t="shared" si="41"/>
        <v>0</v>
      </c>
      <c r="J62" s="8">
        <f t="shared" si="29"/>
        <v>0</v>
      </c>
      <c r="K62" s="8">
        <f t="shared" si="30"/>
        <v>0</v>
      </c>
      <c r="L62" s="86">
        <f t="shared" si="44"/>
        <v>0</v>
      </c>
      <c r="M62" s="86">
        <f t="shared" si="31"/>
        <v>0</v>
      </c>
      <c r="P62" s="8">
        <f t="shared" si="27"/>
        <v>0</v>
      </c>
      <c r="Q62" s="8">
        <v>0</v>
      </c>
      <c r="R62" s="8">
        <f t="shared" si="32"/>
        <v>0</v>
      </c>
      <c r="S62" s="8">
        <f t="shared" si="25"/>
        <v>0</v>
      </c>
      <c r="T62" s="8">
        <f t="shared" si="26"/>
        <v>0</v>
      </c>
      <c r="U62" s="8">
        <f t="shared" si="42"/>
        <v>0</v>
      </c>
      <c r="V62" s="8">
        <f t="shared" si="33"/>
        <v>0</v>
      </c>
      <c r="W62" s="8">
        <f t="shared" si="34"/>
        <v>0</v>
      </c>
      <c r="Y62" s="8">
        <f t="shared" si="35"/>
        <v>0</v>
      </c>
      <c r="Z62" s="5">
        <f t="shared" si="36"/>
        <v>0</v>
      </c>
      <c r="AA62" s="304">
        <f t="shared" si="37"/>
        <v>0</v>
      </c>
      <c r="AB62" s="380">
        <f t="shared" si="43"/>
        <v>0</v>
      </c>
      <c r="AC62" s="304">
        <f t="shared" si="38"/>
        <v>0</v>
      </c>
      <c r="AD62" s="14">
        <f t="shared" si="39"/>
        <v>0</v>
      </c>
      <c r="AE62" s="14">
        <f t="shared" si="40"/>
        <v>0</v>
      </c>
    </row>
    <row r="63" spans="2:31" x14ac:dyDescent="0.25">
      <c r="B63" s="5">
        <v>53</v>
      </c>
      <c r="C63" s="5">
        <f t="shared" si="18"/>
        <v>103</v>
      </c>
      <c r="D63" s="8">
        <f t="shared" si="19"/>
        <v>0</v>
      </c>
      <c r="E63" s="8">
        <v>0</v>
      </c>
      <c r="F63" s="8">
        <f t="shared" si="28"/>
        <v>0</v>
      </c>
      <c r="G63" s="8">
        <f t="shared" si="21"/>
        <v>0</v>
      </c>
      <c r="H63" s="8">
        <f t="shared" si="22"/>
        <v>0</v>
      </c>
      <c r="I63" s="8">
        <f t="shared" si="41"/>
        <v>0</v>
      </c>
      <c r="J63" s="8">
        <f t="shared" si="29"/>
        <v>0</v>
      </c>
      <c r="K63" s="8">
        <f t="shared" si="30"/>
        <v>0</v>
      </c>
      <c r="L63" s="86">
        <f t="shared" si="44"/>
        <v>0</v>
      </c>
      <c r="M63" s="86">
        <f t="shared" si="31"/>
        <v>0</v>
      </c>
      <c r="P63" s="8">
        <f t="shared" si="27"/>
        <v>0</v>
      </c>
      <c r="Q63" s="8">
        <v>0</v>
      </c>
      <c r="R63" s="8">
        <f t="shared" si="32"/>
        <v>0</v>
      </c>
      <c r="S63" s="8">
        <f t="shared" si="25"/>
        <v>0</v>
      </c>
      <c r="T63" s="8">
        <f t="shared" si="26"/>
        <v>0</v>
      </c>
      <c r="U63" s="8">
        <f t="shared" si="42"/>
        <v>0</v>
      </c>
      <c r="V63" s="8">
        <f t="shared" si="33"/>
        <v>0</v>
      </c>
      <c r="W63" s="8">
        <f t="shared" si="34"/>
        <v>0</v>
      </c>
      <c r="Y63" s="8">
        <f t="shared" si="35"/>
        <v>0</v>
      </c>
      <c r="Z63" s="5">
        <f t="shared" si="36"/>
        <v>0</v>
      </c>
      <c r="AA63" s="304">
        <f t="shared" si="37"/>
        <v>0</v>
      </c>
      <c r="AB63" s="380">
        <f t="shared" si="43"/>
        <v>0</v>
      </c>
      <c r="AC63" s="304">
        <f t="shared" si="38"/>
        <v>0</v>
      </c>
      <c r="AD63" s="14">
        <f t="shared" si="39"/>
        <v>0</v>
      </c>
      <c r="AE63" s="14">
        <f t="shared" si="40"/>
        <v>0</v>
      </c>
    </row>
    <row r="64" spans="2:31" x14ac:dyDescent="0.25">
      <c r="B64" s="5">
        <v>54</v>
      </c>
      <c r="C64" s="5">
        <f t="shared" si="18"/>
        <v>104</v>
      </c>
      <c r="D64" s="8">
        <f t="shared" si="19"/>
        <v>0</v>
      </c>
      <c r="E64" s="8">
        <v>0</v>
      </c>
      <c r="F64" s="8">
        <f t="shared" si="28"/>
        <v>0</v>
      </c>
      <c r="G64" s="8">
        <f t="shared" si="21"/>
        <v>0</v>
      </c>
      <c r="H64" s="8">
        <f t="shared" si="22"/>
        <v>0</v>
      </c>
      <c r="I64" s="8">
        <f t="shared" si="41"/>
        <v>0</v>
      </c>
      <c r="J64" s="8">
        <f t="shared" si="29"/>
        <v>0</v>
      </c>
      <c r="K64" s="8">
        <f t="shared" si="30"/>
        <v>0</v>
      </c>
      <c r="L64" s="86">
        <f t="shared" si="44"/>
        <v>0</v>
      </c>
      <c r="M64" s="86">
        <f t="shared" si="31"/>
        <v>0</v>
      </c>
      <c r="P64" s="8">
        <f t="shared" si="27"/>
        <v>0</v>
      </c>
      <c r="Q64" s="8">
        <v>0</v>
      </c>
      <c r="R64" s="8">
        <f t="shared" si="32"/>
        <v>0</v>
      </c>
      <c r="S64" s="8">
        <f t="shared" si="25"/>
        <v>0</v>
      </c>
      <c r="T64" s="8">
        <f t="shared" si="26"/>
        <v>0</v>
      </c>
      <c r="U64" s="8">
        <f t="shared" si="42"/>
        <v>0</v>
      </c>
      <c r="V64" s="8">
        <f t="shared" si="33"/>
        <v>0</v>
      </c>
      <c r="W64" s="8">
        <f t="shared" si="34"/>
        <v>0</v>
      </c>
      <c r="Y64" s="8">
        <f t="shared" si="35"/>
        <v>0</v>
      </c>
      <c r="Z64" s="5">
        <f t="shared" si="36"/>
        <v>0</v>
      </c>
      <c r="AA64" s="304">
        <f t="shared" si="37"/>
        <v>0</v>
      </c>
      <c r="AB64" s="380">
        <f t="shared" si="43"/>
        <v>0</v>
      </c>
      <c r="AC64" s="304">
        <f t="shared" si="38"/>
        <v>0</v>
      </c>
      <c r="AD64" s="14">
        <f t="shared" si="39"/>
        <v>0</v>
      </c>
      <c r="AE64" s="14">
        <f t="shared" si="40"/>
        <v>0</v>
      </c>
    </row>
    <row r="65" spans="2:31" x14ac:dyDescent="0.25">
      <c r="B65" s="5">
        <v>55</v>
      </c>
      <c r="C65" s="5">
        <f t="shared" si="18"/>
        <v>105</v>
      </c>
      <c r="D65" s="8">
        <f t="shared" si="19"/>
        <v>0</v>
      </c>
      <c r="E65" s="8">
        <v>0</v>
      </c>
      <c r="F65" s="8">
        <f t="shared" si="28"/>
        <v>0</v>
      </c>
      <c r="G65" s="8">
        <f t="shared" si="21"/>
        <v>0</v>
      </c>
      <c r="H65" s="8">
        <f t="shared" si="22"/>
        <v>0</v>
      </c>
      <c r="I65" s="8">
        <f t="shared" si="41"/>
        <v>0</v>
      </c>
      <c r="J65" s="8">
        <f t="shared" si="29"/>
        <v>0</v>
      </c>
      <c r="K65" s="8">
        <f t="shared" si="30"/>
        <v>0</v>
      </c>
      <c r="L65" s="86">
        <f t="shared" si="44"/>
        <v>0</v>
      </c>
      <c r="M65" s="86">
        <f t="shared" si="31"/>
        <v>0</v>
      </c>
      <c r="P65" s="8">
        <f t="shared" si="27"/>
        <v>0</v>
      </c>
      <c r="Q65" s="8">
        <v>0</v>
      </c>
      <c r="R65" s="8">
        <f t="shared" si="32"/>
        <v>0</v>
      </c>
      <c r="S65" s="8">
        <f t="shared" si="25"/>
        <v>0</v>
      </c>
      <c r="T65" s="8">
        <f t="shared" si="26"/>
        <v>0</v>
      </c>
      <c r="U65" s="8">
        <f t="shared" si="42"/>
        <v>0</v>
      </c>
      <c r="V65" s="8">
        <f t="shared" si="33"/>
        <v>0</v>
      </c>
      <c r="W65" s="8">
        <f t="shared" si="34"/>
        <v>0</v>
      </c>
      <c r="Y65" s="8">
        <f t="shared" si="35"/>
        <v>0</v>
      </c>
      <c r="Z65" s="5">
        <f t="shared" si="36"/>
        <v>0</v>
      </c>
      <c r="AA65" s="304">
        <f t="shared" si="37"/>
        <v>0</v>
      </c>
      <c r="AB65" s="380">
        <f t="shared" si="43"/>
        <v>0</v>
      </c>
      <c r="AC65" s="304">
        <f t="shared" si="38"/>
        <v>0</v>
      </c>
      <c r="AD65" s="14">
        <f t="shared" si="39"/>
        <v>0</v>
      </c>
      <c r="AE65" s="14">
        <f t="shared" si="40"/>
        <v>0</v>
      </c>
    </row>
    <row r="66" spans="2:31" x14ac:dyDescent="0.25">
      <c r="B66" s="5">
        <v>56</v>
      </c>
      <c r="C66" s="5">
        <f t="shared" si="18"/>
        <v>106</v>
      </c>
      <c r="D66" s="8">
        <f t="shared" si="19"/>
        <v>0</v>
      </c>
      <c r="E66" s="8">
        <v>0</v>
      </c>
      <c r="F66" s="8">
        <f t="shared" si="28"/>
        <v>0</v>
      </c>
      <c r="G66" s="8">
        <f t="shared" si="21"/>
        <v>0</v>
      </c>
      <c r="H66" s="8">
        <f t="shared" si="22"/>
        <v>0</v>
      </c>
      <c r="I66" s="8">
        <f t="shared" si="41"/>
        <v>0</v>
      </c>
      <c r="J66" s="8">
        <f t="shared" si="29"/>
        <v>0</v>
      </c>
      <c r="K66" s="8">
        <f t="shared" si="30"/>
        <v>0</v>
      </c>
      <c r="L66" s="86">
        <f t="shared" si="44"/>
        <v>0</v>
      </c>
      <c r="M66" s="86">
        <f t="shared" si="31"/>
        <v>0</v>
      </c>
      <c r="P66" s="8">
        <f t="shared" si="27"/>
        <v>0</v>
      </c>
      <c r="Q66" s="8">
        <v>0</v>
      </c>
      <c r="R66" s="8">
        <f t="shared" si="32"/>
        <v>0</v>
      </c>
      <c r="S66" s="8">
        <f t="shared" si="25"/>
        <v>0</v>
      </c>
      <c r="T66" s="8">
        <f t="shared" si="26"/>
        <v>0</v>
      </c>
      <c r="U66" s="8">
        <f t="shared" si="42"/>
        <v>0</v>
      </c>
      <c r="V66" s="8">
        <f t="shared" si="33"/>
        <v>0</v>
      </c>
      <c r="W66" s="8">
        <f t="shared" si="34"/>
        <v>0</v>
      </c>
      <c r="Y66" s="8">
        <f t="shared" si="35"/>
        <v>0</v>
      </c>
      <c r="Z66" s="5">
        <f t="shared" si="36"/>
        <v>0</v>
      </c>
      <c r="AA66" s="304">
        <f t="shared" si="37"/>
        <v>0</v>
      </c>
      <c r="AB66" s="380">
        <f t="shared" si="43"/>
        <v>0</v>
      </c>
      <c r="AC66" s="304">
        <f t="shared" si="38"/>
        <v>0</v>
      </c>
      <c r="AD66" s="14">
        <f t="shared" si="39"/>
        <v>0</v>
      </c>
      <c r="AE66" s="14">
        <f t="shared" si="40"/>
        <v>0</v>
      </c>
    </row>
    <row r="67" spans="2:31" x14ac:dyDescent="0.25">
      <c r="B67" s="5">
        <v>57</v>
      </c>
      <c r="C67" s="5">
        <f t="shared" si="18"/>
        <v>107</v>
      </c>
      <c r="D67" s="8">
        <f t="shared" si="19"/>
        <v>0</v>
      </c>
      <c r="E67" s="8">
        <v>0</v>
      </c>
      <c r="F67" s="8">
        <f t="shared" si="28"/>
        <v>0</v>
      </c>
      <c r="G67" s="8">
        <f t="shared" si="21"/>
        <v>0</v>
      </c>
      <c r="H67" s="8">
        <f t="shared" si="22"/>
        <v>0</v>
      </c>
      <c r="I67" s="8">
        <f t="shared" si="41"/>
        <v>0</v>
      </c>
      <c r="J67" s="8">
        <f t="shared" si="29"/>
        <v>0</v>
      </c>
      <c r="K67" s="8">
        <f t="shared" si="30"/>
        <v>0</v>
      </c>
      <c r="L67" s="86">
        <f t="shared" si="44"/>
        <v>0</v>
      </c>
      <c r="M67" s="86">
        <f t="shared" si="31"/>
        <v>0</v>
      </c>
      <c r="P67" s="8">
        <f t="shared" si="27"/>
        <v>0</v>
      </c>
      <c r="Q67" s="8">
        <v>0</v>
      </c>
      <c r="R67" s="8">
        <f t="shared" si="32"/>
        <v>0</v>
      </c>
      <c r="S67" s="8">
        <f t="shared" si="25"/>
        <v>0</v>
      </c>
      <c r="T67" s="8">
        <f t="shared" si="26"/>
        <v>0</v>
      </c>
      <c r="U67" s="8">
        <f t="shared" si="42"/>
        <v>0</v>
      </c>
      <c r="V67" s="8">
        <f t="shared" si="33"/>
        <v>0</v>
      </c>
      <c r="W67" s="8">
        <f t="shared" si="34"/>
        <v>0</v>
      </c>
      <c r="Y67" s="8">
        <f t="shared" si="35"/>
        <v>0</v>
      </c>
      <c r="Z67" s="5">
        <f t="shared" si="36"/>
        <v>0</v>
      </c>
      <c r="AA67" s="304">
        <f t="shared" si="37"/>
        <v>0</v>
      </c>
      <c r="AB67" s="380">
        <f t="shared" si="43"/>
        <v>0</v>
      </c>
      <c r="AC67" s="304">
        <f t="shared" si="38"/>
        <v>0</v>
      </c>
      <c r="AD67" s="14">
        <f t="shared" si="39"/>
        <v>0</v>
      </c>
      <c r="AE67" s="14">
        <f t="shared" si="40"/>
        <v>0</v>
      </c>
    </row>
    <row r="68" spans="2:31" x14ac:dyDescent="0.25">
      <c r="B68" s="5">
        <v>58</v>
      </c>
      <c r="C68" s="5">
        <f t="shared" si="18"/>
        <v>108</v>
      </c>
      <c r="D68" s="8">
        <f t="shared" si="19"/>
        <v>0</v>
      </c>
      <c r="E68" s="8">
        <v>0</v>
      </c>
      <c r="F68" s="8">
        <f t="shared" si="28"/>
        <v>0</v>
      </c>
      <c r="G68" s="8">
        <f t="shared" si="21"/>
        <v>0</v>
      </c>
      <c r="H68" s="8">
        <f t="shared" si="22"/>
        <v>0</v>
      </c>
      <c r="I68" s="8">
        <f t="shared" si="41"/>
        <v>0</v>
      </c>
      <c r="J68" s="8">
        <f t="shared" si="29"/>
        <v>0</v>
      </c>
      <c r="K68" s="8">
        <f t="shared" si="30"/>
        <v>0</v>
      </c>
      <c r="L68" s="86">
        <f t="shared" si="44"/>
        <v>0</v>
      </c>
      <c r="M68" s="86">
        <f t="shared" si="31"/>
        <v>0</v>
      </c>
      <c r="P68" s="8">
        <f t="shared" si="27"/>
        <v>0</v>
      </c>
      <c r="Q68" s="8">
        <v>0</v>
      </c>
      <c r="R68" s="8">
        <f t="shared" si="32"/>
        <v>0</v>
      </c>
      <c r="S68" s="8">
        <f t="shared" si="25"/>
        <v>0</v>
      </c>
      <c r="T68" s="8">
        <f t="shared" si="26"/>
        <v>0</v>
      </c>
      <c r="U68" s="8">
        <f t="shared" si="42"/>
        <v>0</v>
      </c>
      <c r="V68" s="8">
        <f t="shared" si="33"/>
        <v>0</v>
      </c>
      <c r="W68" s="8">
        <f t="shared" si="34"/>
        <v>0</v>
      </c>
      <c r="Y68" s="8">
        <f t="shared" si="35"/>
        <v>0</v>
      </c>
      <c r="Z68" s="5">
        <f t="shared" si="36"/>
        <v>0</v>
      </c>
      <c r="AA68" s="304">
        <f t="shared" si="37"/>
        <v>0</v>
      </c>
      <c r="AB68" s="380">
        <f t="shared" si="43"/>
        <v>0</v>
      </c>
      <c r="AC68" s="304">
        <f t="shared" si="38"/>
        <v>0</v>
      </c>
      <c r="AD68" s="14">
        <f t="shared" si="39"/>
        <v>0</v>
      </c>
      <c r="AE68" s="14">
        <f t="shared" si="40"/>
        <v>0</v>
      </c>
    </row>
    <row r="69" spans="2:31" x14ac:dyDescent="0.25">
      <c r="B69" s="5">
        <v>59</v>
      </c>
      <c r="C69" s="5">
        <f t="shared" si="18"/>
        <v>109</v>
      </c>
      <c r="D69" s="8">
        <f t="shared" si="19"/>
        <v>0</v>
      </c>
      <c r="E69" s="8">
        <v>0</v>
      </c>
      <c r="F69" s="8">
        <f t="shared" si="28"/>
        <v>0</v>
      </c>
      <c r="G69" s="8">
        <f t="shared" si="21"/>
        <v>0</v>
      </c>
      <c r="H69" s="8">
        <f t="shared" si="22"/>
        <v>0</v>
      </c>
      <c r="I69" s="8">
        <f t="shared" si="41"/>
        <v>0</v>
      </c>
      <c r="J69" s="8">
        <f t="shared" si="29"/>
        <v>0</v>
      </c>
      <c r="K69" s="8">
        <f t="shared" si="30"/>
        <v>0</v>
      </c>
      <c r="L69" s="86">
        <f t="shared" si="44"/>
        <v>0</v>
      </c>
      <c r="M69" s="86">
        <f t="shared" si="31"/>
        <v>0</v>
      </c>
      <c r="P69" s="8">
        <f t="shared" si="27"/>
        <v>0</v>
      </c>
      <c r="Q69" s="8">
        <v>0</v>
      </c>
      <c r="R69" s="8">
        <f t="shared" si="32"/>
        <v>0</v>
      </c>
      <c r="S69" s="8">
        <f t="shared" si="25"/>
        <v>0</v>
      </c>
      <c r="T69" s="8">
        <f t="shared" si="26"/>
        <v>0</v>
      </c>
      <c r="U69" s="8">
        <f t="shared" si="42"/>
        <v>0</v>
      </c>
      <c r="V69" s="8">
        <f t="shared" si="33"/>
        <v>0</v>
      </c>
      <c r="W69" s="8">
        <f t="shared" si="34"/>
        <v>0</v>
      </c>
      <c r="Y69" s="8">
        <f t="shared" si="35"/>
        <v>0</v>
      </c>
      <c r="Z69" s="5">
        <f t="shared" si="36"/>
        <v>0</v>
      </c>
      <c r="AA69" s="304">
        <f t="shared" si="37"/>
        <v>0</v>
      </c>
      <c r="AB69" s="380">
        <f t="shared" si="43"/>
        <v>0</v>
      </c>
      <c r="AC69" s="304">
        <f t="shared" si="38"/>
        <v>0</v>
      </c>
      <c r="AD69" s="14">
        <f t="shared" si="39"/>
        <v>0</v>
      </c>
      <c r="AE69" s="14">
        <f t="shared" si="40"/>
        <v>0</v>
      </c>
    </row>
    <row r="70" spans="2:31" x14ac:dyDescent="0.25">
      <c r="B70" s="5">
        <v>60</v>
      </c>
      <c r="C70" s="5">
        <f t="shared" si="18"/>
        <v>110</v>
      </c>
      <c r="D70" s="8">
        <f t="shared" si="19"/>
        <v>0</v>
      </c>
      <c r="E70" s="8">
        <v>0</v>
      </c>
      <c r="F70" s="8">
        <f t="shared" si="28"/>
        <v>0</v>
      </c>
      <c r="G70" s="8">
        <f t="shared" si="21"/>
        <v>0</v>
      </c>
      <c r="H70" s="8">
        <f t="shared" si="22"/>
        <v>0</v>
      </c>
      <c r="I70" s="8">
        <f t="shared" si="41"/>
        <v>0</v>
      </c>
      <c r="J70" s="8">
        <f t="shared" si="29"/>
        <v>0</v>
      </c>
      <c r="K70" s="8">
        <f t="shared" si="30"/>
        <v>0</v>
      </c>
      <c r="L70" s="86">
        <f t="shared" si="44"/>
        <v>0</v>
      </c>
      <c r="M70" s="86">
        <f t="shared" si="31"/>
        <v>0</v>
      </c>
      <c r="P70" s="8">
        <f t="shared" si="27"/>
        <v>0</v>
      </c>
      <c r="Q70" s="8">
        <v>0</v>
      </c>
      <c r="R70" s="8">
        <f t="shared" si="32"/>
        <v>0</v>
      </c>
      <c r="S70" s="8">
        <f t="shared" si="25"/>
        <v>0</v>
      </c>
      <c r="T70" s="8">
        <f t="shared" si="26"/>
        <v>0</v>
      </c>
      <c r="U70" s="8">
        <f t="shared" si="42"/>
        <v>0</v>
      </c>
      <c r="V70" s="8">
        <f t="shared" si="33"/>
        <v>0</v>
      </c>
      <c r="W70" s="8">
        <f t="shared" si="34"/>
        <v>0</v>
      </c>
      <c r="Y70" s="8">
        <f t="shared" si="35"/>
        <v>0</v>
      </c>
      <c r="Z70" s="5">
        <f t="shared" si="36"/>
        <v>0</v>
      </c>
      <c r="AA70" s="304">
        <f t="shared" si="37"/>
        <v>0</v>
      </c>
      <c r="AB70" s="380">
        <f t="shared" si="43"/>
        <v>0</v>
      </c>
      <c r="AC70" s="304">
        <f t="shared" si="38"/>
        <v>0</v>
      </c>
      <c r="AD70" s="14">
        <f t="shared" si="39"/>
        <v>0</v>
      </c>
      <c r="AE70" s="14">
        <f t="shared" si="40"/>
        <v>0</v>
      </c>
    </row>
    <row r="71" spans="2:31" x14ac:dyDescent="0.25">
      <c r="B71" s="5">
        <v>61</v>
      </c>
      <c r="C71" s="5">
        <f t="shared" si="18"/>
        <v>111</v>
      </c>
      <c r="D71" s="8">
        <f t="shared" si="19"/>
        <v>0</v>
      </c>
      <c r="E71" s="8">
        <v>0</v>
      </c>
      <c r="F71" s="8">
        <f t="shared" si="28"/>
        <v>0</v>
      </c>
      <c r="G71" s="8">
        <f t="shared" si="21"/>
        <v>0</v>
      </c>
      <c r="H71" s="8">
        <f t="shared" si="22"/>
        <v>0</v>
      </c>
      <c r="I71" s="8">
        <f t="shared" si="41"/>
        <v>0</v>
      </c>
      <c r="J71" s="8">
        <f t="shared" si="29"/>
        <v>0</v>
      </c>
      <c r="K71" s="8">
        <f t="shared" si="30"/>
        <v>0</v>
      </c>
      <c r="L71" s="86">
        <f t="shared" si="44"/>
        <v>0</v>
      </c>
      <c r="M71" s="86">
        <f t="shared" si="31"/>
        <v>0</v>
      </c>
      <c r="P71" s="8">
        <f t="shared" si="27"/>
        <v>0</v>
      </c>
      <c r="Q71" s="8">
        <v>0</v>
      </c>
      <c r="R71" s="8">
        <f t="shared" si="32"/>
        <v>0</v>
      </c>
      <c r="S71" s="8">
        <f t="shared" si="25"/>
        <v>0</v>
      </c>
      <c r="T71" s="8">
        <f t="shared" si="26"/>
        <v>0</v>
      </c>
      <c r="U71" s="8">
        <f t="shared" si="42"/>
        <v>0</v>
      </c>
      <c r="V71" s="8">
        <f t="shared" si="33"/>
        <v>0</v>
      </c>
      <c r="W71" s="8">
        <f t="shared" si="34"/>
        <v>0</v>
      </c>
      <c r="Y71" s="8">
        <f t="shared" si="35"/>
        <v>0</v>
      </c>
      <c r="Z71" s="5">
        <f t="shared" si="36"/>
        <v>0</v>
      </c>
      <c r="AA71" s="304">
        <f t="shared" si="37"/>
        <v>0</v>
      </c>
      <c r="AB71" s="380">
        <f t="shared" si="43"/>
        <v>0</v>
      </c>
      <c r="AC71" s="304">
        <f t="shared" si="38"/>
        <v>0</v>
      </c>
      <c r="AD71" s="14">
        <f t="shared" si="39"/>
        <v>0</v>
      </c>
      <c r="AE71" s="14">
        <f t="shared" si="40"/>
        <v>0</v>
      </c>
    </row>
    <row r="72" spans="2:31" x14ac:dyDescent="0.25">
      <c r="B72" s="5">
        <v>62</v>
      </c>
      <c r="C72" s="5">
        <f t="shared" si="18"/>
        <v>112</v>
      </c>
      <c r="D72" s="8">
        <f t="shared" si="19"/>
        <v>0</v>
      </c>
      <c r="E72" s="8">
        <v>0</v>
      </c>
      <c r="F72" s="8">
        <f t="shared" si="28"/>
        <v>0</v>
      </c>
      <c r="G72" s="8">
        <f t="shared" si="21"/>
        <v>0</v>
      </c>
      <c r="H72" s="8">
        <f t="shared" si="22"/>
        <v>0</v>
      </c>
      <c r="I72" s="8">
        <f t="shared" si="41"/>
        <v>0</v>
      </c>
      <c r="J72" s="8">
        <f t="shared" si="29"/>
        <v>0</v>
      </c>
      <c r="K72" s="8">
        <f t="shared" si="30"/>
        <v>0</v>
      </c>
      <c r="L72" s="86">
        <f t="shared" si="44"/>
        <v>0</v>
      </c>
      <c r="M72" s="86">
        <f t="shared" si="31"/>
        <v>0</v>
      </c>
      <c r="P72" s="8">
        <f t="shared" si="27"/>
        <v>0</v>
      </c>
      <c r="Q72" s="8">
        <v>0</v>
      </c>
      <c r="R72" s="8">
        <f t="shared" si="32"/>
        <v>0</v>
      </c>
      <c r="S72" s="8">
        <f t="shared" si="25"/>
        <v>0</v>
      </c>
      <c r="T72" s="8">
        <f t="shared" si="26"/>
        <v>0</v>
      </c>
      <c r="U72" s="8">
        <f t="shared" si="42"/>
        <v>0</v>
      </c>
      <c r="V72" s="8">
        <f t="shared" si="33"/>
        <v>0</v>
      </c>
      <c r="W72" s="8">
        <f t="shared" si="34"/>
        <v>0</v>
      </c>
      <c r="Y72" s="8">
        <f t="shared" si="35"/>
        <v>0</v>
      </c>
      <c r="Z72" s="5">
        <f t="shared" si="36"/>
        <v>0</v>
      </c>
      <c r="AA72" s="304">
        <f t="shared" si="37"/>
        <v>0</v>
      </c>
      <c r="AB72" s="380">
        <f t="shared" si="43"/>
        <v>0</v>
      </c>
      <c r="AC72" s="304">
        <f t="shared" si="38"/>
        <v>0</v>
      </c>
      <c r="AD72" s="14">
        <f t="shared" si="39"/>
        <v>0</v>
      </c>
      <c r="AE72" s="14">
        <f t="shared" si="40"/>
        <v>0</v>
      </c>
    </row>
    <row r="73" spans="2:31" x14ac:dyDescent="0.25">
      <c r="B73" s="5">
        <v>63</v>
      </c>
      <c r="C73" s="5">
        <f t="shared" si="18"/>
        <v>113</v>
      </c>
      <c r="D73" s="8">
        <f t="shared" si="19"/>
        <v>0</v>
      </c>
      <c r="E73" s="8">
        <v>0</v>
      </c>
      <c r="F73" s="8">
        <f t="shared" si="28"/>
        <v>0</v>
      </c>
      <c r="G73" s="8">
        <f t="shared" si="21"/>
        <v>0</v>
      </c>
      <c r="H73" s="8">
        <f t="shared" si="22"/>
        <v>0</v>
      </c>
      <c r="I73" s="8">
        <f t="shared" si="41"/>
        <v>0</v>
      </c>
      <c r="J73" s="8">
        <f t="shared" si="29"/>
        <v>0</v>
      </c>
      <c r="K73" s="8">
        <f t="shared" si="30"/>
        <v>0</v>
      </c>
      <c r="L73" s="86">
        <f t="shared" si="44"/>
        <v>0</v>
      </c>
      <c r="M73" s="86">
        <f t="shared" si="31"/>
        <v>0</v>
      </c>
      <c r="P73" s="8">
        <f t="shared" si="27"/>
        <v>0</v>
      </c>
      <c r="Q73" s="8">
        <v>0</v>
      </c>
      <c r="R73" s="8">
        <f t="shared" si="32"/>
        <v>0</v>
      </c>
      <c r="S73" s="8">
        <f t="shared" si="25"/>
        <v>0</v>
      </c>
      <c r="T73" s="8">
        <f t="shared" si="26"/>
        <v>0</v>
      </c>
      <c r="U73" s="8">
        <f t="shared" si="42"/>
        <v>0</v>
      </c>
      <c r="V73" s="8">
        <f t="shared" si="33"/>
        <v>0</v>
      </c>
      <c r="W73" s="8">
        <f t="shared" si="34"/>
        <v>0</v>
      </c>
      <c r="Y73" s="8">
        <f t="shared" si="35"/>
        <v>0</v>
      </c>
      <c r="Z73" s="5">
        <f t="shared" si="36"/>
        <v>0</v>
      </c>
      <c r="AA73" s="304">
        <f t="shared" si="37"/>
        <v>0</v>
      </c>
      <c r="AB73" s="380">
        <f t="shared" si="43"/>
        <v>0</v>
      </c>
      <c r="AC73" s="304">
        <f t="shared" si="38"/>
        <v>0</v>
      </c>
      <c r="AD73" s="14">
        <f t="shared" si="39"/>
        <v>0</v>
      </c>
      <c r="AE73" s="14">
        <f t="shared" si="40"/>
        <v>0</v>
      </c>
    </row>
    <row r="74" spans="2:31" x14ac:dyDescent="0.25">
      <c r="B74" s="5">
        <v>64</v>
      </c>
      <c r="C74" s="5">
        <f t="shared" si="18"/>
        <v>114</v>
      </c>
      <c r="D74" s="8">
        <f t="shared" si="19"/>
        <v>0</v>
      </c>
      <c r="E74" s="8">
        <v>0</v>
      </c>
      <c r="F74" s="8">
        <f t="shared" ref="F74:F110" si="45">D74*VLOOKUP(C74,LifeTable,4,TRUE)</f>
        <v>0</v>
      </c>
      <c r="G74" s="8">
        <f t="shared" si="21"/>
        <v>0</v>
      </c>
      <c r="H74" s="8">
        <f t="shared" si="22"/>
        <v>0</v>
      </c>
      <c r="I74" s="8">
        <f t="shared" si="41"/>
        <v>0</v>
      </c>
      <c r="J74" s="8">
        <f t="shared" ref="J74:J110" si="46">H74/((1+DiscRate)^B74)</f>
        <v>0</v>
      </c>
      <c r="K74" s="8">
        <f t="shared" ref="K74:K110" si="47">I74/((1+DiscRate)^B74)</f>
        <v>0</v>
      </c>
      <c r="L74" s="86">
        <f t="shared" si="44"/>
        <v>0</v>
      </c>
      <c r="M74" s="86">
        <f t="shared" ref="M74:M105" si="48">L74/((1+DiscRate)^B74)</f>
        <v>0</v>
      </c>
      <c r="P74" s="8">
        <f t="shared" si="27"/>
        <v>0</v>
      </c>
      <c r="Q74" s="8">
        <v>0</v>
      </c>
      <c r="R74" s="8">
        <f t="shared" ref="R74:R110" si="49">P74*VLOOKUP(C74,LifeTableQOF,6,TRUE)</f>
        <v>0</v>
      </c>
      <c r="S74" s="8">
        <f t="shared" si="25"/>
        <v>0</v>
      </c>
      <c r="T74" s="8">
        <f t="shared" si="26"/>
        <v>0</v>
      </c>
      <c r="U74" s="8">
        <f t="shared" si="42"/>
        <v>0</v>
      </c>
      <c r="V74" s="8">
        <f t="shared" ref="V74:V110" si="50">T74/((1+DiscRate)^B74)</f>
        <v>0</v>
      </c>
      <c r="W74" s="8">
        <f t="shared" ref="W74:W110" si="51">U74/((1+DiscRate)^B74)</f>
        <v>0</v>
      </c>
      <c r="Y74" s="8">
        <f t="shared" ref="Y74:Y110" si="52">QOF_Ending-NonQOF_Ending</f>
        <v>0</v>
      </c>
      <c r="Z74" s="5">
        <f t="shared" ref="Z74:Z110" si="53">delta_death*NFCVDMult</f>
        <v>0</v>
      </c>
      <c r="AA74" s="304">
        <f t="shared" ref="AA74:AA110" si="54">IF(C74&gt;40,delta_prevalence*(1-uCVD),0)</f>
        <v>0</v>
      </c>
      <c r="AB74" s="380">
        <f t="shared" si="43"/>
        <v>0</v>
      </c>
      <c r="AC74" s="304">
        <f t="shared" ref="AC74:AC105" si="55">AB74+(AB74*NFCVDMult)</f>
        <v>0</v>
      </c>
      <c r="AD74" s="14">
        <f t="shared" ref="AD74:AD105" si="56">AC74*cCVDacute</f>
        <v>0</v>
      </c>
      <c r="AE74" s="14">
        <f t="shared" ref="AE74:AE110" si="57">IF(C74&gt;40,Z74*cCVDchronic,0)</f>
        <v>0</v>
      </c>
    </row>
    <row r="75" spans="2:31" x14ac:dyDescent="0.25">
      <c r="B75" s="5">
        <v>65</v>
      </c>
      <c r="C75" s="5">
        <f t="shared" si="18"/>
        <v>115</v>
      </c>
      <c r="D75" s="8">
        <f t="shared" si="19"/>
        <v>0</v>
      </c>
      <c r="E75" s="8">
        <v>0</v>
      </c>
      <c r="F75" s="8">
        <f t="shared" si="45"/>
        <v>0</v>
      </c>
      <c r="G75" s="8">
        <f t="shared" si="21"/>
        <v>0</v>
      </c>
      <c r="H75" s="8">
        <f t="shared" si="22"/>
        <v>0</v>
      </c>
      <c r="I75" s="8">
        <f t="shared" ref="I75:I106" si="58">(H75*(VLOOKUP(C75,TableUtil,2,TRUE))*(1-pCVD)+(H75*((MIN((VLOOKUP(C75,TableUtil,2,TRUE)),uCVD))*pCVD)))</f>
        <v>0</v>
      </c>
      <c r="J75" s="8">
        <f t="shared" si="46"/>
        <v>0</v>
      </c>
      <c r="K75" s="8">
        <f t="shared" si="47"/>
        <v>0</v>
      </c>
      <c r="L75" s="86">
        <f t="shared" si="44"/>
        <v>0</v>
      </c>
      <c r="M75" s="86">
        <f t="shared" si="48"/>
        <v>0</v>
      </c>
      <c r="P75" s="8">
        <f t="shared" si="27"/>
        <v>0</v>
      </c>
      <c r="Q75" s="8">
        <v>0</v>
      </c>
      <c r="R75" s="8">
        <f t="shared" si="49"/>
        <v>0</v>
      </c>
      <c r="S75" s="8">
        <f t="shared" si="25"/>
        <v>0</v>
      </c>
      <c r="T75" s="8">
        <f t="shared" si="26"/>
        <v>0</v>
      </c>
      <c r="U75" s="8">
        <f t="shared" ref="U75:U106" si="59">(T75*(VLOOKUP(C75,TableUtil,2,TRUE))*(1-pCVD)+(T75*((MIN((VLOOKUP(C75,TableUtil,2,TRUE)),uCVD))*pCVD)))-AA75</f>
        <v>0</v>
      </c>
      <c r="V75" s="8">
        <f t="shared" si="50"/>
        <v>0</v>
      </c>
      <c r="W75" s="8">
        <f t="shared" si="51"/>
        <v>0</v>
      </c>
      <c r="Y75" s="8">
        <f t="shared" si="52"/>
        <v>0</v>
      </c>
      <c r="Z75" s="5">
        <f t="shared" si="53"/>
        <v>0</v>
      </c>
      <c r="AA75" s="304">
        <f t="shared" si="54"/>
        <v>0</v>
      </c>
      <c r="AB75" s="380">
        <f t="shared" ref="AB75:AB110" si="60">((VLOOKUP(C75,LifeTableQOF,6,TRUE))-(VLOOKUP(C75,LifeTable,4,TRUE)))*D75</f>
        <v>0</v>
      </c>
      <c r="AC75" s="304">
        <f t="shared" si="55"/>
        <v>0</v>
      </c>
      <c r="AD75" s="14">
        <f t="shared" si="56"/>
        <v>0</v>
      </c>
      <c r="AE75" s="14">
        <f t="shared" si="57"/>
        <v>0</v>
      </c>
    </row>
    <row r="76" spans="2:31" x14ac:dyDescent="0.25">
      <c r="B76" s="5">
        <v>66</v>
      </c>
      <c r="C76" s="5">
        <f t="shared" ref="C76:C110" si="61">C$10+B76</f>
        <v>116</v>
      </c>
      <c r="D76" s="8">
        <f t="shared" ref="D76:D110" si="62">G75</f>
        <v>0</v>
      </c>
      <c r="E76" s="8">
        <v>0</v>
      </c>
      <c r="F76" s="8">
        <f t="shared" si="45"/>
        <v>0</v>
      </c>
      <c r="G76" s="8">
        <f t="shared" ref="G76:G110" si="63">D76+E76-F76</f>
        <v>0</v>
      </c>
      <c r="H76" s="8">
        <f t="shared" ref="H76:H110" si="64">G76</f>
        <v>0</v>
      </c>
      <c r="I76" s="8">
        <f t="shared" si="58"/>
        <v>0</v>
      </c>
      <c r="J76" s="8">
        <f t="shared" si="46"/>
        <v>0</v>
      </c>
      <c r="K76" s="8">
        <f t="shared" si="47"/>
        <v>0</v>
      </c>
      <c r="L76" s="86">
        <f t="shared" ref="L76:L110" si="65">G76*(QOFcost+(QOFcost*CostMult))+(Y76*VLOOKUP(C76,TableCostAge,2,TRUE))-AE76-AD76</f>
        <v>0</v>
      </c>
      <c r="M76" s="86">
        <f t="shared" si="48"/>
        <v>0</v>
      </c>
      <c r="P76" s="8">
        <f t="shared" ref="P76:P110" si="66">S75</f>
        <v>0</v>
      </c>
      <c r="Q76" s="8">
        <v>0</v>
      </c>
      <c r="R76" s="8">
        <f t="shared" si="49"/>
        <v>0</v>
      </c>
      <c r="S76" s="8">
        <f t="shared" ref="S76:S110" si="67">P76+Q76-R76</f>
        <v>0</v>
      </c>
      <c r="T76" s="8">
        <f t="shared" ref="T76:T110" si="68">S76</f>
        <v>0</v>
      </c>
      <c r="U76" s="8">
        <f t="shared" si="59"/>
        <v>0</v>
      </c>
      <c r="V76" s="8">
        <f t="shared" si="50"/>
        <v>0</v>
      </c>
      <c r="W76" s="8">
        <f t="shared" si="51"/>
        <v>0</v>
      </c>
      <c r="Y76" s="8">
        <f t="shared" si="52"/>
        <v>0</v>
      </c>
      <c r="Z76" s="5">
        <f t="shared" si="53"/>
        <v>0</v>
      </c>
      <c r="AA76" s="304">
        <f t="shared" si="54"/>
        <v>0</v>
      </c>
      <c r="AB76" s="380">
        <f t="shared" si="60"/>
        <v>0</v>
      </c>
      <c r="AC76" s="304">
        <f t="shared" si="55"/>
        <v>0</v>
      </c>
      <c r="AD76" s="14">
        <f t="shared" si="56"/>
        <v>0</v>
      </c>
      <c r="AE76" s="14">
        <f t="shared" si="57"/>
        <v>0</v>
      </c>
    </row>
    <row r="77" spans="2:31" x14ac:dyDescent="0.25">
      <c r="B77" s="5">
        <v>67</v>
      </c>
      <c r="C77" s="5">
        <f t="shared" si="61"/>
        <v>117</v>
      </c>
      <c r="D77" s="8">
        <f t="shared" si="62"/>
        <v>0</v>
      </c>
      <c r="E77" s="8">
        <v>0</v>
      </c>
      <c r="F77" s="8">
        <f t="shared" si="45"/>
        <v>0</v>
      </c>
      <c r="G77" s="8">
        <f t="shared" si="63"/>
        <v>0</v>
      </c>
      <c r="H77" s="8">
        <f t="shared" si="64"/>
        <v>0</v>
      </c>
      <c r="I77" s="8">
        <f t="shared" si="58"/>
        <v>0</v>
      </c>
      <c r="J77" s="8">
        <f t="shared" si="46"/>
        <v>0</v>
      </c>
      <c r="K77" s="8">
        <f t="shared" si="47"/>
        <v>0</v>
      </c>
      <c r="L77" s="86">
        <f t="shared" si="65"/>
        <v>0</v>
      </c>
      <c r="M77" s="86">
        <f t="shared" si="48"/>
        <v>0</v>
      </c>
      <c r="P77" s="8">
        <f t="shared" si="66"/>
        <v>0</v>
      </c>
      <c r="Q77" s="8">
        <v>0</v>
      </c>
      <c r="R77" s="8">
        <f t="shared" si="49"/>
        <v>0</v>
      </c>
      <c r="S77" s="8">
        <f t="shared" si="67"/>
        <v>0</v>
      </c>
      <c r="T77" s="8">
        <f t="shared" si="68"/>
        <v>0</v>
      </c>
      <c r="U77" s="8">
        <f t="shared" si="59"/>
        <v>0</v>
      </c>
      <c r="V77" s="8">
        <f t="shared" si="50"/>
        <v>0</v>
      </c>
      <c r="W77" s="8">
        <f t="shared" si="51"/>
        <v>0</v>
      </c>
      <c r="Y77" s="8">
        <f t="shared" si="52"/>
        <v>0</v>
      </c>
      <c r="Z77" s="5">
        <f t="shared" si="53"/>
        <v>0</v>
      </c>
      <c r="AA77" s="304">
        <f t="shared" si="54"/>
        <v>0</v>
      </c>
      <c r="AB77" s="380">
        <f t="shared" si="60"/>
        <v>0</v>
      </c>
      <c r="AC77" s="304">
        <f t="shared" si="55"/>
        <v>0</v>
      </c>
      <c r="AD77" s="14">
        <f t="shared" si="56"/>
        <v>0</v>
      </c>
      <c r="AE77" s="14">
        <f t="shared" si="57"/>
        <v>0</v>
      </c>
    </row>
    <row r="78" spans="2:31" x14ac:dyDescent="0.25">
      <c r="B78" s="5">
        <v>68</v>
      </c>
      <c r="C78" s="5">
        <f t="shared" si="61"/>
        <v>118</v>
      </c>
      <c r="D78" s="8">
        <f t="shared" si="62"/>
        <v>0</v>
      </c>
      <c r="E78" s="8">
        <v>0</v>
      </c>
      <c r="F78" s="8">
        <f t="shared" si="45"/>
        <v>0</v>
      </c>
      <c r="G78" s="8">
        <f t="shared" si="63"/>
        <v>0</v>
      </c>
      <c r="H78" s="8">
        <f t="shared" si="64"/>
        <v>0</v>
      </c>
      <c r="I78" s="8">
        <f t="shared" si="58"/>
        <v>0</v>
      </c>
      <c r="J78" s="8">
        <f t="shared" si="46"/>
        <v>0</v>
      </c>
      <c r="K78" s="8">
        <f t="shared" si="47"/>
        <v>0</v>
      </c>
      <c r="L78" s="86">
        <f t="shared" si="65"/>
        <v>0</v>
      </c>
      <c r="M78" s="86">
        <f t="shared" si="48"/>
        <v>0</v>
      </c>
      <c r="P78" s="8">
        <f t="shared" si="66"/>
        <v>0</v>
      </c>
      <c r="Q78" s="8">
        <v>0</v>
      </c>
      <c r="R78" s="8">
        <f t="shared" si="49"/>
        <v>0</v>
      </c>
      <c r="S78" s="8">
        <f t="shared" si="67"/>
        <v>0</v>
      </c>
      <c r="T78" s="8">
        <f t="shared" si="68"/>
        <v>0</v>
      </c>
      <c r="U78" s="8">
        <f t="shared" si="59"/>
        <v>0</v>
      </c>
      <c r="V78" s="8">
        <f t="shared" si="50"/>
        <v>0</v>
      </c>
      <c r="W78" s="8">
        <f t="shared" si="51"/>
        <v>0</v>
      </c>
      <c r="Y78" s="8">
        <f t="shared" si="52"/>
        <v>0</v>
      </c>
      <c r="Z78" s="5">
        <f t="shared" si="53"/>
        <v>0</v>
      </c>
      <c r="AA78" s="304">
        <f t="shared" si="54"/>
        <v>0</v>
      </c>
      <c r="AB78" s="380">
        <f t="shared" si="60"/>
        <v>0</v>
      </c>
      <c r="AC78" s="304">
        <f t="shared" si="55"/>
        <v>0</v>
      </c>
      <c r="AD78" s="14">
        <f t="shared" si="56"/>
        <v>0</v>
      </c>
      <c r="AE78" s="14">
        <f t="shared" si="57"/>
        <v>0</v>
      </c>
    </row>
    <row r="79" spans="2:31" x14ac:dyDescent="0.25">
      <c r="B79" s="5">
        <v>69</v>
      </c>
      <c r="C79" s="5">
        <f t="shared" si="61"/>
        <v>119</v>
      </c>
      <c r="D79" s="8">
        <f t="shared" si="62"/>
        <v>0</v>
      </c>
      <c r="E79" s="8">
        <v>0</v>
      </c>
      <c r="F79" s="8">
        <f t="shared" si="45"/>
        <v>0</v>
      </c>
      <c r="G79" s="8">
        <f t="shared" si="63"/>
        <v>0</v>
      </c>
      <c r="H79" s="8">
        <f t="shared" si="64"/>
        <v>0</v>
      </c>
      <c r="I79" s="8">
        <f t="shared" si="58"/>
        <v>0</v>
      </c>
      <c r="J79" s="8">
        <f t="shared" si="46"/>
        <v>0</v>
      </c>
      <c r="K79" s="8">
        <f t="shared" si="47"/>
        <v>0</v>
      </c>
      <c r="L79" s="86">
        <f t="shared" si="65"/>
        <v>0</v>
      </c>
      <c r="M79" s="86">
        <f t="shared" si="48"/>
        <v>0</v>
      </c>
      <c r="P79" s="8">
        <f t="shared" si="66"/>
        <v>0</v>
      </c>
      <c r="Q79" s="8">
        <v>0</v>
      </c>
      <c r="R79" s="8">
        <f t="shared" si="49"/>
        <v>0</v>
      </c>
      <c r="S79" s="8">
        <f t="shared" si="67"/>
        <v>0</v>
      </c>
      <c r="T79" s="8">
        <f t="shared" si="68"/>
        <v>0</v>
      </c>
      <c r="U79" s="8">
        <f t="shared" si="59"/>
        <v>0</v>
      </c>
      <c r="V79" s="8">
        <f t="shared" si="50"/>
        <v>0</v>
      </c>
      <c r="W79" s="8">
        <f t="shared" si="51"/>
        <v>0</v>
      </c>
      <c r="Y79" s="8">
        <f t="shared" si="52"/>
        <v>0</v>
      </c>
      <c r="Z79" s="5">
        <f t="shared" si="53"/>
        <v>0</v>
      </c>
      <c r="AA79" s="304">
        <f t="shared" si="54"/>
        <v>0</v>
      </c>
      <c r="AB79" s="380">
        <f t="shared" si="60"/>
        <v>0</v>
      </c>
      <c r="AC79" s="304">
        <f t="shared" si="55"/>
        <v>0</v>
      </c>
      <c r="AD79" s="14">
        <f t="shared" si="56"/>
        <v>0</v>
      </c>
      <c r="AE79" s="14">
        <f t="shared" si="57"/>
        <v>0</v>
      </c>
    </row>
    <row r="80" spans="2:31" x14ac:dyDescent="0.25">
      <c r="B80" s="5">
        <v>70</v>
      </c>
      <c r="C80" s="5">
        <f t="shared" si="61"/>
        <v>120</v>
      </c>
      <c r="D80" s="8">
        <f t="shared" si="62"/>
        <v>0</v>
      </c>
      <c r="E80" s="8">
        <v>0</v>
      </c>
      <c r="F80" s="8">
        <f t="shared" si="45"/>
        <v>0</v>
      </c>
      <c r="G80" s="8">
        <f t="shared" si="63"/>
        <v>0</v>
      </c>
      <c r="H80" s="8">
        <f t="shared" si="64"/>
        <v>0</v>
      </c>
      <c r="I80" s="8">
        <f t="shared" si="58"/>
        <v>0</v>
      </c>
      <c r="J80" s="8">
        <f t="shared" si="46"/>
        <v>0</v>
      </c>
      <c r="K80" s="8">
        <f t="shared" si="47"/>
        <v>0</v>
      </c>
      <c r="L80" s="86">
        <f t="shared" si="65"/>
        <v>0</v>
      </c>
      <c r="M80" s="86">
        <f t="shared" si="48"/>
        <v>0</v>
      </c>
      <c r="P80" s="8">
        <f t="shared" si="66"/>
        <v>0</v>
      </c>
      <c r="Q80" s="8">
        <v>0</v>
      </c>
      <c r="R80" s="8">
        <f t="shared" si="49"/>
        <v>0</v>
      </c>
      <c r="S80" s="8">
        <f t="shared" si="67"/>
        <v>0</v>
      </c>
      <c r="T80" s="8">
        <f t="shared" si="68"/>
        <v>0</v>
      </c>
      <c r="U80" s="8">
        <f t="shared" si="59"/>
        <v>0</v>
      </c>
      <c r="V80" s="8">
        <f t="shared" si="50"/>
        <v>0</v>
      </c>
      <c r="W80" s="8">
        <f t="shared" si="51"/>
        <v>0</v>
      </c>
      <c r="Y80" s="8">
        <f t="shared" si="52"/>
        <v>0</v>
      </c>
      <c r="Z80" s="5">
        <f t="shared" si="53"/>
        <v>0</v>
      </c>
      <c r="AA80" s="304">
        <f t="shared" si="54"/>
        <v>0</v>
      </c>
      <c r="AB80" s="380">
        <f t="shared" si="60"/>
        <v>0</v>
      </c>
      <c r="AC80" s="304">
        <f t="shared" si="55"/>
        <v>0</v>
      </c>
      <c r="AD80" s="14">
        <f t="shared" si="56"/>
        <v>0</v>
      </c>
      <c r="AE80" s="14">
        <f t="shared" si="57"/>
        <v>0</v>
      </c>
    </row>
    <row r="81" spans="2:31" x14ac:dyDescent="0.25">
      <c r="B81" s="5">
        <v>71</v>
      </c>
      <c r="C81" s="5">
        <f t="shared" si="61"/>
        <v>121</v>
      </c>
      <c r="D81" s="8">
        <f t="shared" si="62"/>
        <v>0</v>
      </c>
      <c r="E81" s="8">
        <v>0</v>
      </c>
      <c r="F81" s="8">
        <f t="shared" si="45"/>
        <v>0</v>
      </c>
      <c r="G81" s="8">
        <f t="shared" si="63"/>
        <v>0</v>
      </c>
      <c r="H81" s="8">
        <f t="shared" si="64"/>
        <v>0</v>
      </c>
      <c r="I81" s="8">
        <f t="shared" si="58"/>
        <v>0</v>
      </c>
      <c r="J81" s="8">
        <f t="shared" si="46"/>
        <v>0</v>
      </c>
      <c r="K81" s="8">
        <f t="shared" si="47"/>
        <v>0</v>
      </c>
      <c r="L81" s="86">
        <f t="shared" si="65"/>
        <v>0</v>
      </c>
      <c r="M81" s="86">
        <f t="shared" si="48"/>
        <v>0</v>
      </c>
      <c r="P81" s="8">
        <f t="shared" si="66"/>
        <v>0</v>
      </c>
      <c r="Q81" s="8">
        <v>0</v>
      </c>
      <c r="R81" s="8">
        <f t="shared" si="49"/>
        <v>0</v>
      </c>
      <c r="S81" s="8">
        <f t="shared" si="67"/>
        <v>0</v>
      </c>
      <c r="T81" s="8">
        <f t="shared" si="68"/>
        <v>0</v>
      </c>
      <c r="U81" s="8">
        <f t="shared" si="59"/>
        <v>0</v>
      </c>
      <c r="V81" s="8">
        <f t="shared" si="50"/>
        <v>0</v>
      </c>
      <c r="W81" s="8">
        <f t="shared" si="51"/>
        <v>0</v>
      </c>
      <c r="Y81" s="8">
        <f t="shared" si="52"/>
        <v>0</v>
      </c>
      <c r="Z81" s="5">
        <f t="shared" si="53"/>
        <v>0</v>
      </c>
      <c r="AA81" s="304">
        <f t="shared" si="54"/>
        <v>0</v>
      </c>
      <c r="AB81" s="380">
        <f t="shared" si="60"/>
        <v>0</v>
      </c>
      <c r="AC81" s="304">
        <f t="shared" si="55"/>
        <v>0</v>
      </c>
      <c r="AD81" s="14">
        <f t="shared" si="56"/>
        <v>0</v>
      </c>
      <c r="AE81" s="14">
        <f t="shared" si="57"/>
        <v>0</v>
      </c>
    </row>
    <row r="82" spans="2:31" x14ac:dyDescent="0.25">
      <c r="B82" s="5">
        <v>72</v>
      </c>
      <c r="C82" s="5">
        <f t="shared" si="61"/>
        <v>122</v>
      </c>
      <c r="D82" s="8">
        <f t="shared" si="62"/>
        <v>0</v>
      </c>
      <c r="E82" s="8">
        <v>0</v>
      </c>
      <c r="F82" s="8">
        <f t="shared" si="45"/>
        <v>0</v>
      </c>
      <c r="G82" s="8">
        <f t="shared" si="63"/>
        <v>0</v>
      </c>
      <c r="H82" s="8">
        <f t="shared" si="64"/>
        <v>0</v>
      </c>
      <c r="I82" s="8">
        <f t="shared" si="58"/>
        <v>0</v>
      </c>
      <c r="J82" s="8">
        <f t="shared" si="46"/>
        <v>0</v>
      </c>
      <c r="K82" s="8">
        <f t="shared" si="47"/>
        <v>0</v>
      </c>
      <c r="L82" s="86">
        <f t="shared" si="65"/>
        <v>0</v>
      </c>
      <c r="M82" s="86">
        <f t="shared" si="48"/>
        <v>0</v>
      </c>
      <c r="P82" s="8">
        <f t="shared" si="66"/>
        <v>0</v>
      </c>
      <c r="Q82" s="8">
        <v>0</v>
      </c>
      <c r="R82" s="8">
        <f t="shared" si="49"/>
        <v>0</v>
      </c>
      <c r="S82" s="8">
        <f t="shared" si="67"/>
        <v>0</v>
      </c>
      <c r="T82" s="8">
        <f t="shared" si="68"/>
        <v>0</v>
      </c>
      <c r="U82" s="8">
        <f t="shared" si="59"/>
        <v>0</v>
      </c>
      <c r="V82" s="8">
        <f t="shared" si="50"/>
        <v>0</v>
      </c>
      <c r="W82" s="8">
        <f t="shared" si="51"/>
        <v>0</v>
      </c>
      <c r="Y82" s="8">
        <f t="shared" si="52"/>
        <v>0</v>
      </c>
      <c r="Z82" s="5">
        <f t="shared" si="53"/>
        <v>0</v>
      </c>
      <c r="AA82" s="304">
        <f t="shared" si="54"/>
        <v>0</v>
      </c>
      <c r="AB82" s="380">
        <f t="shared" si="60"/>
        <v>0</v>
      </c>
      <c r="AC82" s="304">
        <f t="shared" si="55"/>
        <v>0</v>
      </c>
      <c r="AD82" s="14">
        <f t="shared" si="56"/>
        <v>0</v>
      </c>
      <c r="AE82" s="14">
        <f t="shared" si="57"/>
        <v>0</v>
      </c>
    </row>
    <row r="83" spans="2:31" x14ac:dyDescent="0.25">
      <c r="B83" s="5">
        <v>73</v>
      </c>
      <c r="C83" s="5">
        <f t="shared" si="61"/>
        <v>123</v>
      </c>
      <c r="D83" s="8">
        <f t="shared" si="62"/>
        <v>0</v>
      </c>
      <c r="E83" s="8">
        <v>0</v>
      </c>
      <c r="F83" s="8">
        <f t="shared" si="45"/>
        <v>0</v>
      </c>
      <c r="G83" s="8">
        <f t="shared" si="63"/>
        <v>0</v>
      </c>
      <c r="H83" s="8">
        <f t="shared" si="64"/>
        <v>0</v>
      </c>
      <c r="I83" s="8">
        <f t="shared" si="58"/>
        <v>0</v>
      </c>
      <c r="J83" s="8">
        <f t="shared" si="46"/>
        <v>0</v>
      </c>
      <c r="K83" s="8">
        <f t="shared" si="47"/>
        <v>0</v>
      </c>
      <c r="L83" s="86">
        <f t="shared" si="65"/>
        <v>0</v>
      </c>
      <c r="M83" s="86">
        <f t="shared" si="48"/>
        <v>0</v>
      </c>
      <c r="P83" s="8">
        <f t="shared" si="66"/>
        <v>0</v>
      </c>
      <c r="Q83" s="8">
        <v>0</v>
      </c>
      <c r="R83" s="8">
        <f t="shared" si="49"/>
        <v>0</v>
      </c>
      <c r="S83" s="8">
        <f t="shared" si="67"/>
        <v>0</v>
      </c>
      <c r="T83" s="8">
        <f t="shared" si="68"/>
        <v>0</v>
      </c>
      <c r="U83" s="8">
        <f t="shared" si="59"/>
        <v>0</v>
      </c>
      <c r="V83" s="8">
        <f t="shared" si="50"/>
        <v>0</v>
      </c>
      <c r="W83" s="8">
        <f t="shared" si="51"/>
        <v>0</v>
      </c>
      <c r="Y83" s="8">
        <f t="shared" si="52"/>
        <v>0</v>
      </c>
      <c r="Z83" s="5">
        <f t="shared" si="53"/>
        <v>0</v>
      </c>
      <c r="AA83" s="304">
        <f t="shared" si="54"/>
        <v>0</v>
      </c>
      <c r="AB83" s="380">
        <f t="shared" si="60"/>
        <v>0</v>
      </c>
      <c r="AC83" s="304">
        <f t="shared" si="55"/>
        <v>0</v>
      </c>
      <c r="AD83" s="14">
        <f t="shared" si="56"/>
        <v>0</v>
      </c>
      <c r="AE83" s="14">
        <f t="shared" si="57"/>
        <v>0</v>
      </c>
    </row>
    <row r="84" spans="2:31" x14ac:dyDescent="0.25">
      <c r="B84" s="5">
        <v>74</v>
      </c>
      <c r="C84" s="5">
        <f t="shared" si="61"/>
        <v>124</v>
      </c>
      <c r="D84" s="8">
        <f t="shared" si="62"/>
        <v>0</v>
      </c>
      <c r="E84" s="8">
        <v>0</v>
      </c>
      <c r="F84" s="8">
        <f t="shared" si="45"/>
        <v>0</v>
      </c>
      <c r="G84" s="8">
        <f t="shared" si="63"/>
        <v>0</v>
      </c>
      <c r="H84" s="8">
        <f t="shared" si="64"/>
        <v>0</v>
      </c>
      <c r="I84" s="8">
        <f t="shared" si="58"/>
        <v>0</v>
      </c>
      <c r="J84" s="8">
        <f t="shared" si="46"/>
        <v>0</v>
      </c>
      <c r="K84" s="8">
        <f t="shared" si="47"/>
        <v>0</v>
      </c>
      <c r="L84" s="86">
        <f t="shared" si="65"/>
        <v>0</v>
      </c>
      <c r="M84" s="86">
        <f t="shared" si="48"/>
        <v>0</v>
      </c>
      <c r="P84" s="8">
        <f t="shared" si="66"/>
        <v>0</v>
      </c>
      <c r="Q84" s="8">
        <v>0</v>
      </c>
      <c r="R84" s="8">
        <f t="shared" si="49"/>
        <v>0</v>
      </c>
      <c r="S84" s="8">
        <f t="shared" si="67"/>
        <v>0</v>
      </c>
      <c r="T84" s="8">
        <f t="shared" si="68"/>
        <v>0</v>
      </c>
      <c r="U84" s="8">
        <f t="shared" si="59"/>
        <v>0</v>
      </c>
      <c r="V84" s="8">
        <f t="shared" si="50"/>
        <v>0</v>
      </c>
      <c r="W84" s="8">
        <f t="shared" si="51"/>
        <v>0</v>
      </c>
      <c r="Y84" s="8">
        <f t="shared" si="52"/>
        <v>0</v>
      </c>
      <c r="Z84" s="5">
        <f t="shared" si="53"/>
        <v>0</v>
      </c>
      <c r="AA84" s="304">
        <f t="shared" si="54"/>
        <v>0</v>
      </c>
      <c r="AB84" s="380">
        <f t="shared" si="60"/>
        <v>0</v>
      </c>
      <c r="AC84" s="304">
        <f t="shared" si="55"/>
        <v>0</v>
      </c>
      <c r="AD84" s="14">
        <f t="shared" si="56"/>
        <v>0</v>
      </c>
      <c r="AE84" s="14">
        <f t="shared" si="57"/>
        <v>0</v>
      </c>
    </row>
    <row r="85" spans="2:31" x14ac:dyDescent="0.25">
      <c r="B85" s="5">
        <v>75</v>
      </c>
      <c r="C85" s="5">
        <f t="shared" si="61"/>
        <v>125</v>
      </c>
      <c r="D85" s="8">
        <f t="shared" si="62"/>
        <v>0</v>
      </c>
      <c r="E85" s="8">
        <v>0</v>
      </c>
      <c r="F85" s="8">
        <f t="shared" si="45"/>
        <v>0</v>
      </c>
      <c r="G85" s="8">
        <f t="shared" si="63"/>
        <v>0</v>
      </c>
      <c r="H85" s="8">
        <f t="shared" si="64"/>
        <v>0</v>
      </c>
      <c r="I85" s="8">
        <f t="shared" si="58"/>
        <v>0</v>
      </c>
      <c r="J85" s="8">
        <f t="shared" si="46"/>
        <v>0</v>
      </c>
      <c r="K85" s="8">
        <f t="shared" si="47"/>
        <v>0</v>
      </c>
      <c r="L85" s="86">
        <f t="shared" si="65"/>
        <v>0</v>
      </c>
      <c r="M85" s="86">
        <f t="shared" si="48"/>
        <v>0</v>
      </c>
      <c r="P85" s="8">
        <f t="shared" si="66"/>
        <v>0</v>
      </c>
      <c r="Q85" s="8">
        <v>0</v>
      </c>
      <c r="R85" s="8">
        <f t="shared" si="49"/>
        <v>0</v>
      </c>
      <c r="S85" s="8">
        <f t="shared" si="67"/>
        <v>0</v>
      </c>
      <c r="T85" s="8">
        <f t="shared" si="68"/>
        <v>0</v>
      </c>
      <c r="U85" s="8">
        <f t="shared" si="59"/>
        <v>0</v>
      </c>
      <c r="V85" s="8">
        <f t="shared" si="50"/>
        <v>0</v>
      </c>
      <c r="W85" s="8">
        <f t="shared" si="51"/>
        <v>0</v>
      </c>
      <c r="Y85" s="8">
        <f t="shared" si="52"/>
        <v>0</v>
      </c>
      <c r="Z85" s="5">
        <f t="shared" si="53"/>
        <v>0</v>
      </c>
      <c r="AA85" s="304">
        <f t="shared" si="54"/>
        <v>0</v>
      </c>
      <c r="AB85" s="380">
        <f t="shared" si="60"/>
        <v>0</v>
      </c>
      <c r="AC85" s="304">
        <f t="shared" si="55"/>
        <v>0</v>
      </c>
      <c r="AD85" s="14">
        <f t="shared" si="56"/>
        <v>0</v>
      </c>
      <c r="AE85" s="14">
        <f t="shared" si="57"/>
        <v>0</v>
      </c>
    </row>
    <row r="86" spans="2:31" x14ac:dyDescent="0.25">
      <c r="B86" s="5">
        <v>76</v>
      </c>
      <c r="C86" s="5">
        <f t="shared" si="61"/>
        <v>126</v>
      </c>
      <c r="D86" s="8">
        <f t="shared" si="62"/>
        <v>0</v>
      </c>
      <c r="E86" s="8">
        <v>0</v>
      </c>
      <c r="F86" s="8">
        <f t="shared" si="45"/>
        <v>0</v>
      </c>
      <c r="G86" s="8">
        <f t="shared" si="63"/>
        <v>0</v>
      </c>
      <c r="H86" s="8">
        <f t="shared" si="64"/>
        <v>0</v>
      </c>
      <c r="I86" s="8">
        <f t="shared" si="58"/>
        <v>0</v>
      </c>
      <c r="J86" s="8">
        <f t="shared" si="46"/>
        <v>0</v>
      </c>
      <c r="K86" s="8">
        <f t="shared" si="47"/>
        <v>0</v>
      </c>
      <c r="L86" s="86">
        <f t="shared" si="65"/>
        <v>0</v>
      </c>
      <c r="M86" s="86">
        <f t="shared" si="48"/>
        <v>0</v>
      </c>
      <c r="P86" s="8">
        <f t="shared" si="66"/>
        <v>0</v>
      </c>
      <c r="Q86" s="8">
        <v>0</v>
      </c>
      <c r="R86" s="8">
        <f t="shared" si="49"/>
        <v>0</v>
      </c>
      <c r="S86" s="8">
        <f t="shared" si="67"/>
        <v>0</v>
      </c>
      <c r="T86" s="8">
        <f t="shared" si="68"/>
        <v>0</v>
      </c>
      <c r="U86" s="8">
        <f t="shared" si="59"/>
        <v>0</v>
      </c>
      <c r="V86" s="8">
        <f t="shared" si="50"/>
        <v>0</v>
      </c>
      <c r="W86" s="8">
        <f t="shared" si="51"/>
        <v>0</v>
      </c>
      <c r="Y86" s="8">
        <f t="shared" si="52"/>
        <v>0</v>
      </c>
      <c r="Z86" s="5">
        <f t="shared" si="53"/>
        <v>0</v>
      </c>
      <c r="AA86" s="304">
        <f t="shared" si="54"/>
        <v>0</v>
      </c>
      <c r="AB86" s="380">
        <f t="shared" si="60"/>
        <v>0</v>
      </c>
      <c r="AC86" s="304">
        <f t="shared" si="55"/>
        <v>0</v>
      </c>
      <c r="AD86" s="14">
        <f t="shared" si="56"/>
        <v>0</v>
      </c>
      <c r="AE86" s="14">
        <f t="shared" si="57"/>
        <v>0</v>
      </c>
    </row>
    <row r="87" spans="2:31" x14ac:dyDescent="0.25">
      <c r="B87" s="5">
        <v>77</v>
      </c>
      <c r="C87" s="5">
        <f t="shared" si="61"/>
        <v>127</v>
      </c>
      <c r="D87" s="8">
        <f t="shared" si="62"/>
        <v>0</v>
      </c>
      <c r="E87" s="8">
        <v>0</v>
      </c>
      <c r="F87" s="8">
        <f t="shared" si="45"/>
        <v>0</v>
      </c>
      <c r="G87" s="8">
        <f t="shared" si="63"/>
        <v>0</v>
      </c>
      <c r="H87" s="8">
        <f t="shared" si="64"/>
        <v>0</v>
      </c>
      <c r="I87" s="8">
        <f t="shared" si="58"/>
        <v>0</v>
      </c>
      <c r="J87" s="8">
        <f t="shared" si="46"/>
        <v>0</v>
      </c>
      <c r="K87" s="8">
        <f t="shared" si="47"/>
        <v>0</v>
      </c>
      <c r="L87" s="86">
        <f t="shared" si="65"/>
        <v>0</v>
      </c>
      <c r="M87" s="86">
        <f t="shared" si="48"/>
        <v>0</v>
      </c>
      <c r="P87" s="8">
        <f t="shared" si="66"/>
        <v>0</v>
      </c>
      <c r="Q87" s="8">
        <v>0</v>
      </c>
      <c r="R87" s="8">
        <f t="shared" si="49"/>
        <v>0</v>
      </c>
      <c r="S87" s="8">
        <f t="shared" si="67"/>
        <v>0</v>
      </c>
      <c r="T87" s="8">
        <f t="shared" si="68"/>
        <v>0</v>
      </c>
      <c r="U87" s="8">
        <f t="shared" si="59"/>
        <v>0</v>
      </c>
      <c r="V87" s="8">
        <f t="shared" si="50"/>
        <v>0</v>
      </c>
      <c r="W87" s="8">
        <f t="shared" si="51"/>
        <v>0</v>
      </c>
      <c r="Y87" s="8">
        <f t="shared" si="52"/>
        <v>0</v>
      </c>
      <c r="Z87" s="5">
        <f t="shared" si="53"/>
        <v>0</v>
      </c>
      <c r="AA87" s="304">
        <f t="shared" si="54"/>
        <v>0</v>
      </c>
      <c r="AB87" s="380">
        <f t="shared" si="60"/>
        <v>0</v>
      </c>
      <c r="AC87" s="304">
        <f t="shared" si="55"/>
        <v>0</v>
      </c>
      <c r="AD87" s="14">
        <f t="shared" si="56"/>
        <v>0</v>
      </c>
      <c r="AE87" s="14">
        <f t="shared" si="57"/>
        <v>0</v>
      </c>
    </row>
    <row r="88" spans="2:31" x14ac:dyDescent="0.25">
      <c r="B88" s="5">
        <v>78</v>
      </c>
      <c r="C88" s="5">
        <f t="shared" si="61"/>
        <v>128</v>
      </c>
      <c r="D88" s="8">
        <f t="shared" si="62"/>
        <v>0</v>
      </c>
      <c r="E88" s="8">
        <v>0</v>
      </c>
      <c r="F88" s="8">
        <f t="shared" si="45"/>
        <v>0</v>
      </c>
      <c r="G88" s="8">
        <f t="shared" si="63"/>
        <v>0</v>
      </c>
      <c r="H88" s="8">
        <f t="shared" si="64"/>
        <v>0</v>
      </c>
      <c r="I88" s="8">
        <f t="shared" si="58"/>
        <v>0</v>
      </c>
      <c r="J88" s="8">
        <f t="shared" si="46"/>
        <v>0</v>
      </c>
      <c r="K88" s="8">
        <f t="shared" si="47"/>
        <v>0</v>
      </c>
      <c r="L88" s="86">
        <f t="shared" si="65"/>
        <v>0</v>
      </c>
      <c r="M88" s="86">
        <f t="shared" si="48"/>
        <v>0</v>
      </c>
      <c r="P88" s="8">
        <f t="shared" si="66"/>
        <v>0</v>
      </c>
      <c r="Q88" s="8">
        <v>0</v>
      </c>
      <c r="R88" s="8">
        <f t="shared" si="49"/>
        <v>0</v>
      </c>
      <c r="S88" s="8">
        <f t="shared" si="67"/>
        <v>0</v>
      </c>
      <c r="T88" s="8">
        <f t="shared" si="68"/>
        <v>0</v>
      </c>
      <c r="U88" s="8">
        <f t="shared" si="59"/>
        <v>0</v>
      </c>
      <c r="V88" s="8">
        <f t="shared" si="50"/>
        <v>0</v>
      </c>
      <c r="W88" s="8">
        <f t="shared" si="51"/>
        <v>0</v>
      </c>
      <c r="Y88" s="8">
        <f t="shared" si="52"/>
        <v>0</v>
      </c>
      <c r="Z88" s="5">
        <f t="shared" si="53"/>
        <v>0</v>
      </c>
      <c r="AA88" s="304">
        <f t="shared" si="54"/>
        <v>0</v>
      </c>
      <c r="AB88" s="380">
        <f t="shared" si="60"/>
        <v>0</v>
      </c>
      <c r="AC88" s="304">
        <f t="shared" si="55"/>
        <v>0</v>
      </c>
      <c r="AD88" s="14">
        <f t="shared" si="56"/>
        <v>0</v>
      </c>
      <c r="AE88" s="14">
        <f t="shared" si="57"/>
        <v>0</v>
      </c>
    </row>
    <row r="89" spans="2:31" x14ac:dyDescent="0.25">
      <c r="B89" s="5">
        <v>79</v>
      </c>
      <c r="C89" s="5">
        <f t="shared" si="61"/>
        <v>129</v>
      </c>
      <c r="D89" s="8">
        <f t="shared" si="62"/>
        <v>0</v>
      </c>
      <c r="E89" s="8">
        <v>0</v>
      </c>
      <c r="F89" s="8">
        <f t="shared" si="45"/>
        <v>0</v>
      </c>
      <c r="G89" s="8">
        <f t="shared" si="63"/>
        <v>0</v>
      </c>
      <c r="H89" s="8">
        <f t="shared" si="64"/>
        <v>0</v>
      </c>
      <c r="I89" s="8">
        <f t="shared" si="58"/>
        <v>0</v>
      </c>
      <c r="J89" s="8">
        <f t="shared" si="46"/>
        <v>0</v>
      </c>
      <c r="K89" s="8">
        <f t="shared" si="47"/>
        <v>0</v>
      </c>
      <c r="L89" s="86">
        <f t="shared" si="65"/>
        <v>0</v>
      </c>
      <c r="M89" s="86">
        <f t="shared" si="48"/>
        <v>0</v>
      </c>
      <c r="P89" s="8">
        <f t="shared" si="66"/>
        <v>0</v>
      </c>
      <c r="Q89" s="8">
        <v>0</v>
      </c>
      <c r="R89" s="8">
        <f t="shared" si="49"/>
        <v>0</v>
      </c>
      <c r="S89" s="8">
        <f t="shared" si="67"/>
        <v>0</v>
      </c>
      <c r="T89" s="8">
        <f t="shared" si="68"/>
        <v>0</v>
      </c>
      <c r="U89" s="8">
        <f t="shared" si="59"/>
        <v>0</v>
      </c>
      <c r="V89" s="8">
        <f t="shared" si="50"/>
        <v>0</v>
      </c>
      <c r="W89" s="8">
        <f t="shared" si="51"/>
        <v>0</v>
      </c>
      <c r="Y89" s="8">
        <f t="shared" si="52"/>
        <v>0</v>
      </c>
      <c r="Z89" s="5">
        <f t="shared" si="53"/>
        <v>0</v>
      </c>
      <c r="AA89" s="304">
        <f t="shared" si="54"/>
        <v>0</v>
      </c>
      <c r="AB89" s="380">
        <f t="shared" si="60"/>
        <v>0</v>
      </c>
      <c r="AC89" s="304">
        <f t="shared" si="55"/>
        <v>0</v>
      </c>
      <c r="AD89" s="14">
        <f t="shared" si="56"/>
        <v>0</v>
      </c>
      <c r="AE89" s="14">
        <f t="shared" si="57"/>
        <v>0</v>
      </c>
    </row>
    <row r="90" spans="2:31" x14ac:dyDescent="0.25">
      <c r="B90" s="5">
        <v>80</v>
      </c>
      <c r="C90" s="5">
        <f t="shared" si="61"/>
        <v>130</v>
      </c>
      <c r="D90" s="8">
        <f t="shared" si="62"/>
        <v>0</v>
      </c>
      <c r="E90" s="8">
        <v>0</v>
      </c>
      <c r="F90" s="8">
        <f t="shared" si="45"/>
        <v>0</v>
      </c>
      <c r="G90" s="8">
        <f t="shared" si="63"/>
        <v>0</v>
      </c>
      <c r="H90" s="8">
        <f t="shared" si="64"/>
        <v>0</v>
      </c>
      <c r="I90" s="8">
        <f t="shared" si="58"/>
        <v>0</v>
      </c>
      <c r="J90" s="8">
        <f t="shared" si="46"/>
        <v>0</v>
      </c>
      <c r="K90" s="8">
        <f t="shared" si="47"/>
        <v>0</v>
      </c>
      <c r="L90" s="86">
        <f t="shared" si="65"/>
        <v>0</v>
      </c>
      <c r="M90" s="86">
        <f t="shared" si="48"/>
        <v>0</v>
      </c>
      <c r="P90" s="8">
        <f t="shared" si="66"/>
        <v>0</v>
      </c>
      <c r="Q90" s="8">
        <v>0</v>
      </c>
      <c r="R90" s="8">
        <f t="shared" si="49"/>
        <v>0</v>
      </c>
      <c r="S90" s="8">
        <f t="shared" si="67"/>
        <v>0</v>
      </c>
      <c r="T90" s="8">
        <f t="shared" si="68"/>
        <v>0</v>
      </c>
      <c r="U90" s="8">
        <f t="shared" si="59"/>
        <v>0</v>
      </c>
      <c r="V90" s="8">
        <f t="shared" si="50"/>
        <v>0</v>
      </c>
      <c r="W90" s="8">
        <f t="shared" si="51"/>
        <v>0</v>
      </c>
      <c r="Y90" s="8">
        <f t="shared" si="52"/>
        <v>0</v>
      </c>
      <c r="Z90" s="5">
        <f t="shared" si="53"/>
        <v>0</v>
      </c>
      <c r="AA90" s="304">
        <f t="shared" si="54"/>
        <v>0</v>
      </c>
      <c r="AB90" s="380">
        <f t="shared" si="60"/>
        <v>0</v>
      </c>
      <c r="AC90" s="304">
        <f t="shared" si="55"/>
        <v>0</v>
      </c>
      <c r="AD90" s="14">
        <f t="shared" si="56"/>
        <v>0</v>
      </c>
      <c r="AE90" s="14">
        <f t="shared" si="57"/>
        <v>0</v>
      </c>
    </row>
    <row r="91" spans="2:31" x14ac:dyDescent="0.25">
      <c r="B91" s="5">
        <v>81</v>
      </c>
      <c r="C91" s="5">
        <f t="shared" si="61"/>
        <v>131</v>
      </c>
      <c r="D91" s="8">
        <f t="shared" si="62"/>
        <v>0</v>
      </c>
      <c r="E91" s="8">
        <v>0</v>
      </c>
      <c r="F91" s="8">
        <f t="shared" si="45"/>
        <v>0</v>
      </c>
      <c r="G91" s="8">
        <f t="shared" si="63"/>
        <v>0</v>
      </c>
      <c r="H91" s="8">
        <f t="shared" si="64"/>
        <v>0</v>
      </c>
      <c r="I91" s="8">
        <f t="shared" si="58"/>
        <v>0</v>
      </c>
      <c r="J91" s="8">
        <f t="shared" si="46"/>
        <v>0</v>
      </c>
      <c r="K91" s="8">
        <f t="shared" si="47"/>
        <v>0</v>
      </c>
      <c r="L91" s="86">
        <f t="shared" si="65"/>
        <v>0</v>
      </c>
      <c r="M91" s="86">
        <f t="shared" si="48"/>
        <v>0</v>
      </c>
      <c r="P91" s="8">
        <f t="shared" si="66"/>
        <v>0</v>
      </c>
      <c r="Q91" s="8">
        <v>0</v>
      </c>
      <c r="R91" s="8">
        <f t="shared" si="49"/>
        <v>0</v>
      </c>
      <c r="S91" s="8">
        <f t="shared" si="67"/>
        <v>0</v>
      </c>
      <c r="T91" s="8">
        <f t="shared" si="68"/>
        <v>0</v>
      </c>
      <c r="U91" s="8">
        <f t="shared" si="59"/>
        <v>0</v>
      </c>
      <c r="V91" s="8">
        <f t="shared" si="50"/>
        <v>0</v>
      </c>
      <c r="W91" s="8">
        <f t="shared" si="51"/>
        <v>0</v>
      </c>
      <c r="Y91" s="8">
        <f t="shared" si="52"/>
        <v>0</v>
      </c>
      <c r="Z91" s="5">
        <f t="shared" si="53"/>
        <v>0</v>
      </c>
      <c r="AA91" s="304">
        <f t="shared" si="54"/>
        <v>0</v>
      </c>
      <c r="AB91" s="380">
        <f t="shared" si="60"/>
        <v>0</v>
      </c>
      <c r="AC91" s="304">
        <f t="shared" si="55"/>
        <v>0</v>
      </c>
      <c r="AD91" s="14">
        <f t="shared" si="56"/>
        <v>0</v>
      </c>
      <c r="AE91" s="14">
        <f t="shared" si="57"/>
        <v>0</v>
      </c>
    </row>
    <row r="92" spans="2:31" x14ac:dyDescent="0.25">
      <c r="B92" s="5">
        <v>82</v>
      </c>
      <c r="C92" s="5">
        <f t="shared" si="61"/>
        <v>132</v>
      </c>
      <c r="D92" s="8">
        <f t="shared" si="62"/>
        <v>0</v>
      </c>
      <c r="E92" s="8">
        <v>0</v>
      </c>
      <c r="F92" s="8">
        <f t="shared" si="45"/>
        <v>0</v>
      </c>
      <c r="G92" s="8">
        <f t="shared" si="63"/>
        <v>0</v>
      </c>
      <c r="H92" s="8">
        <f t="shared" si="64"/>
        <v>0</v>
      </c>
      <c r="I92" s="8">
        <f t="shared" si="58"/>
        <v>0</v>
      </c>
      <c r="J92" s="8">
        <f t="shared" si="46"/>
        <v>0</v>
      </c>
      <c r="K92" s="8">
        <f t="shared" si="47"/>
        <v>0</v>
      </c>
      <c r="L92" s="86">
        <f t="shared" si="65"/>
        <v>0</v>
      </c>
      <c r="M92" s="86">
        <f t="shared" si="48"/>
        <v>0</v>
      </c>
      <c r="P92" s="8">
        <f t="shared" si="66"/>
        <v>0</v>
      </c>
      <c r="Q92" s="8">
        <v>0</v>
      </c>
      <c r="R92" s="8">
        <f t="shared" si="49"/>
        <v>0</v>
      </c>
      <c r="S92" s="8">
        <f t="shared" si="67"/>
        <v>0</v>
      </c>
      <c r="T92" s="8">
        <f t="shared" si="68"/>
        <v>0</v>
      </c>
      <c r="U92" s="8">
        <f t="shared" si="59"/>
        <v>0</v>
      </c>
      <c r="V92" s="8">
        <f t="shared" si="50"/>
        <v>0</v>
      </c>
      <c r="W92" s="8">
        <f t="shared" si="51"/>
        <v>0</v>
      </c>
      <c r="Y92" s="8">
        <f t="shared" si="52"/>
        <v>0</v>
      </c>
      <c r="Z92" s="5">
        <f t="shared" si="53"/>
        <v>0</v>
      </c>
      <c r="AA92" s="304">
        <f t="shared" si="54"/>
        <v>0</v>
      </c>
      <c r="AB92" s="380">
        <f t="shared" si="60"/>
        <v>0</v>
      </c>
      <c r="AC92" s="304">
        <f t="shared" si="55"/>
        <v>0</v>
      </c>
      <c r="AD92" s="14">
        <f t="shared" si="56"/>
        <v>0</v>
      </c>
      <c r="AE92" s="14">
        <f t="shared" si="57"/>
        <v>0</v>
      </c>
    </row>
    <row r="93" spans="2:31" x14ac:dyDescent="0.25">
      <c r="B93" s="5">
        <v>83</v>
      </c>
      <c r="C93" s="5">
        <f t="shared" si="61"/>
        <v>133</v>
      </c>
      <c r="D93" s="8">
        <f t="shared" si="62"/>
        <v>0</v>
      </c>
      <c r="E93" s="8">
        <v>0</v>
      </c>
      <c r="F93" s="8">
        <f t="shared" si="45"/>
        <v>0</v>
      </c>
      <c r="G93" s="8">
        <f t="shared" si="63"/>
        <v>0</v>
      </c>
      <c r="H93" s="8">
        <f t="shared" si="64"/>
        <v>0</v>
      </c>
      <c r="I93" s="8">
        <f t="shared" si="58"/>
        <v>0</v>
      </c>
      <c r="J93" s="8">
        <f t="shared" si="46"/>
        <v>0</v>
      </c>
      <c r="K93" s="8">
        <f t="shared" si="47"/>
        <v>0</v>
      </c>
      <c r="L93" s="86">
        <f t="shared" si="65"/>
        <v>0</v>
      </c>
      <c r="M93" s="86">
        <f t="shared" si="48"/>
        <v>0</v>
      </c>
      <c r="P93" s="8">
        <f t="shared" si="66"/>
        <v>0</v>
      </c>
      <c r="Q93" s="8">
        <v>0</v>
      </c>
      <c r="R93" s="8">
        <f t="shared" si="49"/>
        <v>0</v>
      </c>
      <c r="S93" s="8">
        <f t="shared" si="67"/>
        <v>0</v>
      </c>
      <c r="T93" s="8">
        <f t="shared" si="68"/>
        <v>0</v>
      </c>
      <c r="U93" s="8">
        <f t="shared" si="59"/>
        <v>0</v>
      </c>
      <c r="V93" s="8">
        <f t="shared" si="50"/>
        <v>0</v>
      </c>
      <c r="W93" s="8">
        <f t="shared" si="51"/>
        <v>0</v>
      </c>
      <c r="Y93" s="8">
        <f t="shared" si="52"/>
        <v>0</v>
      </c>
      <c r="Z93" s="5">
        <f t="shared" si="53"/>
        <v>0</v>
      </c>
      <c r="AA93" s="304">
        <f t="shared" si="54"/>
        <v>0</v>
      </c>
      <c r="AB93" s="380">
        <f t="shared" si="60"/>
        <v>0</v>
      </c>
      <c r="AC93" s="304">
        <f t="shared" si="55"/>
        <v>0</v>
      </c>
      <c r="AD93" s="14">
        <f t="shared" si="56"/>
        <v>0</v>
      </c>
      <c r="AE93" s="14">
        <f t="shared" si="57"/>
        <v>0</v>
      </c>
    </row>
    <row r="94" spans="2:31" x14ac:dyDescent="0.25">
      <c r="B94" s="5">
        <v>84</v>
      </c>
      <c r="C94" s="5">
        <f t="shared" si="61"/>
        <v>134</v>
      </c>
      <c r="D94" s="8">
        <f t="shared" si="62"/>
        <v>0</v>
      </c>
      <c r="E94" s="8">
        <v>0</v>
      </c>
      <c r="F94" s="8">
        <f t="shared" si="45"/>
        <v>0</v>
      </c>
      <c r="G94" s="8">
        <f t="shared" si="63"/>
        <v>0</v>
      </c>
      <c r="H94" s="8">
        <f t="shared" si="64"/>
        <v>0</v>
      </c>
      <c r="I94" s="8">
        <f t="shared" si="58"/>
        <v>0</v>
      </c>
      <c r="J94" s="8">
        <f t="shared" si="46"/>
        <v>0</v>
      </c>
      <c r="K94" s="8">
        <f t="shared" si="47"/>
        <v>0</v>
      </c>
      <c r="L94" s="86">
        <f t="shared" si="65"/>
        <v>0</v>
      </c>
      <c r="M94" s="86">
        <f t="shared" si="48"/>
        <v>0</v>
      </c>
      <c r="P94" s="8">
        <f t="shared" si="66"/>
        <v>0</v>
      </c>
      <c r="Q94" s="8">
        <v>0</v>
      </c>
      <c r="R94" s="8">
        <f t="shared" si="49"/>
        <v>0</v>
      </c>
      <c r="S94" s="8">
        <f t="shared" si="67"/>
        <v>0</v>
      </c>
      <c r="T94" s="8">
        <f t="shared" si="68"/>
        <v>0</v>
      </c>
      <c r="U94" s="8">
        <f t="shared" si="59"/>
        <v>0</v>
      </c>
      <c r="V94" s="8">
        <f t="shared" si="50"/>
        <v>0</v>
      </c>
      <c r="W94" s="8">
        <f t="shared" si="51"/>
        <v>0</v>
      </c>
      <c r="Y94" s="8">
        <f t="shared" si="52"/>
        <v>0</v>
      </c>
      <c r="Z94" s="5">
        <f t="shared" si="53"/>
        <v>0</v>
      </c>
      <c r="AA94" s="304">
        <f t="shared" si="54"/>
        <v>0</v>
      </c>
      <c r="AB94" s="380">
        <f t="shared" si="60"/>
        <v>0</v>
      </c>
      <c r="AC94" s="304">
        <f t="shared" si="55"/>
        <v>0</v>
      </c>
      <c r="AD94" s="14">
        <f t="shared" si="56"/>
        <v>0</v>
      </c>
      <c r="AE94" s="14">
        <f t="shared" si="57"/>
        <v>0</v>
      </c>
    </row>
    <row r="95" spans="2:31" x14ac:dyDescent="0.25">
      <c r="B95" s="5">
        <v>85</v>
      </c>
      <c r="C95" s="5">
        <f t="shared" si="61"/>
        <v>135</v>
      </c>
      <c r="D95" s="8">
        <f t="shared" si="62"/>
        <v>0</v>
      </c>
      <c r="E95" s="8">
        <v>0</v>
      </c>
      <c r="F95" s="8">
        <f t="shared" si="45"/>
        <v>0</v>
      </c>
      <c r="G95" s="8">
        <f t="shared" si="63"/>
        <v>0</v>
      </c>
      <c r="H95" s="8">
        <f t="shared" si="64"/>
        <v>0</v>
      </c>
      <c r="I95" s="8">
        <f t="shared" si="58"/>
        <v>0</v>
      </c>
      <c r="J95" s="8">
        <f t="shared" si="46"/>
        <v>0</v>
      </c>
      <c r="K95" s="8">
        <f t="shared" si="47"/>
        <v>0</v>
      </c>
      <c r="L95" s="86">
        <f t="shared" si="65"/>
        <v>0</v>
      </c>
      <c r="M95" s="86">
        <f t="shared" si="48"/>
        <v>0</v>
      </c>
      <c r="P95" s="8">
        <f t="shared" si="66"/>
        <v>0</v>
      </c>
      <c r="Q95" s="8">
        <v>0</v>
      </c>
      <c r="R95" s="8">
        <f t="shared" si="49"/>
        <v>0</v>
      </c>
      <c r="S95" s="8">
        <f t="shared" si="67"/>
        <v>0</v>
      </c>
      <c r="T95" s="8">
        <f t="shared" si="68"/>
        <v>0</v>
      </c>
      <c r="U95" s="8">
        <f t="shared" si="59"/>
        <v>0</v>
      </c>
      <c r="V95" s="8">
        <f t="shared" si="50"/>
        <v>0</v>
      </c>
      <c r="W95" s="8">
        <f t="shared" si="51"/>
        <v>0</v>
      </c>
      <c r="Y95" s="8">
        <f t="shared" si="52"/>
        <v>0</v>
      </c>
      <c r="Z95" s="5">
        <f t="shared" si="53"/>
        <v>0</v>
      </c>
      <c r="AA95" s="304">
        <f t="shared" si="54"/>
        <v>0</v>
      </c>
      <c r="AB95" s="380">
        <f t="shared" si="60"/>
        <v>0</v>
      </c>
      <c r="AC95" s="304">
        <f t="shared" si="55"/>
        <v>0</v>
      </c>
      <c r="AD95" s="14">
        <f t="shared" si="56"/>
        <v>0</v>
      </c>
      <c r="AE95" s="14">
        <f t="shared" si="57"/>
        <v>0</v>
      </c>
    </row>
    <row r="96" spans="2:31" x14ac:dyDescent="0.25">
      <c r="B96" s="5">
        <v>86</v>
      </c>
      <c r="C96" s="5">
        <f t="shared" si="61"/>
        <v>136</v>
      </c>
      <c r="D96" s="8">
        <f t="shared" si="62"/>
        <v>0</v>
      </c>
      <c r="E96" s="8">
        <v>0</v>
      </c>
      <c r="F96" s="8">
        <f t="shared" si="45"/>
        <v>0</v>
      </c>
      <c r="G96" s="8">
        <f t="shared" si="63"/>
        <v>0</v>
      </c>
      <c r="H96" s="8">
        <f t="shared" si="64"/>
        <v>0</v>
      </c>
      <c r="I96" s="8">
        <f t="shared" si="58"/>
        <v>0</v>
      </c>
      <c r="J96" s="8">
        <f t="shared" si="46"/>
        <v>0</v>
      </c>
      <c r="K96" s="8">
        <f t="shared" si="47"/>
        <v>0</v>
      </c>
      <c r="L96" s="86">
        <f t="shared" si="65"/>
        <v>0</v>
      </c>
      <c r="M96" s="86">
        <f t="shared" si="48"/>
        <v>0</v>
      </c>
      <c r="P96" s="8">
        <f t="shared" si="66"/>
        <v>0</v>
      </c>
      <c r="Q96" s="8">
        <v>0</v>
      </c>
      <c r="R96" s="8">
        <f t="shared" si="49"/>
        <v>0</v>
      </c>
      <c r="S96" s="8">
        <f t="shared" si="67"/>
        <v>0</v>
      </c>
      <c r="T96" s="8">
        <f t="shared" si="68"/>
        <v>0</v>
      </c>
      <c r="U96" s="8">
        <f t="shared" si="59"/>
        <v>0</v>
      </c>
      <c r="V96" s="8">
        <f t="shared" si="50"/>
        <v>0</v>
      </c>
      <c r="W96" s="8">
        <f t="shared" si="51"/>
        <v>0</v>
      </c>
      <c r="Y96" s="8">
        <f t="shared" si="52"/>
        <v>0</v>
      </c>
      <c r="Z96" s="5">
        <f t="shared" si="53"/>
        <v>0</v>
      </c>
      <c r="AA96" s="304">
        <f t="shared" si="54"/>
        <v>0</v>
      </c>
      <c r="AB96" s="380">
        <f t="shared" si="60"/>
        <v>0</v>
      </c>
      <c r="AC96" s="304">
        <f t="shared" si="55"/>
        <v>0</v>
      </c>
      <c r="AD96" s="14">
        <f t="shared" si="56"/>
        <v>0</v>
      </c>
      <c r="AE96" s="14">
        <f t="shared" si="57"/>
        <v>0</v>
      </c>
    </row>
    <row r="97" spans="2:31" x14ac:dyDescent="0.25">
      <c r="B97" s="5">
        <v>87</v>
      </c>
      <c r="C97" s="5">
        <f t="shared" si="61"/>
        <v>137</v>
      </c>
      <c r="D97" s="8">
        <f t="shared" si="62"/>
        <v>0</v>
      </c>
      <c r="E97" s="8">
        <v>0</v>
      </c>
      <c r="F97" s="8">
        <f t="shared" si="45"/>
        <v>0</v>
      </c>
      <c r="G97" s="8">
        <f t="shared" si="63"/>
        <v>0</v>
      </c>
      <c r="H97" s="8">
        <f t="shared" si="64"/>
        <v>0</v>
      </c>
      <c r="I97" s="8">
        <f t="shared" si="58"/>
        <v>0</v>
      </c>
      <c r="J97" s="8">
        <f t="shared" si="46"/>
        <v>0</v>
      </c>
      <c r="K97" s="8">
        <f t="shared" si="47"/>
        <v>0</v>
      </c>
      <c r="L97" s="86">
        <f t="shared" si="65"/>
        <v>0</v>
      </c>
      <c r="M97" s="86">
        <f t="shared" si="48"/>
        <v>0</v>
      </c>
      <c r="P97" s="8">
        <f t="shared" si="66"/>
        <v>0</v>
      </c>
      <c r="Q97" s="8">
        <v>0</v>
      </c>
      <c r="R97" s="8">
        <f t="shared" si="49"/>
        <v>0</v>
      </c>
      <c r="S97" s="8">
        <f t="shared" si="67"/>
        <v>0</v>
      </c>
      <c r="T97" s="8">
        <f t="shared" si="68"/>
        <v>0</v>
      </c>
      <c r="U97" s="8">
        <f t="shared" si="59"/>
        <v>0</v>
      </c>
      <c r="V97" s="8">
        <f t="shared" si="50"/>
        <v>0</v>
      </c>
      <c r="W97" s="8">
        <f t="shared" si="51"/>
        <v>0</v>
      </c>
      <c r="Y97" s="8">
        <f t="shared" si="52"/>
        <v>0</v>
      </c>
      <c r="Z97" s="5">
        <f t="shared" si="53"/>
        <v>0</v>
      </c>
      <c r="AA97" s="304">
        <f t="shared" si="54"/>
        <v>0</v>
      </c>
      <c r="AB97" s="380">
        <f t="shared" si="60"/>
        <v>0</v>
      </c>
      <c r="AC97" s="304">
        <f t="shared" si="55"/>
        <v>0</v>
      </c>
      <c r="AD97" s="14">
        <f t="shared" si="56"/>
        <v>0</v>
      </c>
      <c r="AE97" s="14">
        <f t="shared" si="57"/>
        <v>0</v>
      </c>
    </row>
    <row r="98" spans="2:31" x14ac:dyDescent="0.25">
      <c r="B98" s="5">
        <v>88</v>
      </c>
      <c r="C98" s="5">
        <f t="shared" si="61"/>
        <v>138</v>
      </c>
      <c r="D98" s="8">
        <f t="shared" si="62"/>
        <v>0</v>
      </c>
      <c r="E98" s="8">
        <v>0</v>
      </c>
      <c r="F98" s="8">
        <f t="shared" si="45"/>
        <v>0</v>
      </c>
      <c r="G98" s="8">
        <f t="shared" si="63"/>
        <v>0</v>
      </c>
      <c r="H98" s="8">
        <f t="shared" si="64"/>
        <v>0</v>
      </c>
      <c r="I98" s="8">
        <f t="shared" si="58"/>
        <v>0</v>
      </c>
      <c r="J98" s="8">
        <f t="shared" si="46"/>
        <v>0</v>
      </c>
      <c r="K98" s="8">
        <f t="shared" si="47"/>
        <v>0</v>
      </c>
      <c r="L98" s="86">
        <f t="shared" si="65"/>
        <v>0</v>
      </c>
      <c r="M98" s="86">
        <f t="shared" si="48"/>
        <v>0</v>
      </c>
      <c r="P98" s="8">
        <f t="shared" si="66"/>
        <v>0</v>
      </c>
      <c r="Q98" s="8">
        <v>0</v>
      </c>
      <c r="R98" s="8">
        <f t="shared" si="49"/>
        <v>0</v>
      </c>
      <c r="S98" s="8">
        <f t="shared" si="67"/>
        <v>0</v>
      </c>
      <c r="T98" s="8">
        <f t="shared" si="68"/>
        <v>0</v>
      </c>
      <c r="U98" s="8">
        <f t="shared" si="59"/>
        <v>0</v>
      </c>
      <c r="V98" s="8">
        <f t="shared" si="50"/>
        <v>0</v>
      </c>
      <c r="W98" s="8">
        <f t="shared" si="51"/>
        <v>0</v>
      </c>
      <c r="Y98" s="8">
        <f t="shared" si="52"/>
        <v>0</v>
      </c>
      <c r="Z98" s="5">
        <f t="shared" si="53"/>
        <v>0</v>
      </c>
      <c r="AA98" s="304">
        <f t="shared" si="54"/>
        <v>0</v>
      </c>
      <c r="AB98" s="380">
        <f t="shared" si="60"/>
        <v>0</v>
      </c>
      <c r="AC98" s="304">
        <f t="shared" si="55"/>
        <v>0</v>
      </c>
      <c r="AD98" s="14">
        <f t="shared" si="56"/>
        <v>0</v>
      </c>
      <c r="AE98" s="14">
        <f t="shared" si="57"/>
        <v>0</v>
      </c>
    </row>
    <row r="99" spans="2:31" x14ac:dyDescent="0.25">
      <c r="B99" s="5">
        <v>89</v>
      </c>
      <c r="C99" s="5">
        <f t="shared" si="61"/>
        <v>139</v>
      </c>
      <c r="D99" s="8">
        <f t="shared" si="62"/>
        <v>0</v>
      </c>
      <c r="E99" s="8">
        <v>0</v>
      </c>
      <c r="F99" s="8">
        <f t="shared" si="45"/>
        <v>0</v>
      </c>
      <c r="G99" s="8">
        <f t="shared" si="63"/>
        <v>0</v>
      </c>
      <c r="H99" s="8">
        <f t="shared" si="64"/>
        <v>0</v>
      </c>
      <c r="I99" s="8">
        <f t="shared" si="58"/>
        <v>0</v>
      </c>
      <c r="J99" s="8">
        <f t="shared" si="46"/>
        <v>0</v>
      </c>
      <c r="K99" s="8">
        <f t="shared" si="47"/>
        <v>0</v>
      </c>
      <c r="L99" s="86">
        <f t="shared" si="65"/>
        <v>0</v>
      </c>
      <c r="M99" s="86">
        <f t="shared" si="48"/>
        <v>0</v>
      </c>
      <c r="P99" s="8">
        <f t="shared" si="66"/>
        <v>0</v>
      </c>
      <c r="Q99" s="8">
        <v>0</v>
      </c>
      <c r="R99" s="8">
        <f t="shared" si="49"/>
        <v>0</v>
      </c>
      <c r="S99" s="8">
        <f t="shared" si="67"/>
        <v>0</v>
      </c>
      <c r="T99" s="8">
        <f t="shared" si="68"/>
        <v>0</v>
      </c>
      <c r="U99" s="8">
        <f t="shared" si="59"/>
        <v>0</v>
      </c>
      <c r="V99" s="8">
        <f t="shared" si="50"/>
        <v>0</v>
      </c>
      <c r="W99" s="8">
        <f t="shared" si="51"/>
        <v>0</v>
      </c>
      <c r="Y99" s="8">
        <f t="shared" si="52"/>
        <v>0</v>
      </c>
      <c r="Z99" s="5">
        <f t="shared" si="53"/>
        <v>0</v>
      </c>
      <c r="AA99" s="304">
        <f t="shared" si="54"/>
        <v>0</v>
      </c>
      <c r="AB99" s="380">
        <f t="shared" si="60"/>
        <v>0</v>
      </c>
      <c r="AC99" s="304">
        <f t="shared" si="55"/>
        <v>0</v>
      </c>
      <c r="AD99" s="14">
        <f t="shared" si="56"/>
        <v>0</v>
      </c>
      <c r="AE99" s="14">
        <f t="shared" si="57"/>
        <v>0</v>
      </c>
    </row>
    <row r="100" spans="2:31" x14ac:dyDescent="0.25">
      <c r="B100" s="5">
        <v>90</v>
      </c>
      <c r="C100" s="5">
        <f t="shared" si="61"/>
        <v>140</v>
      </c>
      <c r="D100" s="8">
        <f t="shared" si="62"/>
        <v>0</v>
      </c>
      <c r="E100" s="8">
        <v>0</v>
      </c>
      <c r="F100" s="8">
        <f t="shared" si="45"/>
        <v>0</v>
      </c>
      <c r="G100" s="8">
        <f t="shared" si="63"/>
        <v>0</v>
      </c>
      <c r="H100" s="8">
        <f t="shared" si="64"/>
        <v>0</v>
      </c>
      <c r="I100" s="8">
        <f t="shared" si="58"/>
        <v>0</v>
      </c>
      <c r="J100" s="8">
        <f t="shared" si="46"/>
        <v>0</v>
      </c>
      <c r="K100" s="8">
        <f t="shared" si="47"/>
        <v>0</v>
      </c>
      <c r="L100" s="86">
        <f t="shared" si="65"/>
        <v>0</v>
      </c>
      <c r="M100" s="86">
        <f t="shared" si="48"/>
        <v>0</v>
      </c>
      <c r="P100" s="8">
        <f t="shared" si="66"/>
        <v>0</v>
      </c>
      <c r="Q100" s="8">
        <v>0</v>
      </c>
      <c r="R100" s="8">
        <f t="shared" si="49"/>
        <v>0</v>
      </c>
      <c r="S100" s="8">
        <f t="shared" si="67"/>
        <v>0</v>
      </c>
      <c r="T100" s="8">
        <f t="shared" si="68"/>
        <v>0</v>
      </c>
      <c r="U100" s="8">
        <f t="shared" si="59"/>
        <v>0</v>
      </c>
      <c r="V100" s="8">
        <f t="shared" si="50"/>
        <v>0</v>
      </c>
      <c r="W100" s="8">
        <f t="shared" si="51"/>
        <v>0</v>
      </c>
      <c r="Y100" s="8">
        <f t="shared" si="52"/>
        <v>0</v>
      </c>
      <c r="Z100" s="5">
        <f t="shared" si="53"/>
        <v>0</v>
      </c>
      <c r="AA100" s="304">
        <f t="shared" si="54"/>
        <v>0</v>
      </c>
      <c r="AB100" s="380">
        <f t="shared" si="60"/>
        <v>0</v>
      </c>
      <c r="AC100" s="304">
        <f t="shared" si="55"/>
        <v>0</v>
      </c>
      <c r="AD100" s="14">
        <f t="shared" si="56"/>
        <v>0</v>
      </c>
      <c r="AE100" s="14">
        <f t="shared" si="57"/>
        <v>0</v>
      </c>
    </row>
    <row r="101" spans="2:31" x14ac:dyDescent="0.25">
      <c r="B101" s="5">
        <v>91</v>
      </c>
      <c r="C101" s="5">
        <f t="shared" si="61"/>
        <v>141</v>
      </c>
      <c r="D101" s="8">
        <f t="shared" si="62"/>
        <v>0</v>
      </c>
      <c r="E101" s="8">
        <v>0</v>
      </c>
      <c r="F101" s="8">
        <f t="shared" si="45"/>
        <v>0</v>
      </c>
      <c r="G101" s="8">
        <f t="shared" si="63"/>
        <v>0</v>
      </c>
      <c r="H101" s="8">
        <f t="shared" si="64"/>
        <v>0</v>
      </c>
      <c r="I101" s="8">
        <f t="shared" si="58"/>
        <v>0</v>
      </c>
      <c r="J101" s="8">
        <f t="shared" si="46"/>
        <v>0</v>
      </c>
      <c r="K101" s="8">
        <f t="shared" si="47"/>
        <v>0</v>
      </c>
      <c r="L101" s="86">
        <f t="shared" si="65"/>
        <v>0</v>
      </c>
      <c r="M101" s="86">
        <f t="shared" si="48"/>
        <v>0</v>
      </c>
      <c r="P101" s="8">
        <f t="shared" si="66"/>
        <v>0</v>
      </c>
      <c r="Q101" s="8">
        <v>0</v>
      </c>
      <c r="R101" s="8">
        <f t="shared" si="49"/>
        <v>0</v>
      </c>
      <c r="S101" s="8">
        <f t="shared" si="67"/>
        <v>0</v>
      </c>
      <c r="T101" s="8">
        <f t="shared" si="68"/>
        <v>0</v>
      </c>
      <c r="U101" s="8">
        <f t="shared" si="59"/>
        <v>0</v>
      </c>
      <c r="V101" s="8">
        <f t="shared" si="50"/>
        <v>0</v>
      </c>
      <c r="W101" s="8">
        <f t="shared" si="51"/>
        <v>0</v>
      </c>
      <c r="Y101" s="8">
        <f t="shared" si="52"/>
        <v>0</v>
      </c>
      <c r="Z101" s="5">
        <f t="shared" si="53"/>
        <v>0</v>
      </c>
      <c r="AA101" s="304">
        <f t="shared" si="54"/>
        <v>0</v>
      </c>
      <c r="AB101" s="380">
        <f t="shared" si="60"/>
        <v>0</v>
      </c>
      <c r="AC101" s="304">
        <f t="shared" si="55"/>
        <v>0</v>
      </c>
      <c r="AD101" s="14">
        <f t="shared" si="56"/>
        <v>0</v>
      </c>
      <c r="AE101" s="14">
        <f t="shared" si="57"/>
        <v>0</v>
      </c>
    </row>
    <row r="102" spans="2:31" x14ac:dyDescent="0.25">
      <c r="B102" s="5">
        <v>92</v>
      </c>
      <c r="C102" s="5">
        <f t="shared" si="61"/>
        <v>142</v>
      </c>
      <c r="D102" s="8">
        <f t="shared" si="62"/>
        <v>0</v>
      </c>
      <c r="E102" s="8">
        <v>0</v>
      </c>
      <c r="F102" s="8">
        <f t="shared" si="45"/>
        <v>0</v>
      </c>
      <c r="G102" s="8">
        <f t="shared" si="63"/>
        <v>0</v>
      </c>
      <c r="H102" s="8">
        <f t="shared" si="64"/>
        <v>0</v>
      </c>
      <c r="I102" s="8">
        <f t="shared" si="58"/>
        <v>0</v>
      </c>
      <c r="J102" s="8">
        <f t="shared" si="46"/>
        <v>0</v>
      </c>
      <c r="K102" s="8">
        <f t="shared" si="47"/>
        <v>0</v>
      </c>
      <c r="L102" s="86">
        <f t="shared" si="65"/>
        <v>0</v>
      </c>
      <c r="M102" s="86">
        <f t="shared" si="48"/>
        <v>0</v>
      </c>
      <c r="P102" s="8">
        <f t="shared" si="66"/>
        <v>0</v>
      </c>
      <c r="Q102" s="8">
        <v>0</v>
      </c>
      <c r="R102" s="8">
        <f t="shared" si="49"/>
        <v>0</v>
      </c>
      <c r="S102" s="8">
        <f t="shared" si="67"/>
        <v>0</v>
      </c>
      <c r="T102" s="8">
        <f t="shared" si="68"/>
        <v>0</v>
      </c>
      <c r="U102" s="8">
        <f t="shared" si="59"/>
        <v>0</v>
      </c>
      <c r="V102" s="8">
        <f t="shared" si="50"/>
        <v>0</v>
      </c>
      <c r="W102" s="8">
        <f t="shared" si="51"/>
        <v>0</v>
      </c>
      <c r="Y102" s="8">
        <f t="shared" si="52"/>
        <v>0</v>
      </c>
      <c r="Z102" s="5">
        <f t="shared" si="53"/>
        <v>0</v>
      </c>
      <c r="AA102" s="304">
        <f t="shared" si="54"/>
        <v>0</v>
      </c>
      <c r="AB102" s="380">
        <f t="shared" si="60"/>
        <v>0</v>
      </c>
      <c r="AC102" s="304">
        <f t="shared" si="55"/>
        <v>0</v>
      </c>
      <c r="AD102" s="14">
        <f t="shared" si="56"/>
        <v>0</v>
      </c>
      <c r="AE102" s="14">
        <f t="shared" si="57"/>
        <v>0</v>
      </c>
    </row>
    <row r="103" spans="2:31" x14ac:dyDescent="0.25">
      <c r="B103" s="5">
        <v>93</v>
      </c>
      <c r="C103" s="5">
        <f t="shared" si="61"/>
        <v>143</v>
      </c>
      <c r="D103" s="8">
        <f t="shared" si="62"/>
        <v>0</v>
      </c>
      <c r="E103" s="8">
        <v>0</v>
      </c>
      <c r="F103" s="8">
        <f t="shared" si="45"/>
        <v>0</v>
      </c>
      <c r="G103" s="8">
        <f t="shared" si="63"/>
        <v>0</v>
      </c>
      <c r="H103" s="8">
        <f t="shared" si="64"/>
        <v>0</v>
      </c>
      <c r="I103" s="8">
        <f t="shared" si="58"/>
        <v>0</v>
      </c>
      <c r="J103" s="8">
        <f t="shared" si="46"/>
        <v>0</v>
      </c>
      <c r="K103" s="8">
        <f t="shared" si="47"/>
        <v>0</v>
      </c>
      <c r="L103" s="86">
        <f t="shared" si="65"/>
        <v>0</v>
      </c>
      <c r="M103" s="86">
        <f t="shared" si="48"/>
        <v>0</v>
      </c>
      <c r="P103" s="8">
        <f t="shared" si="66"/>
        <v>0</v>
      </c>
      <c r="Q103" s="8">
        <v>0</v>
      </c>
      <c r="R103" s="8">
        <f t="shared" si="49"/>
        <v>0</v>
      </c>
      <c r="S103" s="8">
        <f t="shared" si="67"/>
        <v>0</v>
      </c>
      <c r="T103" s="8">
        <f t="shared" si="68"/>
        <v>0</v>
      </c>
      <c r="U103" s="8">
        <f t="shared" si="59"/>
        <v>0</v>
      </c>
      <c r="V103" s="8">
        <f t="shared" si="50"/>
        <v>0</v>
      </c>
      <c r="W103" s="8">
        <f t="shared" si="51"/>
        <v>0</v>
      </c>
      <c r="Y103" s="8">
        <f t="shared" si="52"/>
        <v>0</v>
      </c>
      <c r="Z103" s="5">
        <f t="shared" si="53"/>
        <v>0</v>
      </c>
      <c r="AA103" s="304">
        <f t="shared" si="54"/>
        <v>0</v>
      </c>
      <c r="AB103" s="380">
        <f t="shared" si="60"/>
        <v>0</v>
      </c>
      <c r="AC103" s="304">
        <f t="shared" si="55"/>
        <v>0</v>
      </c>
      <c r="AD103" s="14">
        <f t="shared" si="56"/>
        <v>0</v>
      </c>
      <c r="AE103" s="14">
        <f t="shared" si="57"/>
        <v>0</v>
      </c>
    </row>
    <row r="104" spans="2:31" x14ac:dyDescent="0.25">
      <c r="B104" s="5">
        <v>94</v>
      </c>
      <c r="C104" s="5">
        <f t="shared" si="61"/>
        <v>144</v>
      </c>
      <c r="D104" s="8">
        <f t="shared" si="62"/>
        <v>0</v>
      </c>
      <c r="E104" s="8">
        <v>0</v>
      </c>
      <c r="F104" s="8">
        <f t="shared" si="45"/>
        <v>0</v>
      </c>
      <c r="G104" s="8">
        <f t="shared" si="63"/>
        <v>0</v>
      </c>
      <c r="H104" s="8">
        <f t="shared" si="64"/>
        <v>0</v>
      </c>
      <c r="I104" s="8">
        <f t="shared" si="58"/>
        <v>0</v>
      </c>
      <c r="J104" s="8">
        <f t="shared" si="46"/>
        <v>0</v>
      </c>
      <c r="K104" s="8">
        <f t="shared" si="47"/>
        <v>0</v>
      </c>
      <c r="L104" s="86">
        <f t="shared" si="65"/>
        <v>0</v>
      </c>
      <c r="M104" s="86">
        <f t="shared" si="48"/>
        <v>0</v>
      </c>
      <c r="P104" s="8">
        <f t="shared" si="66"/>
        <v>0</v>
      </c>
      <c r="Q104" s="8">
        <v>0</v>
      </c>
      <c r="R104" s="8">
        <f t="shared" si="49"/>
        <v>0</v>
      </c>
      <c r="S104" s="8">
        <f t="shared" si="67"/>
        <v>0</v>
      </c>
      <c r="T104" s="8">
        <f t="shared" si="68"/>
        <v>0</v>
      </c>
      <c r="U104" s="8">
        <f t="shared" si="59"/>
        <v>0</v>
      </c>
      <c r="V104" s="8">
        <f t="shared" si="50"/>
        <v>0</v>
      </c>
      <c r="W104" s="8">
        <f t="shared" si="51"/>
        <v>0</v>
      </c>
      <c r="Y104" s="8">
        <f t="shared" si="52"/>
        <v>0</v>
      </c>
      <c r="Z104" s="5">
        <f t="shared" si="53"/>
        <v>0</v>
      </c>
      <c r="AA104" s="304">
        <f t="shared" si="54"/>
        <v>0</v>
      </c>
      <c r="AB104" s="380">
        <f t="shared" si="60"/>
        <v>0</v>
      </c>
      <c r="AC104" s="304">
        <f t="shared" si="55"/>
        <v>0</v>
      </c>
      <c r="AD104" s="14">
        <f t="shared" si="56"/>
        <v>0</v>
      </c>
      <c r="AE104" s="14">
        <f t="shared" si="57"/>
        <v>0</v>
      </c>
    </row>
    <row r="105" spans="2:31" x14ac:dyDescent="0.25">
      <c r="B105" s="5">
        <v>95</v>
      </c>
      <c r="C105" s="5">
        <f t="shared" si="61"/>
        <v>145</v>
      </c>
      <c r="D105" s="8">
        <f t="shared" si="62"/>
        <v>0</v>
      </c>
      <c r="E105" s="8">
        <v>0</v>
      </c>
      <c r="F105" s="8">
        <f t="shared" si="45"/>
        <v>0</v>
      </c>
      <c r="G105" s="8">
        <f t="shared" si="63"/>
        <v>0</v>
      </c>
      <c r="H105" s="8">
        <f t="shared" si="64"/>
        <v>0</v>
      </c>
      <c r="I105" s="8">
        <f t="shared" si="58"/>
        <v>0</v>
      </c>
      <c r="J105" s="8">
        <f t="shared" si="46"/>
        <v>0</v>
      </c>
      <c r="K105" s="8">
        <f t="shared" si="47"/>
        <v>0</v>
      </c>
      <c r="L105" s="86">
        <f t="shared" si="65"/>
        <v>0</v>
      </c>
      <c r="M105" s="86">
        <f t="shared" si="48"/>
        <v>0</v>
      </c>
      <c r="P105" s="8">
        <f t="shared" si="66"/>
        <v>0</v>
      </c>
      <c r="Q105" s="8">
        <v>0</v>
      </c>
      <c r="R105" s="8">
        <f t="shared" si="49"/>
        <v>0</v>
      </c>
      <c r="S105" s="8">
        <f t="shared" si="67"/>
        <v>0</v>
      </c>
      <c r="T105" s="8">
        <f t="shared" si="68"/>
        <v>0</v>
      </c>
      <c r="U105" s="8">
        <f t="shared" si="59"/>
        <v>0</v>
      </c>
      <c r="V105" s="8">
        <f t="shared" si="50"/>
        <v>0</v>
      </c>
      <c r="W105" s="8">
        <f t="shared" si="51"/>
        <v>0</v>
      </c>
      <c r="Y105" s="8">
        <f t="shared" si="52"/>
        <v>0</v>
      </c>
      <c r="Z105" s="5">
        <f t="shared" si="53"/>
        <v>0</v>
      </c>
      <c r="AA105" s="304">
        <f t="shared" si="54"/>
        <v>0</v>
      </c>
      <c r="AB105" s="380">
        <f t="shared" si="60"/>
        <v>0</v>
      </c>
      <c r="AC105" s="304">
        <f t="shared" si="55"/>
        <v>0</v>
      </c>
      <c r="AD105" s="14">
        <f t="shared" si="56"/>
        <v>0</v>
      </c>
      <c r="AE105" s="14">
        <f t="shared" si="57"/>
        <v>0</v>
      </c>
    </row>
    <row r="106" spans="2:31" x14ac:dyDescent="0.25">
      <c r="B106" s="5">
        <v>96</v>
      </c>
      <c r="C106" s="5">
        <f t="shared" si="61"/>
        <v>146</v>
      </c>
      <c r="D106" s="8">
        <f t="shared" si="62"/>
        <v>0</v>
      </c>
      <c r="E106" s="8">
        <v>0</v>
      </c>
      <c r="F106" s="8">
        <f t="shared" si="45"/>
        <v>0</v>
      </c>
      <c r="G106" s="8">
        <f t="shared" si="63"/>
        <v>0</v>
      </c>
      <c r="H106" s="8">
        <f t="shared" si="64"/>
        <v>0</v>
      </c>
      <c r="I106" s="8">
        <f t="shared" si="58"/>
        <v>0</v>
      </c>
      <c r="J106" s="8">
        <f t="shared" si="46"/>
        <v>0</v>
      </c>
      <c r="K106" s="8">
        <f t="shared" si="47"/>
        <v>0</v>
      </c>
      <c r="L106" s="86">
        <f t="shared" si="65"/>
        <v>0</v>
      </c>
      <c r="M106" s="86">
        <f t="shared" ref="M106:M110" si="69">L106/((1+DiscRate)^B106)</f>
        <v>0</v>
      </c>
      <c r="P106" s="8">
        <f t="shared" si="66"/>
        <v>0</v>
      </c>
      <c r="Q106" s="8">
        <v>0</v>
      </c>
      <c r="R106" s="8">
        <f t="shared" si="49"/>
        <v>0</v>
      </c>
      <c r="S106" s="8">
        <f t="shared" si="67"/>
        <v>0</v>
      </c>
      <c r="T106" s="8">
        <f t="shared" si="68"/>
        <v>0</v>
      </c>
      <c r="U106" s="8">
        <f t="shared" si="59"/>
        <v>0</v>
      </c>
      <c r="V106" s="8">
        <f t="shared" si="50"/>
        <v>0</v>
      </c>
      <c r="W106" s="8">
        <f t="shared" si="51"/>
        <v>0</v>
      </c>
      <c r="Y106" s="8">
        <f t="shared" si="52"/>
        <v>0</v>
      </c>
      <c r="Z106" s="5">
        <f t="shared" si="53"/>
        <v>0</v>
      </c>
      <c r="AA106" s="304">
        <f t="shared" si="54"/>
        <v>0</v>
      </c>
      <c r="AB106" s="380">
        <f t="shared" si="60"/>
        <v>0</v>
      </c>
      <c r="AC106" s="304">
        <f t="shared" ref="AC106:AC110" si="70">AB106+(AB106*NFCVDMult)</f>
        <v>0</v>
      </c>
      <c r="AD106" s="14">
        <f t="shared" ref="AD106:AD110" si="71">AC106*cCVDacute</f>
        <v>0</v>
      </c>
      <c r="AE106" s="14">
        <f t="shared" si="57"/>
        <v>0</v>
      </c>
    </row>
    <row r="107" spans="2:31" x14ac:dyDescent="0.25">
      <c r="B107" s="5">
        <v>97</v>
      </c>
      <c r="C107" s="5">
        <f t="shared" si="61"/>
        <v>147</v>
      </c>
      <c r="D107" s="8">
        <f t="shared" si="62"/>
        <v>0</v>
      </c>
      <c r="E107" s="8">
        <v>0</v>
      </c>
      <c r="F107" s="8">
        <f t="shared" si="45"/>
        <v>0</v>
      </c>
      <c r="G107" s="8">
        <f t="shared" si="63"/>
        <v>0</v>
      </c>
      <c r="H107" s="8">
        <f t="shared" si="64"/>
        <v>0</v>
      </c>
      <c r="I107" s="8">
        <f t="shared" ref="I107:I110" si="72">(H107*(VLOOKUP(C107,TableUtil,2,TRUE))*(1-pCVD)+(H107*((MIN((VLOOKUP(C107,TableUtil,2,TRUE)),uCVD))*pCVD)))</f>
        <v>0</v>
      </c>
      <c r="J107" s="8">
        <f t="shared" si="46"/>
        <v>0</v>
      </c>
      <c r="K107" s="8">
        <f t="shared" si="47"/>
        <v>0</v>
      </c>
      <c r="L107" s="86">
        <f t="shared" si="65"/>
        <v>0</v>
      </c>
      <c r="M107" s="86">
        <f t="shared" si="69"/>
        <v>0</v>
      </c>
      <c r="P107" s="8">
        <f t="shared" si="66"/>
        <v>0</v>
      </c>
      <c r="Q107" s="8">
        <v>0</v>
      </c>
      <c r="R107" s="8">
        <f t="shared" si="49"/>
        <v>0</v>
      </c>
      <c r="S107" s="8">
        <f t="shared" si="67"/>
        <v>0</v>
      </c>
      <c r="T107" s="8">
        <f t="shared" si="68"/>
        <v>0</v>
      </c>
      <c r="U107" s="8">
        <f t="shared" ref="U107:U110" si="73">(T107*(VLOOKUP(C107,TableUtil,2,TRUE))*(1-pCVD)+(T107*((MIN((VLOOKUP(C107,TableUtil,2,TRUE)),uCVD))*pCVD)))-AA107</f>
        <v>0</v>
      </c>
      <c r="V107" s="8">
        <f t="shared" si="50"/>
        <v>0</v>
      </c>
      <c r="W107" s="8">
        <f t="shared" si="51"/>
        <v>0</v>
      </c>
      <c r="Y107" s="8">
        <f t="shared" si="52"/>
        <v>0</v>
      </c>
      <c r="Z107" s="5">
        <f t="shared" si="53"/>
        <v>0</v>
      </c>
      <c r="AA107" s="304">
        <f t="shared" si="54"/>
        <v>0</v>
      </c>
      <c r="AB107" s="380">
        <f t="shared" si="60"/>
        <v>0</v>
      </c>
      <c r="AC107" s="304">
        <f t="shared" si="70"/>
        <v>0</v>
      </c>
      <c r="AD107" s="14">
        <f t="shared" si="71"/>
        <v>0</v>
      </c>
      <c r="AE107" s="14">
        <f t="shared" si="57"/>
        <v>0</v>
      </c>
    </row>
    <row r="108" spans="2:31" x14ac:dyDescent="0.25">
      <c r="B108" s="5">
        <v>98</v>
      </c>
      <c r="C108" s="5">
        <f t="shared" si="61"/>
        <v>148</v>
      </c>
      <c r="D108" s="8">
        <f t="shared" si="62"/>
        <v>0</v>
      </c>
      <c r="E108" s="8">
        <v>0</v>
      </c>
      <c r="F108" s="8">
        <f t="shared" si="45"/>
        <v>0</v>
      </c>
      <c r="G108" s="8">
        <f t="shared" si="63"/>
        <v>0</v>
      </c>
      <c r="H108" s="8">
        <f t="shared" si="64"/>
        <v>0</v>
      </c>
      <c r="I108" s="8">
        <f t="shared" si="72"/>
        <v>0</v>
      </c>
      <c r="J108" s="8">
        <f t="shared" si="46"/>
        <v>0</v>
      </c>
      <c r="K108" s="8">
        <f t="shared" si="47"/>
        <v>0</v>
      </c>
      <c r="L108" s="86">
        <f t="shared" si="65"/>
        <v>0</v>
      </c>
      <c r="M108" s="86">
        <f t="shared" si="69"/>
        <v>0</v>
      </c>
      <c r="P108" s="8">
        <f t="shared" si="66"/>
        <v>0</v>
      </c>
      <c r="Q108" s="8">
        <v>0</v>
      </c>
      <c r="R108" s="8">
        <f t="shared" si="49"/>
        <v>0</v>
      </c>
      <c r="S108" s="8">
        <f t="shared" si="67"/>
        <v>0</v>
      </c>
      <c r="T108" s="8">
        <f t="shared" si="68"/>
        <v>0</v>
      </c>
      <c r="U108" s="8">
        <f t="shared" si="73"/>
        <v>0</v>
      </c>
      <c r="V108" s="8">
        <f t="shared" si="50"/>
        <v>0</v>
      </c>
      <c r="W108" s="8">
        <f t="shared" si="51"/>
        <v>0</v>
      </c>
      <c r="Y108" s="8">
        <f t="shared" si="52"/>
        <v>0</v>
      </c>
      <c r="Z108" s="5">
        <f t="shared" si="53"/>
        <v>0</v>
      </c>
      <c r="AA108" s="304">
        <f t="shared" si="54"/>
        <v>0</v>
      </c>
      <c r="AB108" s="380">
        <f t="shared" si="60"/>
        <v>0</v>
      </c>
      <c r="AC108" s="304">
        <f t="shared" si="70"/>
        <v>0</v>
      </c>
      <c r="AD108" s="14">
        <f t="shared" si="71"/>
        <v>0</v>
      </c>
      <c r="AE108" s="14">
        <f t="shared" si="57"/>
        <v>0</v>
      </c>
    </row>
    <row r="109" spans="2:31" x14ac:dyDescent="0.25">
      <c r="B109" s="5">
        <v>99</v>
      </c>
      <c r="C109" s="5">
        <f t="shared" si="61"/>
        <v>149</v>
      </c>
      <c r="D109" s="8">
        <f t="shared" si="62"/>
        <v>0</v>
      </c>
      <c r="E109" s="8">
        <v>0</v>
      </c>
      <c r="F109" s="8">
        <f t="shared" si="45"/>
        <v>0</v>
      </c>
      <c r="G109" s="8">
        <f t="shared" si="63"/>
        <v>0</v>
      </c>
      <c r="H109" s="8">
        <f t="shared" si="64"/>
        <v>0</v>
      </c>
      <c r="I109" s="8">
        <f t="shared" si="72"/>
        <v>0</v>
      </c>
      <c r="J109" s="8">
        <f t="shared" si="46"/>
        <v>0</v>
      </c>
      <c r="K109" s="8">
        <f t="shared" si="47"/>
        <v>0</v>
      </c>
      <c r="L109" s="86">
        <f t="shared" si="65"/>
        <v>0</v>
      </c>
      <c r="M109" s="86">
        <f t="shared" si="69"/>
        <v>0</v>
      </c>
      <c r="P109" s="8">
        <f t="shared" si="66"/>
        <v>0</v>
      </c>
      <c r="Q109" s="8">
        <v>0</v>
      </c>
      <c r="R109" s="8">
        <f t="shared" si="49"/>
        <v>0</v>
      </c>
      <c r="S109" s="8">
        <f t="shared" si="67"/>
        <v>0</v>
      </c>
      <c r="T109" s="8">
        <f t="shared" si="68"/>
        <v>0</v>
      </c>
      <c r="U109" s="8">
        <f t="shared" si="73"/>
        <v>0</v>
      </c>
      <c r="V109" s="8">
        <f t="shared" si="50"/>
        <v>0</v>
      </c>
      <c r="W109" s="8">
        <f t="shared" si="51"/>
        <v>0</v>
      </c>
      <c r="Y109" s="8">
        <f t="shared" si="52"/>
        <v>0</v>
      </c>
      <c r="Z109" s="5">
        <f t="shared" si="53"/>
        <v>0</v>
      </c>
      <c r="AA109" s="304">
        <f t="shared" si="54"/>
        <v>0</v>
      </c>
      <c r="AB109" s="380">
        <f t="shared" si="60"/>
        <v>0</v>
      </c>
      <c r="AC109" s="304">
        <f t="shared" si="70"/>
        <v>0</v>
      </c>
      <c r="AD109" s="14">
        <f t="shared" si="71"/>
        <v>0</v>
      </c>
      <c r="AE109" s="14">
        <f t="shared" si="57"/>
        <v>0</v>
      </c>
    </row>
    <row r="110" spans="2:31" x14ac:dyDescent="0.25">
      <c r="B110" s="5">
        <v>100</v>
      </c>
      <c r="C110" s="5">
        <f t="shared" si="61"/>
        <v>150</v>
      </c>
      <c r="D110" s="5">
        <f t="shared" si="62"/>
        <v>0</v>
      </c>
      <c r="E110" s="5">
        <v>0</v>
      </c>
      <c r="F110" s="8">
        <f t="shared" si="45"/>
        <v>0</v>
      </c>
      <c r="G110" s="8">
        <f t="shared" si="63"/>
        <v>0</v>
      </c>
      <c r="H110" s="8">
        <f t="shared" si="64"/>
        <v>0</v>
      </c>
      <c r="I110" s="8">
        <f t="shared" si="72"/>
        <v>0</v>
      </c>
      <c r="J110" s="8">
        <f t="shared" si="46"/>
        <v>0</v>
      </c>
      <c r="K110" s="8">
        <f t="shared" si="47"/>
        <v>0</v>
      </c>
      <c r="L110" s="86">
        <f t="shared" si="65"/>
        <v>0</v>
      </c>
      <c r="M110" s="86">
        <f t="shared" si="69"/>
        <v>0</v>
      </c>
      <c r="P110" s="8">
        <f t="shared" si="66"/>
        <v>0</v>
      </c>
      <c r="Q110" s="8">
        <v>0</v>
      </c>
      <c r="R110" s="8">
        <f t="shared" si="49"/>
        <v>0</v>
      </c>
      <c r="S110" s="8">
        <f t="shared" si="67"/>
        <v>0</v>
      </c>
      <c r="T110" s="8">
        <f t="shared" si="68"/>
        <v>0</v>
      </c>
      <c r="U110" s="8">
        <f t="shared" si="73"/>
        <v>0</v>
      </c>
      <c r="V110" s="8">
        <f t="shared" si="50"/>
        <v>0</v>
      </c>
      <c r="W110" s="8">
        <f t="shared" si="51"/>
        <v>0</v>
      </c>
      <c r="Y110" s="8">
        <f t="shared" si="52"/>
        <v>0</v>
      </c>
      <c r="Z110" s="5">
        <f t="shared" si="53"/>
        <v>0</v>
      </c>
      <c r="AA110" s="304">
        <f t="shared" si="54"/>
        <v>0</v>
      </c>
      <c r="AB110" s="380">
        <f t="shared" si="60"/>
        <v>0</v>
      </c>
      <c r="AC110" s="304">
        <f t="shared" si="70"/>
        <v>0</v>
      </c>
      <c r="AD110" s="14">
        <f t="shared" si="71"/>
        <v>0</v>
      </c>
      <c r="AE110" s="14">
        <f t="shared" si="57"/>
        <v>0</v>
      </c>
    </row>
    <row r="111" spans="2:31" x14ac:dyDescent="0.25">
      <c r="Q111" s="8"/>
    </row>
    <row r="112" spans="2:31" x14ac:dyDescent="0.25">
      <c r="Q112" s="8"/>
    </row>
  </sheetData>
  <mergeCells count="2">
    <mergeCell ref="D8:M8"/>
    <mergeCell ref="AD8:AE8"/>
  </mergeCells>
  <pageMargins left="0.7" right="0.7" top="0.75" bottom="0.75" header="0.3" footer="0.3"/>
  <pageSetup orientation="portrait" horizontalDpi="0" verticalDpi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4:J27"/>
  <sheetViews>
    <sheetView zoomScale="138" zoomScaleNormal="85" zoomScalePageLayoutView="85" workbookViewId="0">
      <selection activeCell="D13" sqref="D13"/>
    </sheetView>
  </sheetViews>
  <sheetFormatPr defaultColWidth="8.85546875" defaultRowHeight="15" x14ac:dyDescent="0.25"/>
  <cols>
    <col min="1" max="1" width="8.85546875" style="1"/>
    <col min="2" max="2" width="32.85546875" style="1" customWidth="1"/>
    <col min="3" max="3" width="15.7109375" style="1" customWidth="1"/>
    <col min="4" max="4" width="21" style="1" customWidth="1"/>
    <col min="5" max="5" width="18.7109375" style="1" customWidth="1"/>
    <col min="6" max="6" width="13.28515625" style="1" customWidth="1"/>
    <col min="7" max="7" width="10.28515625" style="1" customWidth="1"/>
    <col min="8" max="8" width="22.140625" style="5" customWidth="1"/>
    <col min="9" max="9" width="11.140625" style="1" customWidth="1"/>
    <col min="10" max="10" width="10.28515625" style="1" customWidth="1"/>
    <col min="11" max="16384" width="8.85546875" style="1"/>
  </cols>
  <sheetData>
    <row r="4" spans="2:10" ht="15.75" thickBot="1" x14ac:dyDescent="0.3">
      <c r="B4" s="3" t="s">
        <v>0</v>
      </c>
      <c r="C4" s="3" t="s">
        <v>1</v>
      </c>
      <c r="D4" s="3" t="s">
        <v>2</v>
      </c>
      <c r="E4" s="3" t="s">
        <v>6</v>
      </c>
      <c r="F4" s="3" t="s">
        <v>4</v>
      </c>
      <c r="G4" s="3" t="s">
        <v>3</v>
      </c>
      <c r="H4" s="192" t="s">
        <v>77</v>
      </c>
      <c r="I4" s="3" t="s">
        <v>5</v>
      </c>
      <c r="J4" s="3" t="s">
        <v>7</v>
      </c>
    </row>
    <row r="5" spans="2:10" ht="15.75" thickTop="1" x14ac:dyDescent="0.25">
      <c r="B5" s="53" t="s">
        <v>18</v>
      </c>
      <c r="C5" s="53" t="s">
        <v>79</v>
      </c>
      <c r="D5" s="220">
        <v>50</v>
      </c>
      <c r="E5" s="1" t="s">
        <v>316</v>
      </c>
      <c r="F5" s="53"/>
      <c r="G5" s="53"/>
      <c r="H5" s="193">
        <v>50</v>
      </c>
      <c r="I5" s="53"/>
      <c r="J5" s="53"/>
    </row>
    <row r="6" spans="2:10" x14ac:dyDescent="0.25">
      <c r="B6" s="1" t="s">
        <v>30</v>
      </c>
      <c r="C6" s="1" t="s">
        <v>31</v>
      </c>
      <c r="D6" s="221">
        <v>0.5</v>
      </c>
      <c r="E6" s="1" t="s">
        <v>316</v>
      </c>
      <c r="H6" s="5">
        <v>0.5</v>
      </c>
    </row>
    <row r="7" spans="2:10" x14ac:dyDescent="0.25">
      <c r="B7" s="1" t="s">
        <v>70</v>
      </c>
      <c r="C7" s="1" t="s">
        <v>57</v>
      </c>
      <c r="D7" s="221">
        <v>0.5</v>
      </c>
      <c r="E7" s="1" t="s">
        <v>159</v>
      </c>
      <c r="H7" s="5">
        <v>0.5</v>
      </c>
      <c r="J7" s="1" t="s">
        <v>320</v>
      </c>
    </row>
    <row r="8" spans="2:10" x14ac:dyDescent="0.25">
      <c r="B8" s="1" t="s">
        <v>34</v>
      </c>
      <c r="C8" s="1" t="s">
        <v>35</v>
      </c>
      <c r="D8" s="221">
        <v>1</v>
      </c>
      <c r="E8" s="1" t="s">
        <v>364</v>
      </c>
      <c r="H8" s="5">
        <v>1</v>
      </c>
      <c r="J8" s="1" t="s">
        <v>363</v>
      </c>
    </row>
    <row r="9" spans="2:10" x14ac:dyDescent="0.25">
      <c r="B9" s="1" t="s">
        <v>26</v>
      </c>
      <c r="C9" s="1" t="s">
        <v>32</v>
      </c>
      <c r="D9" s="1">
        <v>3.5000000000000003E-2</v>
      </c>
      <c r="E9" s="1" t="s">
        <v>47</v>
      </c>
      <c r="H9" s="5">
        <v>3.5000000000000003E-2</v>
      </c>
    </row>
    <row r="10" spans="2:10" x14ac:dyDescent="0.25">
      <c r="B10" s="1" t="s">
        <v>28</v>
      </c>
      <c r="C10" s="1" t="s">
        <v>81</v>
      </c>
      <c r="D10" s="85">
        <f>GUI_QOFcost/popsize</f>
        <v>352.33752191059966</v>
      </c>
      <c r="E10" s="1" t="s">
        <v>54</v>
      </c>
      <c r="H10" s="353">
        <f>GUI_QOFcost/popsize</f>
        <v>352.33752191059966</v>
      </c>
      <c r="J10" s="1" t="s">
        <v>165</v>
      </c>
    </row>
    <row r="11" spans="2:10" x14ac:dyDescent="0.25">
      <c r="B11" s="1" t="s">
        <v>27</v>
      </c>
      <c r="C11" s="1" t="s">
        <v>53</v>
      </c>
      <c r="D11" s="124">
        <f>IF(PrimaryPrev=1,D15,D17)</f>
        <v>5.8928140022180804E-4</v>
      </c>
      <c r="E11" s="1" t="s">
        <v>54</v>
      </c>
      <c r="H11" s="152">
        <f>(GUI_QOFeffect*2.202-0.0007)/100000</f>
        <v>8.1026600000000008E-5</v>
      </c>
    </row>
    <row r="12" spans="2:10" x14ac:dyDescent="0.25">
      <c r="B12" s="1" t="s">
        <v>133</v>
      </c>
      <c r="C12" s="1" t="s">
        <v>134</v>
      </c>
      <c r="D12" s="1">
        <f>0.796</f>
        <v>0.79600000000000004</v>
      </c>
      <c r="E12" s="1" t="s">
        <v>158</v>
      </c>
      <c r="H12" s="5">
        <v>0.79600000000000004</v>
      </c>
      <c r="J12" s="1" t="s">
        <v>323</v>
      </c>
    </row>
    <row r="13" spans="2:10" x14ac:dyDescent="0.25">
      <c r="B13" s="1" t="s">
        <v>160</v>
      </c>
      <c r="C13" s="1" t="s">
        <v>162</v>
      </c>
      <c r="D13" s="1">
        <f>1.6</f>
        <v>1.6</v>
      </c>
      <c r="E13" s="1" t="s">
        <v>164</v>
      </c>
      <c r="H13" s="5">
        <v>1.6</v>
      </c>
      <c r="J13" s="1" t="s">
        <v>166</v>
      </c>
    </row>
    <row r="14" spans="2:10" x14ac:dyDescent="0.25">
      <c r="B14" s="1" t="s">
        <v>161</v>
      </c>
      <c r="C14" s="1" t="s">
        <v>163</v>
      </c>
      <c r="D14" s="1">
        <f>2.1</f>
        <v>2.1</v>
      </c>
      <c r="E14" s="1" t="s">
        <v>164</v>
      </c>
      <c r="H14" s="5">
        <v>2.1</v>
      </c>
      <c r="J14" s="1" t="s">
        <v>166</v>
      </c>
    </row>
    <row r="15" spans="2:10" x14ac:dyDescent="0.25">
      <c r="B15" s="1" t="s">
        <v>174</v>
      </c>
      <c r="D15" s="124">
        <f>delta_40_74/100000</f>
        <v>8.4599753828429807E-5</v>
      </c>
      <c r="H15" s="152">
        <f>'Calc QOF Rates'!AE16/100000</f>
        <v>8.4599753828429807E-5</v>
      </c>
    </row>
    <row r="16" spans="2:10" x14ac:dyDescent="0.25">
      <c r="B16" s="1" t="s">
        <v>175</v>
      </c>
      <c r="D16" s="124">
        <f>GUI_QOFeffect/100000</f>
        <v>3.68E-5</v>
      </c>
      <c r="H16" s="5">
        <f>3.68/100000</f>
        <v>3.68E-5</v>
      </c>
    </row>
    <row r="17" spans="2:10" x14ac:dyDescent="0.25">
      <c r="B17" s="1" t="s">
        <v>272</v>
      </c>
      <c r="D17" s="124">
        <f>delta_CVD/100000</f>
        <v>5.8928140022180804E-4</v>
      </c>
      <c r="H17" s="5">
        <v>5.5275315721999994E-4</v>
      </c>
    </row>
    <row r="18" spans="2:10" x14ac:dyDescent="0.25">
      <c r="B18" s="1" t="s">
        <v>176</v>
      </c>
      <c r="C18" s="1" t="s">
        <v>177</v>
      </c>
      <c r="D18" s="1">
        <f>GUI_costmult</f>
        <v>1.12E-2</v>
      </c>
      <c r="E18" s="1" t="s">
        <v>365</v>
      </c>
      <c r="H18" s="5">
        <f>GUI_costmult</f>
        <v>1.12E-2</v>
      </c>
    </row>
    <row r="19" spans="2:10" x14ac:dyDescent="0.25">
      <c r="B19" s="1" t="s">
        <v>358</v>
      </c>
      <c r="C19" s="1" t="s">
        <v>359</v>
      </c>
      <c r="D19" s="1">
        <f>GUI_cCVDacute</f>
        <v>10871.142857142857</v>
      </c>
      <c r="E19" s="1" t="s">
        <v>362</v>
      </c>
      <c r="H19" s="5">
        <v>10377</v>
      </c>
    </row>
    <row r="20" spans="2:10" x14ac:dyDescent="0.25">
      <c r="B20" s="1" t="s">
        <v>360</v>
      </c>
      <c r="C20" s="1" t="s">
        <v>361</v>
      </c>
      <c r="D20" s="1">
        <f>GUI_cCVDchronic</f>
        <v>3282.1904761904761</v>
      </c>
      <c r="E20" s="1" t="s">
        <v>362</v>
      </c>
      <c r="H20" s="5">
        <v>3133</v>
      </c>
    </row>
    <row r="21" spans="2:10" x14ac:dyDescent="0.25">
      <c r="B21" s="1" t="s">
        <v>178</v>
      </c>
      <c r="C21" s="1" t="s">
        <v>179</v>
      </c>
      <c r="D21" s="1">
        <f>GUI_nfCVD</f>
        <v>1.6286407766990292</v>
      </c>
      <c r="E21" s="1" t="s">
        <v>281</v>
      </c>
      <c r="H21" s="5">
        <f>nonfatal_fatal</f>
        <v>5.4673497629963981</v>
      </c>
      <c r="J21" s="1" t="s">
        <v>282</v>
      </c>
    </row>
    <row r="22" spans="2:10" x14ac:dyDescent="0.25">
      <c r="B22" s="1" t="s">
        <v>195</v>
      </c>
      <c r="C22" s="1" t="s">
        <v>193</v>
      </c>
      <c r="D22" s="1">
        <f>GUI_mortLCL</f>
        <v>-0.8</v>
      </c>
      <c r="E22" s="1" t="s">
        <v>54</v>
      </c>
      <c r="H22" s="5">
        <f>GUI_mortLCL</f>
        <v>-0.8</v>
      </c>
    </row>
    <row r="23" spans="2:10" x14ac:dyDescent="0.25">
      <c r="B23" s="1" t="s">
        <v>196</v>
      </c>
      <c r="C23" s="1" t="s">
        <v>194</v>
      </c>
      <c r="D23" s="1">
        <f>GUI_mortUCL</f>
        <v>8.16</v>
      </c>
      <c r="E23" s="1" t="s">
        <v>54</v>
      </c>
      <c r="H23" s="5">
        <f>GUI_mortUCL</f>
        <v>8.16</v>
      </c>
    </row>
    <row r="27" spans="2:10" x14ac:dyDescent="0.25">
      <c r="D27" s="219">
        <f>simulation!H5</f>
        <v>13.715769714106502</v>
      </c>
    </row>
  </sheetData>
  <pageMargins left="0.7" right="0.7" top="0.75" bottom="0.75" header="0.3" footer="0.3"/>
  <pageSetup orientation="portrait" horizontalDpi="0" verticalDpi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B103"/>
  <sheetViews>
    <sheetView workbookViewId="0">
      <selection activeCell="E7" sqref="E7"/>
    </sheetView>
  </sheetViews>
  <sheetFormatPr defaultColWidth="9.140625" defaultRowHeight="15" x14ac:dyDescent="0.25"/>
  <cols>
    <col min="1" max="2" width="9.140625" style="1"/>
    <col min="3" max="3" width="9.5703125" style="1" bestFit="1" customWidth="1"/>
    <col min="4" max="9" width="9.140625" style="1"/>
    <col min="10" max="10" width="9.5703125" style="1" bestFit="1" customWidth="1"/>
    <col min="11" max="25" width="9.140625" style="1"/>
    <col min="26" max="26" width="14.42578125" style="1" customWidth="1"/>
    <col min="27" max="27" width="22" style="1" customWidth="1"/>
    <col min="28" max="28" width="13.7109375" style="1" customWidth="1"/>
    <col min="29" max="16384" width="9.140625" style="1"/>
  </cols>
  <sheetData>
    <row r="1" spans="2:28" x14ac:dyDescent="0.25">
      <c r="Z1" s="1" t="s">
        <v>375</v>
      </c>
    </row>
    <row r="2" spans="2:28" x14ac:dyDescent="0.25">
      <c r="B2" s="354" t="s">
        <v>18</v>
      </c>
      <c r="C2" s="354" t="s">
        <v>346</v>
      </c>
      <c r="I2" s="354" t="s">
        <v>347</v>
      </c>
      <c r="J2" s="354" t="s">
        <v>350</v>
      </c>
      <c r="K2" s="1" t="s">
        <v>354</v>
      </c>
      <c r="L2" s="372" t="s">
        <v>348</v>
      </c>
      <c r="W2" s="1" t="s">
        <v>351</v>
      </c>
      <c r="X2" s="1" t="s">
        <v>352</v>
      </c>
    </row>
    <row r="3" spans="2:28" x14ac:dyDescent="0.25">
      <c r="B3" s="1">
        <v>0</v>
      </c>
      <c r="C3" s="85">
        <v>1418.4761904761906</v>
      </c>
      <c r="I3" s="371">
        <v>1354</v>
      </c>
      <c r="J3" s="85">
        <f>I3*($X$3/$W$3)</f>
        <v>1418.4761904761906</v>
      </c>
      <c r="K3" s="1">
        <f>J3*2</f>
        <v>2836.9523809523812</v>
      </c>
      <c r="W3" s="1">
        <v>96.075000000000003</v>
      </c>
      <c r="X3" s="1">
        <v>100.65</v>
      </c>
      <c r="AA3" s="1" t="s">
        <v>376</v>
      </c>
      <c r="AB3" s="1" t="s">
        <v>377</v>
      </c>
    </row>
    <row r="4" spans="2:28" x14ac:dyDescent="0.25">
      <c r="B4" s="1">
        <v>1</v>
      </c>
      <c r="C4" s="85">
        <v>1301.1428571428571</v>
      </c>
      <c r="I4" s="371">
        <v>1242</v>
      </c>
      <c r="J4" s="85">
        <f>I4*($X$3/$W$3)</f>
        <v>1301.1428571428571</v>
      </c>
      <c r="K4" s="1">
        <f t="shared" ref="K4:K67" si="0">J4*2</f>
        <v>2602.2857142857142</v>
      </c>
      <c r="Z4" s="1" t="s">
        <v>373</v>
      </c>
      <c r="AA4" s="1">
        <v>10377</v>
      </c>
      <c r="AB4" s="85">
        <f>AA4*($X$3/$W$3)</f>
        <v>10871.142857142857</v>
      </c>
    </row>
    <row r="5" spans="2:28" x14ac:dyDescent="0.25">
      <c r="B5" s="1">
        <v>2</v>
      </c>
      <c r="C5" s="85">
        <v>1127.2380952380952</v>
      </c>
      <c r="I5" s="371">
        <v>1076</v>
      </c>
      <c r="J5" s="85">
        <f t="shared" ref="J5:J67" si="1">I5*($X$3/$W$3)</f>
        <v>1127.2380952380952</v>
      </c>
      <c r="K5" s="1">
        <f t="shared" si="0"/>
        <v>2254.4761904761904</v>
      </c>
      <c r="Z5" s="1" t="s">
        <v>374</v>
      </c>
      <c r="AA5" s="1">
        <v>3133</v>
      </c>
      <c r="AB5" s="85">
        <f>AA5*($X$3/$W$3)</f>
        <v>3282.1904761904761</v>
      </c>
    </row>
    <row r="6" spans="2:28" x14ac:dyDescent="0.25">
      <c r="B6" s="1">
        <v>3</v>
      </c>
      <c r="C6" s="85">
        <v>1065.4285714285716</v>
      </c>
      <c r="I6" s="371">
        <v>1017</v>
      </c>
      <c r="J6" s="85">
        <f t="shared" si="1"/>
        <v>1065.4285714285716</v>
      </c>
      <c r="K6" s="1">
        <f t="shared" si="0"/>
        <v>2130.8571428571431</v>
      </c>
    </row>
    <row r="7" spans="2:28" x14ac:dyDescent="0.25">
      <c r="B7" s="1">
        <v>4</v>
      </c>
      <c r="C7" s="85">
        <v>1095.8095238095239</v>
      </c>
      <c r="I7" s="371">
        <v>1046</v>
      </c>
      <c r="J7" s="85">
        <f t="shared" si="1"/>
        <v>1095.8095238095239</v>
      </c>
      <c r="K7" s="1">
        <f t="shared" si="0"/>
        <v>2191.6190476190477</v>
      </c>
    </row>
    <row r="8" spans="2:28" x14ac:dyDescent="0.25">
      <c r="B8" s="1">
        <v>5</v>
      </c>
      <c r="C8" s="85">
        <v>908.28571428571433</v>
      </c>
      <c r="I8" s="1">
        <v>867</v>
      </c>
      <c r="J8" s="85">
        <f t="shared" si="1"/>
        <v>908.28571428571433</v>
      </c>
      <c r="K8" s="1">
        <f t="shared" si="0"/>
        <v>1816.5714285714287</v>
      </c>
    </row>
    <row r="9" spans="2:28" x14ac:dyDescent="0.25">
      <c r="B9" s="1">
        <v>6</v>
      </c>
      <c r="C9" s="85">
        <v>884.19047619047626</v>
      </c>
      <c r="I9" s="1">
        <v>844</v>
      </c>
      <c r="J9" s="85">
        <f t="shared" si="1"/>
        <v>884.19047619047626</v>
      </c>
      <c r="K9" s="1">
        <f t="shared" si="0"/>
        <v>1768.3809523809525</v>
      </c>
    </row>
    <row r="10" spans="2:28" x14ac:dyDescent="0.25">
      <c r="B10" s="1">
        <v>7</v>
      </c>
      <c r="C10" s="85">
        <v>801.42857142857144</v>
      </c>
      <c r="I10" s="1">
        <v>765</v>
      </c>
      <c r="J10" s="85">
        <f t="shared" si="1"/>
        <v>801.42857142857144</v>
      </c>
      <c r="K10" s="1">
        <f t="shared" si="0"/>
        <v>1602.8571428571429</v>
      </c>
    </row>
    <row r="11" spans="2:28" x14ac:dyDescent="0.25">
      <c r="B11" s="1">
        <v>8</v>
      </c>
      <c r="C11" s="85">
        <v>754.28571428571433</v>
      </c>
      <c r="I11" s="1">
        <v>720</v>
      </c>
      <c r="J11" s="85">
        <f t="shared" si="1"/>
        <v>754.28571428571433</v>
      </c>
      <c r="K11" s="1">
        <f t="shared" si="0"/>
        <v>1508.5714285714287</v>
      </c>
    </row>
    <row r="12" spans="2:28" x14ac:dyDescent="0.25">
      <c r="B12" s="1">
        <v>9</v>
      </c>
      <c r="C12" s="85">
        <v>727.04761904761904</v>
      </c>
      <c r="I12" s="1">
        <v>694</v>
      </c>
      <c r="J12" s="85">
        <f t="shared" si="1"/>
        <v>727.04761904761904</v>
      </c>
      <c r="K12" s="1">
        <f t="shared" si="0"/>
        <v>1454.0952380952381</v>
      </c>
    </row>
    <row r="13" spans="2:28" x14ac:dyDescent="0.25">
      <c r="B13" s="1">
        <v>10</v>
      </c>
      <c r="C13" s="85">
        <v>721.80952380952385</v>
      </c>
      <c r="I13" s="1">
        <v>689</v>
      </c>
      <c r="J13" s="85">
        <f t="shared" si="1"/>
        <v>721.80952380952385</v>
      </c>
      <c r="K13" s="1">
        <f t="shared" si="0"/>
        <v>1443.6190476190477</v>
      </c>
    </row>
    <row r="14" spans="2:28" x14ac:dyDescent="0.25">
      <c r="B14" s="1">
        <v>11</v>
      </c>
      <c r="C14" s="85">
        <v>738.57142857142856</v>
      </c>
      <c r="I14" s="1">
        <v>705</v>
      </c>
      <c r="J14" s="85">
        <f t="shared" si="1"/>
        <v>738.57142857142856</v>
      </c>
      <c r="K14" s="1">
        <f t="shared" si="0"/>
        <v>1477.1428571428571</v>
      </c>
    </row>
    <row r="15" spans="2:28" x14ac:dyDescent="0.25">
      <c r="B15" s="1">
        <v>12</v>
      </c>
      <c r="C15" s="85">
        <v>772.09523809523819</v>
      </c>
      <c r="I15" s="1">
        <v>737</v>
      </c>
      <c r="J15" s="85">
        <f t="shared" si="1"/>
        <v>772.09523809523819</v>
      </c>
      <c r="K15" s="1">
        <f t="shared" si="0"/>
        <v>1544.1904761904764</v>
      </c>
    </row>
    <row r="16" spans="2:28" x14ac:dyDescent="0.25">
      <c r="B16" s="1">
        <v>13</v>
      </c>
      <c r="C16" s="85">
        <v>828.66666666666674</v>
      </c>
      <c r="I16" s="1">
        <v>791</v>
      </c>
      <c r="J16" s="85">
        <f t="shared" si="1"/>
        <v>828.66666666666674</v>
      </c>
      <c r="K16" s="1">
        <f t="shared" si="0"/>
        <v>1657.3333333333335</v>
      </c>
    </row>
    <row r="17" spans="2:11" x14ac:dyDescent="0.25">
      <c r="B17" s="1">
        <v>14</v>
      </c>
      <c r="C17" s="85">
        <v>880</v>
      </c>
      <c r="I17" s="1">
        <v>840</v>
      </c>
      <c r="J17" s="85">
        <f t="shared" si="1"/>
        <v>880</v>
      </c>
      <c r="K17" s="1">
        <f t="shared" si="0"/>
        <v>1760</v>
      </c>
    </row>
    <row r="18" spans="2:11" x14ac:dyDescent="0.25">
      <c r="B18" s="1">
        <v>15</v>
      </c>
      <c r="C18" s="85">
        <v>940.76190476190482</v>
      </c>
      <c r="I18" s="1">
        <v>898</v>
      </c>
      <c r="J18" s="85">
        <f t="shared" si="1"/>
        <v>940.76190476190482</v>
      </c>
      <c r="K18" s="1">
        <f t="shared" si="0"/>
        <v>1881.5238095238096</v>
      </c>
    </row>
    <row r="19" spans="2:11" x14ac:dyDescent="0.25">
      <c r="B19" s="1">
        <v>16</v>
      </c>
      <c r="C19" s="85">
        <v>1031.9047619047619</v>
      </c>
      <c r="I19" s="1">
        <v>985</v>
      </c>
      <c r="J19" s="85">
        <f t="shared" si="1"/>
        <v>1031.9047619047619</v>
      </c>
      <c r="K19" s="1">
        <f t="shared" si="0"/>
        <v>2063.8095238095239</v>
      </c>
    </row>
    <row r="20" spans="2:11" x14ac:dyDescent="0.25">
      <c r="B20" s="1">
        <v>17</v>
      </c>
      <c r="C20" s="85">
        <v>1017.2380952380953</v>
      </c>
      <c r="I20" s="1">
        <v>971</v>
      </c>
      <c r="J20" s="85">
        <f t="shared" si="1"/>
        <v>1017.2380952380953</v>
      </c>
      <c r="K20" s="1">
        <f t="shared" si="0"/>
        <v>2034.4761904761906</v>
      </c>
    </row>
    <row r="21" spans="2:11" x14ac:dyDescent="0.25">
      <c r="B21" s="1">
        <v>18</v>
      </c>
      <c r="C21" s="85">
        <v>1042.3809523809525</v>
      </c>
      <c r="I21" s="1">
        <v>995</v>
      </c>
      <c r="J21" s="85">
        <f t="shared" si="1"/>
        <v>1042.3809523809525</v>
      </c>
      <c r="K21" s="1">
        <f t="shared" si="0"/>
        <v>2084.761904761905</v>
      </c>
    </row>
    <row r="22" spans="2:11" x14ac:dyDescent="0.25">
      <c r="B22" s="1">
        <v>19</v>
      </c>
      <c r="C22" s="85">
        <v>1025.6190476190477</v>
      </c>
      <c r="I22" s="1">
        <v>979</v>
      </c>
      <c r="J22" s="85">
        <f t="shared" si="1"/>
        <v>1025.6190476190477</v>
      </c>
      <c r="K22" s="1">
        <f t="shared" si="0"/>
        <v>2051.2380952380954</v>
      </c>
    </row>
    <row r="23" spans="2:11" x14ac:dyDescent="0.25">
      <c r="B23" s="1">
        <v>20</v>
      </c>
      <c r="C23" s="85">
        <v>1042.3809523809525</v>
      </c>
      <c r="I23" s="1">
        <v>995</v>
      </c>
      <c r="J23" s="85">
        <f t="shared" si="1"/>
        <v>1042.3809523809525</v>
      </c>
      <c r="K23" s="1">
        <f t="shared" si="0"/>
        <v>2084.761904761905</v>
      </c>
    </row>
    <row r="24" spans="2:11" x14ac:dyDescent="0.25">
      <c r="B24" s="1">
        <v>21</v>
      </c>
      <c r="C24" s="85">
        <v>1086.3809523809525</v>
      </c>
      <c r="I24" s="371">
        <v>1037</v>
      </c>
      <c r="J24" s="85">
        <f t="shared" si="1"/>
        <v>1086.3809523809525</v>
      </c>
      <c r="K24" s="1">
        <f t="shared" si="0"/>
        <v>2172.761904761905</v>
      </c>
    </row>
    <row r="25" spans="2:11" x14ac:dyDescent="0.25">
      <c r="B25" s="1">
        <v>22</v>
      </c>
      <c r="C25" s="85">
        <v>1118.8571428571429</v>
      </c>
      <c r="I25" s="371">
        <v>1068</v>
      </c>
      <c r="J25" s="85">
        <f t="shared" si="1"/>
        <v>1118.8571428571429</v>
      </c>
      <c r="K25" s="1">
        <f t="shared" si="0"/>
        <v>2237.7142857142858</v>
      </c>
    </row>
    <row r="26" spans="2:11" x14ac:dyDescent="0.25">
      <c r="B26" s="1">
        <v>23</v>
      </c>
      <c r="C26" s="85">
        <v>1151.3333333333335</v>
      </c>
      <c r="I26" s="371">
        <v>1099</v>
      </c>
      <c r="J26" s="85">
        <f t="shared" si="1"/>
        <v>1151.3333333333335</v>
      </c>
      <c r="K26" s="1">
        <f t="shared" si="0"/>
        <v>2302.666666666667</v>
      </c>
    </row>
    <row r="27" spans="2:11" x14ac:dyDescent="0.25">
      <c r="B27" s="1">
        <v>24</v>
      </c>
      <c r="C27" s="85">
        <v>1207.9047619047619</v>
      </c>
      <c r="I27" s="371">
        <v>1153</v>
      </c>
      <c r="J27" s="85">
        <f t="shared" si="1"/>
        <v>1207.9047619047619</v>
      </c>
      <c r="K27" s="1">
        <f t="shared" si="0"/>
        <v>2415.8095238095239</v>
      </c>
    </row>
    <row r="28" spans="2:11" x14ac:dyDescent="0.25">
      <c r="B28" s="1">
        <v>25</v>
      </c>
      <c r="C28" s="85">
        <v>1245.6190476190477</v>
      </c>
      <c r="I28" s="371">
        <v>1189</v>
      </c>
      <c r="J28" s="85">
        <f t="shared" si="1"/>
        <v>1245.6190476190477</v>
      </c>
      <c r="K28" s="1">
        <f t="shared" si="0"/>
        <v>2491.2380952380954</v>
      </c>
    </row>
    <row r="29" spans="2:11" x14ac:dyDescent="0.25">
      <c r="B29" s="1">
        <v>26</v>
      </c>
      <c r="C29" s="85">
        <v>1285.4285714285716</v>
      </c>
      <c r="I29" s="371">
        <v>1227</v>
      </c>
      <c r="J29" s="85">
        <f t="shared" si="1"/>
        <v>1285.4285714285716</v>
      </c>
      <c r="K29" s="1">
        <f t="shared" si="0"/>
        <v>2570.8571428571431</v>
      </c>
    </row>
    <row r="30" spans="2:11" x14ac:dyDescent="0.25">
      <c r="B30" s="1">
        <v>27</v>
      </c>
      <c r="C30" s="85">
        <v>1347.2380952380954</v>
      </c>
      <c r="I30" s="371">
        <v>1286</v>
      </c>
      <c r="J30" s="85">
        <f t="shared" si="1"/>
        <v>1347.2380952380954</v>
      </c>
      <c r="K30" s="1">
        <f t="shared" si="0"/>
        <v>2694.4761904761908</v>
      </c>
    </row>
    <row r="31" spans="2:11" x14ac:dyDescent="0.25">
      <c r="B31" s="1">
        <v>28</v>
      </c>
      <c r="C31" s="85">
        <v>1404.8571428571429</v>
      </c>
      <c r="I31" s="371">
        <v>1341</v>
      </c>
      <c r="J31" s="85">
        <f t="shared" si="1"/>
        <v>1404.8571428571429</v>
      </c>
      <c r="K31" s="1">
        <f t="shared" si="0"/>
        <v>2809.7142857142858</v>
      </c>
    </row>
    <row r="32" spans="2:11" x14ac:dyDescent="0.25">
      <c r="B32" s="1">
        <v>29</v>
      </c>
      <c r="C32" s="85">
        <v>1476.0952380952381</v>
      </c>
      <c r="I32" s="371">
        <v>1409</v>
      </c>
      <c r="J32" s="85">
        <f t="shared" si="1"/>
        <v>1476.0952380952381</v>
      </c>
      <c r="K32" s="1">
        <f t="shared" si="0"/>
        <v>2952.1904761904761</v>
      </c>
    </row>
    <row r="33" spans="2:11" x14ac:dyDescent="0.25">
      <c r="B33" s="1">
        <v>30</v>
      </c>
      <c r="C33" s="85">
        <v>1489.7142857142858</v>
      </c>
      <c r="I33" s="371">
        <v>1422</v>
      </c>
      <c r="J33" s="85">
        <f t="shared" si="1"/>
        <v>1489.7142857142858</v>
      </c>
      <c r="K33" s="1">
        <f t="shared" si="0"/>
        <v>2979.4285714285716</v>
      </c>
    </row>
    <row r="34" spans="2:11" x14ac:dyDescent="0.25">
      <c r="B34" s="1">
        <v>31</v>
      </c>
      <c r="C34" s="85">
        <v>1555.7142857142858</v>
      </c>
      <c r="I34" s="371">
        <v>1485</v>
      </c>
      <c r="J34" s="85">
        <f t="shared" si="1"/>
        <v>1555.7142857142858</v>
      </c>
      <c r="K34" s="1">
        <f t="shared" si="0"/>
        <v>3111.4285714285716</v>
      </c>
    </row>
    <row r="35" spans="2:11" x14ac:dyDescent="0.25">
      <c r="B35" s="1">
        <v>32</v>
      </c>
      <c r="C35" s="85">
        <v>1606</v>
      </c>
      <c r="I35" s="371">
        <v>1533</v>
      </c>
      <c r="J35" s="85">
        <f t="shared" si="1"/>
        <v>1606</v>
      </c>
      <c r="K35" s="1">
        <f t="shared" si="0"/>
        <v>3212</v>
      </c>
    </row>
    <row r="36" spans="2:11" x14ac:dyDescent="0.25">
      <c r="B36" s="1">
        <v>33</v>
      </c>
      <c r="C36" s="85">
        <v>1608.0952380952381</v>
      </c>
      <c r="I36" s="371">
        <v>1535</v>
      </c>
      <c r="J36" s="85">
        <f t="shared" si="1"/>
        <v>1608.0952380952381</v>
      </c>
      <c r="K36" s="1">
        <f t="shared" si="0"/>
        <v>3216.1904761904761</v>
      </c>
    </row>
    <row r="37" spans="2:11" x14ac:dyDescent="0.25">
      <c r="B37" s="1">
        <v>34</v>
      </c>
      <c r="C37" s="85">
        <v>1533.7142857142858</v>
      </c>
      <c r="I37" s="371">
        <v>1464</v>
      </c>
      <c r="J37" s="85">
        <f t="shared" si="1"/>
        <v>1533.7142857142858</v>
      </c>
      <c r="K37" s="1">
        <f t="shared" si="0"/>
        <v>3067.4285714285716</v>
      </c>
    </row>
    <row r="38" spans="2:11" x14ac:dyDescent="0.25">
      <c r="B38" s="1">
        <v>35</v>
      </c>
      <c r="C38" s="85">
        <v>1488.6666666666667</v>
      </c>
      <c r="I38" s="371">
        <v>1421</v>
      </c>
      <c r="J38" s="85">
        <f t="shared" si="1"/>
        <v>1488.6666666666667</v>
      </c>
      <c r="K38" s="1">
        <f t="shared" si="0"/>
        <v>2977.3333333333335</v>
      </c>
    </row>
    <row r="39" spans="2:11" x14ac:dyDescent="0.25">
      <c r="B39" s="1">
        <v>36</v>
      </c>
      <c r="C39" s="85">
        <v>1449.9047619047619</v>
      </c>
      <c r="I39" s="371">
        <v>1384</v>
      </c>
      <c r="J39" s="85">
        <f t="shared" si="1"/>
        <v>1449.9047619047619</v>
      </c>
      <c r="K39" s="1">
        <f t="shared" si="0"/>
        <v>2899.8095238095239</v>
      </c>
    </row>
    <row r="40" spans="2:11" x14ac:dyDescent="0.25">
      <c r="B40" s="1">
        <v>37</v>
      </c>
      <c r="C40" s="85">
        <v>1431.047619047619</v>
      </c>
      <c r="I40" s="371">
        <v>1366</v>
      </c>
      <c r="J40" s="85">
        <f t="shared" si="1"/>
        <v>1431.047619047619</v>
      </c>
      <c r="K40" s="1">
        <f t="shared" si="0"/>
        <v>2862.0952380952381</v>
      </c>
    </row>
    <row r="41" spans="2:11" x14ac:dyDescent="0.25">
      <c r="B41" s="1">
        <v>38</v>
      </c>
      <c r="C41" s="85">
        <v>1372.3809523809525</v>
      </c>
      <c r="I41" s="371">
        <v>1310</v>
      </c>
      <c r="J41" s="85">
        <f t="shared" si="1"/>
        <v>1372.3809523809525</v>
      </c>
      <c r="K41" s="1">
        <f t="shared" si="0"/>
        <v>2744.761904761905</v>
      </c>
    </row>
    <row r="42" spans="2:11" x14ac:dyDescent="0.25">
      <c r="B42" s="1">
        <v>39</v>
      </c>
      <c r="C42" s="85">
        <v>1336.7619047619048</v>
      </c>
      <c r="I42" s="371">
        <v>1276</v>
      </c>
      <c r="J42" s="85">
        <f t="shared" si="1"/>
        <v>1336.7619047619048</v>
      </c>
      <c r="K42" s="1">
        <f t="shared" si="0"/>
        <v>2673.5238095238096</v>
      </c>
    </row>
    <row r="43" spans="2:11" x14ac:dyDescent="0.25">
      <c r="B43" s="1">
        <v>40</v>
      </c>
      <c r="C43" s="85">
        <v>1333.6190476190477</v>
      </c>
      <c r="I43" s="371">
        <v>1273</v>
      </c>
      <c r="J43" s="85">
        <f t="shared" si="1"/>
        <v>1333.6190476190477</v>
      </c>
      <c r="K43" s="1">
        <f t="shared" si="0"/>
        <v>2667.2380952380954</v>
      </c>
    </row>
    <row r="44" spans="2:11" x14ac:dyDescent="0.25">
      <c r="B44" s="1">
        <v>41</v>
      </c>
      <c r="C44" s="85">
        <v>1353.5238095238096</v>
      </c>
      <c r="I44" s="371">
        <v>1292</v>
      </c>
      <c r="J44" s="85">
        <f t="shared" si="1"/>
        <v>1353.5238095238096</v>
      </c>
      <c r="K44" s="1">
        <f t="shared" si="0"/>
        <v>2707.0476190476193</v>
      </c>
    </row>
    <row r="45" spans="2:11" x14ac:dyDescent="0.25">
      <c r="B45" s="1">
        <v>42</v>
      </c>
      <c r="C45" s="85">
        <v>1294.8571428571429</v>
      </c>
      <c r="I45" s="371">
        <v>1236</v>
      </c>
      <c r="J45" s="85">
        <f t="shared" si="1"/>
        <v>1294.8571428571429</v>
      </c>
      <c r="K45" s="1">
        <f t="shared" si="0"/>
        <v>2589.7142857142858</v>
      </c>
    </row>
    <row r="46" spans="2:11" x14ac:dyDescent="0.25">
      <c r="B46" s="1">
        <v>43</v>
      </c>
      <c r="C46" s="85">
        <v>1309.5238095238096</v>
      </c>
      <c r="I46" s="371">
        <v>1250</v>
      </c>
      <c r="J46" s="85">
        <f t="shared" si="1"/>
        <v>1309.5238095238096</v>
      </c>
      <c r="K46" s="1">
        <f t="shared" si="0"/>
        <v>2619.0476190476193</v>
      </c>
    </row>
    <row r="47" spans="2:11" x14ac:dyDescent="0.25">
      <c r="B47" s="1">
        <v>44</v>
      </c>
      <c r="C47" s="85">
        <v>1298</v>
      </c>
      <c r="I47" s="371">
        <v>1239</v>
      </c>
      <c r="J47" s="85">
        <f t="shared" si="1"/>
        <v>1298</v>
      </c>
      <c r="K47" s="1">
        <f t="shared" si="0"/>
        <v>2596</v>
      </c>
    </row>
    <row r="48" spans="2:11" x14ac:dyDescent="0.25">
      <c r="B48" s="1">
        <v>45</v>
      </c>
      <c r="C48" s="85">
        <v>1439.4285714285716</v>
      </c>
      <c r="I48" s="371">
        <v>1374</v>
      </c>
      <c r="J48" s="85">
        <f t="shared" si="1"/>
        <v>1439.4285714285716</v>
      </c>
      <c r="K48" s="1">
        <f t="shared" si="0"/>
        <v>2878.8571428571431</v>
      </c>
    </row>
    <row r="49" spans="2:11" x14ac:dyDescent="0.25">
      <c r="B49" s="1">
        <v>46</v>
      </c>
      <c r="C49" s="85">
        <v>1474</v>
      </c>
      <c r="I49" s="371">
        <v>1407</v>
      </c>
      <c r="J49" s="85">
        <f t="shared" si="1"/>
        <v>1474</v>
      </c>
      <c r="K49" s="1">
        <f t="shared" si="0"/>
        <v>2948</v>
      </c>
    </row>
    <row r="50" spans="2:11" x14ac:dyDescent="0.25">
      <c r="B50" s="1">
        <v>47</v>
      </c>
      <c r="C50" s="85">
        <v>1525.3333333333335</v>
      </c>
      <c r="I50" s="371">
        <v>1456</v>
      </c>
      <c r="J50" s="85">
        <f t="shared" si="1"/>
        <v>1525.3333333333335</v>
      </c>
      <c r="K50" s="1">
        <f t="shared" si="0"/>
        <v>3050.666666666667</v>
      </c>
    </row>
    <row r="51" spans="2:11" x14ac:dyDescent="0.25">
      <c r="B51" s="1">
        <v>48</v>
      </c>
      <c r="C51" s="85">
        <v>1555.7142857142858</v>
      </c>
      <c r="I51" s="371">
        <v>1485</v>
      </c>
      <c r="J51" s="85">
        <f t="shared" si="1"/>
        <v>1555.7142857142858</v>
      </c>
      <c r="K51" s="1">
        <f t="shared" si="0"/>
        <v>3111.4285714285716</v>
      </c>
    </row>
    <row r="52" spans="2:11" x14ac:dyDescent="0.25">
      <c r="B52" s="1">
        <v>49</v>
      </c>
      <c r="C52" s="85">
        <v>1599.7142857142858</v>
      </c>
      <c r="I52" s="371">
        <v>1527</v>
      </c>
      <c r="J52" s="85">
        <f t="shared" si="1"/>
        <v>1599.7142857142858</v>
      </c>
      <c r="K52" s="1">
        <f t="shared" si="0"/>
        <v>3199.4285714285716</v>
      </c>
    </row>
    <row r="53" spans="2:11" x14ac:dyDescent="0.25">
      <c r="B53" s="1">
        <v>50</v>
      </c>
      <c r="C53" s="85">
        <v>1642.6666666666667</v>
      </c>
      <c r="I53" s="371">
        <v>1568</v>
      </c>
      <c r="J53" s="85">
        <f t="shared" si="1"/>
        <v>1642.6666666666667</v>
      </c>
      <c r="K53" s="1">
        <f t="shared" si="0"/>
        <v>3285.3333333333335</v>
      </c>
    </row>
    <row r="54" spans="2:11" x14ac:dyDescent="0.25">
      <c r="B54" s="1">
        <v>51</v>
      </c>
      <c r="C54" s="85">
        <v>1704.4761904761906</v>
      </c>
      <c r="I54" s="371">
        <v>1627</v>
      </c>
      <c r="J54" s="85">
        <f t="shared" si="1"/>
        <v>1704.4761904761906</v>
      </c>
      <c r="K54" s="1">
        <f t="shared" si="0"/>
        <v>3408.9523809523812</v>
      </c>
    </row>
    <row r="55" spans="2:11" x14ac:dyDescent="0.25">
      <c r="B55" s="1">
        <v>52</v>
      </c>
      <c r="C55" s="85">
        <v>1708.6666666666667</v>
      </c>
      <c r="I55" s="371">
        <v>1631</v>
      </c>
      <c r="J55" s="85">
        <f t="shared" si="1"/>
        <v>1708.6666666666667</v>
      </c>
      <c r="K55" s="1">
        <f t="shared" si="0"/>
        <v>3417.3333333333335</v>
      </c>
    </row>
    <row r="56" spans="2:11" x14ac:dyDescent="0.25">
      <c r="B56" s="1">
        <v>53</v>
      </c>
      <c r="C56" s="85">
        <v>1743.2380952380954</v>
      </c>
      <c r="I56" s="371">
        <v>1664</v>
      </c>
      <c r="J56" s="85">
        <f t="shared" si="1"/>
        <v>1743.2380952380954</v>
      </c>
      <c r="K56" s="1">
        <f t="shared" si="0"/>
        <v>3486.4761904761908</v>
      </c>
    </row>
    <row r="57" spans="2:11" x14ac:dyDescent="0.25">
      <c r="B57" s="1">
        <v>54</v>
      </c>
      <c r="C57" s="85">
        <v>1793.5238095238096</v>
      </c>
      <c r="I57" s="371">
        <v>1712</v>
      </c>
      <c r="J57" s="85">
        <f t="shared" si="1"/>
        <v>1793.5238095238096</v>
      </c>
      <c r="K57" s="1">
        <f t="shared" si="0"/>
        <v>3587.0476190476193</v>
      </c>
    </row>
    <row r="58" spans="2:11" x14ac:dyDescent="0.25">
      <c r="B58" s="1">
        <v>55</v>
      </c>
      <c r="C58" s="85">
        <v>1849.047619047619</v>
      </c>
      <c r="I58" s="371">
        <v>1765</v>
      </c>
      <c r="J58" s="85">
        <f t="shared" si="1"/>
        <v>1849.047619047619</v>
      </c>
      <c r="K58" s="1">
        <f t="shared" si="0"/>
        <v>3698.0952380952381</v>
      </c>
    </row>
    <row r="59" spans="2:11" x14ac:dyDescent="0.25">
      <c r="B59" s="1">
        <v>56</v>
      </c>
      <c r="C59" s="85">
        <v>1887.8095238095239</v>
      </c>
      <c r="I59" s="371">
        <v>1802</v>
      </c>
      <c r="J59" s="85">
        <f t="shared" si="1"/>
        <v>1887.8095238095239</v>
      </c>
      <c r="K59" s="1">
        <f t="shared" si="0"/>
        <v>3775.6190476190477</v>
      </c>
    </row>
    <row r="60" spans="2:11" x14ac:dyDescent="0.25">
      <c r="B60" s="1">
        <v>57</v>
      </c>
      <c r="C60" s="85">
        <v>1902.4761904761906</v>
      </c>
      <c r="I60" s="371">
        <v>1816</v>
      </c>
      <c r="J60" s="85">
        <f t="shared" si="1"/>
        <v>1902.4761904761906</v>
      </c>
      <c r="K60" s="1">
        <f t="shared" si="0"/>
        <v>3804.9523809523812</v>
      </c>
    </row>
    <row r="61" spans="2:11" x14ac:dyDescent="0.25">
      <c r="B61" s="1">
        <v>58</v>
      </c>
      <c r="C61" s="85">
        <v>1992.5714285714287</v>
      </c>
      <c r="I61" s="371">
        <v>1902</v>
      </c>
      <c r="J61" s="85">
        <f t="shared" si="1"/>
        <v>1992.5714285714287</v>
      </c>
      <c r="K61" s="1">
        <f t="shared" si="0"/>
        <v>3985.1428571428573</v>
      </c>
    </row>
    <row r="62" spans="2:11" x14ac:dyDescent="0.25">
      <c r="B62" s="1">
        <v>59</v>
      </c>
      <c r="C62" s="85">
        <v>2037.6190476190477</v>
      </c>
      <c r="I62" s="371">
        <v>1945</v>
      </c>
      <c r="J62" s="85">
        <f t="shared" si="1"/>
        <v>2037.6190476190477</v>
      </c>
      <c r="K62" s="1">
        <f t="shared" si="0"/>
        <v>4075.2380952380954</v>
      </c>
    </row>
    <row r="63" spans="2:11" x14ac:dyDescent="0.25">
      <c r="B63" s="1">
        <v>60</v>
      </c>
      <c r="C63" s="85">
        <v>2069.0476190476193</v>
      </c>
      <c r="I63" s="371">
        <v>1975</v>
      </c>
      <c r="J63" s="85">
        <f t="shared" si="1"/>
        <v>2069.0476190476193</v>
      </c>
      <c r="K63" s="1">
        <f t="shared" si="0"/>
        <v>4138.0952380952385</v>
      </c>
    </row>
    <row r="64" spans="2:11" x14ac:dyDescent="0.25">
      <c r="B64" s="1">
        <v>61</v>
      </c>
      <c r="C64" s="85">
        <v>2083.7142857142858</v>
      </c>
      <c r="I64" s="371">
        <v>1989</v>
      </c>
      <c r="J64" s="85">
        <f t="shared" si="1"/>
        <v>2083.7142857142858</v>
      </c>
      <c r="K64" s="1">
        <f t="shared" si="0"/>
        <v>4167.4285714285716</v>
      </c>
    </row>
    <row r="65" spans="2:11" x14ac:dyDescent="0.25">
      <c r="B65" s="1">
        <v>62</v>
      </c>
      <c r="C65" s="85">
        <v>2132.9523809523812</v>
      </c>
      <c r="I65" s="371">
        <v>2036</v>
      </c>
      <c r="J65" s="85">
        <f t="shared" si="1"/>
        <v>2132.9523809523812</v>
      </c>
      <c r="K65" s="1">
        <f t="shared" si="0"/>
        <v>4265.9047619047624</v>
      </c>
    </row>
    <row r="66" spans="2:11" x14ac:dyDescent="0.25">
      <c r="B66" s="1">
        <v>63</v>
      </c>
      <c r="C66" s="85">
        <v>2120.3809523809523</v>
      </c>
      <c r="I66" s="371">
        <v>2024</v>
      </c>
      <c r="J66" s="85">
        <f t="shared" si="1"/>
        <v>2120.3809523809523</v>
      </c>
      <c r="K66" s="1">
        <f t="shared" si="0"/>
        <v>4240.7619047619046</v>
      </c>
    </row>
    <row r="67" spans="2:11" x14ac:dyDescent="0.25">
      <c r="B67" s="1">
        <v>64</v>
      </c>
      <c r="C67" s="85">
        <v>2237.7142857142858</v>
      </c>
      <c r="I67" s="371">
        <v>2136</v>
      </c>
      <c r="J67" s="85">
        <f t="shared" si="1"/>
        <v>2237.7142857142858</v>
      </c>
      <c r="K67" s="1">
        <f t="shared" si="0"/>
        <v>4475.4285714285716</v>
      </c>
    </row>
    <row r="68" spans="2:11" x14ac:dyDescent="0.25">
      <c r="B68" s="1">
        <v>65</v>
      </c>
      <c r="C68" s="85">
        <v>2960.5714285714289</v>
      </c>
      <c r="I68" s="371">
        <v>2826</v>
      </c>
      <c r="J68" s="85">
        <f t="shared" ref="J68:J103" si="2">I68*($X$3/$W$3)</f>
        <v>2960.5714285714289</v>
      </c>
      <c r="K68" s="1">
        <f t="shared" ref="K68:K103" si="3">J68*2</f>
        <v>5921.1428571428578</v>
      </c>
    </row>
    <row r="69" spans="2:11" x14ac:dyDescent="0.25">
      <c r="B69" s="1">
        <v>66</v>
      </c>
      <c r="C69" s="85">
        <v>2662</v>
      </c>
      <c r="I69" s="371">
        <v>2541</v>
      </c>
      <c r="J69" s="85">
        <f t="shared" si="2"/>
        <v>2662</v>
      </c>
      <c r="K69" s="1">
        <f t="shared" si="3"/>
        <v>5324</v>
      </c>
    </row>
    <row r="70" spans="2:11" x14ac:dyDescent="0.25">
      <c r="B70" s="1">
        <v>67</v>
      </c>
      <c r="C70" s="85">
        <v>2841.1428571428573</v>
      </c>
      <c r="I70" s="371">
        <v>2712</v>
      </c>
      <c r="J70" s="85">
        <f t="shared" si="2"/>
        <v>2841.1428571428573</v>
      </c>
      <c r="K70" s="1">
        <f t="shared" si="3"/>
        <v>5682.2857142857147</v>
      </c>
    </row>
    <row r="71" spans="2:11" x14ac:dyDescent="0.25">
      <c r="B71" s="1">
        <v>68</v>
      </c>
      <c r="C71" s="85">
        <v>2979.4285714285716</v>
      </c>
      <c r="I71" s="371">
        <v>2844</v>
      </c>
      <c r="J71" s="85">
        <f t="shared" si="2"/>
        <v>2979.4285714285716</v>
      </c>
      <c r="K71" s="1">
        <f t="shared" si="3"/>
        <v>5958.8571428571431</v>
      </c>
    </row>
    <row r="72" spans="2:11" x14ac:dyDescent="0.25">
      <c r="B72" s="1">
        <v>69</v>
      </c>
      <c r="C72" s="85">
        <v>3214.0952380952381</v>
      </c>
      <c r="I72" s="371">
        <v>3068</v>
      </c>
      <c r="J72" s="85">
        <f t="shared" si="2"/>
        <v>3214.0952380952381</v>
      </c>
      <c r="K72" s="1">
        <f t="shared" si="3"/>
        <v>6428.1904761904761</v>
      </c>
    </row>
    <row r="73" spans="2:11" x14ac:dyDescent="0.25">
      <c r="B73" s="1">
        <v>70</v>
      </c>
      <c r="C73" s="85">
        <v>3210.9523809523812</v>
      </c>
      <c r="I73" s="371">
        <v>3065</v>
      </c>
      <c r="J73" s="85">
        <f t="shared" si="2"/>
        <v>3210.9523809523812</v>
      </c>
      <c r="K73" s="1">
        <f t="shared" si="3"/>
        <v>6421.9047619047624</v>
      </c>
    </row>
    <row r="74" spans="2:11" x14ac:dyDescent="0.25">
      <c r="B74" s="1">
        <v>71</v>
      </c>
      <c r="C74" s="85">
        <v>3103.0476190476193</v>
      </c>
      <c r="I74" s="371">
        <v>2962</v>
      </c>
      <c r="J74" s="85">
        <f t="shared" si="2"/>
        <v>3103.0476190476193</v>
      </c>
      <c r="K74" s="1">
        <f t="shared" si="3"/>
        <v>6206.0952380952385</v>
      </c>
    </row>
    <row r="75" spans="2:11" x14ac:dyDescent="0.25">
      <c r="B75" s="1">
        <v>72</v>
      </c>
      <c r="C75" s="85">
        <v>3311.5238095238096</v>
      </c>
      <c r="I75" s="371">
        <v>3161</v>
      </c>
      <c r="J75" s="85">
        <f t="shared" si="2"/>
        <v>3311.5238095238096</v>
      </c>
      <c r="K75" s="1">
        <f t="shared" si="3"/>
        <v>6623.0476190476193</v>
      </c>
    </row>
    <row r="76" spans="2:11" x14ac:dyDescent="0.25">
      <c r="B76" s="1">
        <v>73</v>
      </c>
      <c r="C76" s="85">
        <v>3478.0952380952381</v>
      </c>
      <c r="I76" s="371">
        <v>3320</v>
      </c>
      <c r="J76" s="85">
        <f t="shared" si="2"/>
        <v>3478.0952380952381</v>
      </c>
      <c r="K76" s="1">
        <f t="shared" si="3"/>
        <v>6956.1904761904761</v>
      </c>
    </row>
    <row r="77" spans="2:11" x14ac:dyDescent="0.25">
      <c r="B77" s="1">
        <v>74</v>
      </c>
      <c r="C77" s="85">
        <v>3628.9523809523812</v>
      </c>
      <c r="I77" s="371">
        <v>3464</v>
      </c>
      <c r="J77" s="85">
        <f t="shared" si="2"/>
        <v>3628.9523809523812</v>
      </c>
      <c r="K77" s="1">
        <f t="shared" si="3"/>
        <v>7257.9047619047624</v>
      </c>
    </row>
    <row r="78" spans="2:11" x14ac:dyDescent="0.25">
      <c r="B78" s="1">
        <v>75</v>
      </c>
      <c r="C78" s="85">
        <v>3942.1904761904766</v>
      </c>
      <c r="I78" s="371">
        <v>3763</v>
      </c>
      <c r="J78" s="85">
        <f t="shared" si="2"/>
        <v>3942.1904761904766</v>
      </c>
      <c r="K78" s="1">
        <f t="shared" si="3"/>
        <v>7884.3809523809532</v>
      </c>
    </row>
    <row r="79" spans="2:11" x14ac:dyDescent="0.25">
      <c r="B79" s="1">
        <v>76</v>
      </c>
      <c r="C79" s="85">
        <v>4073.1428571428573</v>
      </c>
      <c r="I79" s="371">
        <v>3888</v>
      </c>
      <c r="J79" s="85">
        <f t="shared" si="2"/>
        <v>4073.1428571428573</v>
      </c>
      <c r="K79" s="1">
        <f t="shared" si="3"/>
        <v>8146.2857142857147</v>
      </c>
    </row>
    <row r="80" spans="2:11" x14ac:dyDescent="0.25">
      <c r="B80" s="1">
        <v>77</v>
      </c>
      <c r="C80" s="85">
        <v>4293.1428571428578</v>
      </c>
      <c r="I80" s="371">
        <v>4098</v>
      </c>
      <c r="J80" s="85">
        <f t="shared" si="2"/>
        <v>4293.1428571428578</v>
      </c>
      <c r="K80" s="1">
        <f t="shared" si="3"/>
        <v>8586.2857142857156</v>
      </c>
    </row>
    <row r="81" spans="2:11" x14ac:dyDescent="0.25">
      <c r="B81" s="1">
        <v>78</v>
      </c>
      <c r="C81" s="85">
        <v>4288.9523809523807</v>
      </c>
      <c r="I81" s="371">
        <v>4094</v>
      </c>
      <c r="J81" s="85">
        <f t="shared" si="2"/>
        <v>4288.9523809523807</v>
      </c>
      <c r="K81" s="1">
        <f t="shared" si="3"/>
        <v>8577.9047619047615</v>
      </c>
    </row>
    <row r="82" spans="2:11" x14ac:dyDescent="0.25">
      <c r="B82" s="1">
        <v>79</v>
      </c>
      <c r="C82" s="85">
        <v>4394.7619047619046</v>
      </c>
      <c r="I82" s="371">
        <v>4195</v>
      </c>
      <c r="J82" s="85">
        <f t="shared" si="2"/>
        <v>4394.7619047619046</v>
      </c>
      <c r="K82" s="1">
        <f t="shared" si="3"/>
        <v>8789.5238095238092</v>
      </c>
    </row>
    <row r="83" spans="2:11" x14ac:dyDescent="0.25">
      <c r="B83" s="1">
        <v>80</v>
      </c>
      <c r="C83" s="85">
        <v>4466</v>
      </c>
      <c r="I83" s="371">
        <v>4263</v>
      </c>
      <c r="J83" s="85">
        <f t="shared" si="2"/>
        <v>4466</v>
      </c>
      <c r="K83" s="1">
        <f t="shared" si="3"/>
        <v>8932</v>
      </c>
    </row>
    <row r="84" spans="2:11" x14ac:dyDescent="0.25">
      <c r="B84" s="1">
        <v>81</v>
      </c>
      <c r="C84" s="85">
        <v>4623.1428571428578</v>
      </c>
      <c r="I84" s="371">
        <v>4413</v>
      </c>
      <c r="J84" s="85">
        <f t="shared" si="2"/>
        <v>4623.1428571428578</v>
      </c>
      <c r="K84" s="1">
        <f t="shared" si="3"/>
        <v>9246.2857142857156</v>
      </c>
    </row>
    <row r="85" spans="2:11" x14ac:dyDescent="0.25">
      <c r="B85" s="1">
        <v>82</v>
      </c>
      <c r="C85" s="85">
        <v>4780.2857142857147</v>
      </c>
      <c r="I85" s="371">
        <v>4563</v>
      </c>
      <c r="J85" s="85">
        <f t="shared" si="2"/>
        <v>4780.2857142857147</v>
      </c>
      <c r="K85" s="1">
        <f t="shared" si="3"/>
        <v>9560.5714285714294</v>
      </c>
    </row>
    <row r="86" spans="2:11" x14ac:dyDescent="0.25">
      <c r="B86" s="1">
        <v>83</v>
      </c>
      <c r="C86" s="85">
        <v>4942.666666666667</v>
      </c>
      <c r="I86" s="371">
        <v>4718</v>
      </c>
      <c r="J86" s="85">
        <f t="shared" si="2"/>
        <v>4942.666666666667</v>
      </c>
      <c r="K86" s="1">
        <f t="shared" si="3"/>
        <v>9885.3333333333339</v>
      </c>
    </row>
    <row r="87" spans="2:11" x14ac:dyDescent="0.25">
      <c r="B87" s="1">
        <v>84</v>
      </c>
      <c r="C87" s="85">
        <v>4957.3333333333339</v>
      </c>
      <c r="I87" s="371">
        <v>4732</v>
      </c>
      <c r="J87" s="85">
        <f t="shared" si="2"/>
        <v>4957.3333333333339</v>
      </c>
      <c r="K87" s="1">
        <f t="shared" si="3"/>
        <v>9914.6666666666679</v>
      </c>
    </row>
    <row r="88" spans="2:11" x14ac:dyDescent="0.25">
      <c r="B88" s="1">
        <v>85</v>
      </c>
      <c r="C88" s="85">
        <v>5401.5238095238101</v>
      </c>
      <c r="I88" s="371">
        <v>5156</v>
      </c>
      <c r="J88" s="85">
        <f t="shared" si="2"/>
        <v>5401.5238095238101</v>
      </c>
      <c r="K88" s="1">
        <f t="shared" si="3"/>
        <v>10803.04761904762</v>
      </c>
    </row>
    <row r="89" spans="2:11" x14ac:dyDescent="0.25">
      <c r="B89" s="1">
        <v>86</v>
      </c>
      <c r="C89" s="85">
        <v>5401.5238095238101</v>
      </c>
      <c r="I89" s="371">
        <v>5156</v>
      </c>
      <c r="J89" s="85">
        <f t="shared" si="2"/>
        <v>5401.5238095238101</v>
      </c>
      <c r="K89" s="1">
        <f t="shared" si="3"/>
        <v>10803.04761904762</v>
      </c>
    </row>
    <row r="90" spans="2:11" x14ac:dyDescent="0.25">
      <c r="B90" s="1">
        <v>87</v>
      </c>
      <c r="C90" s="85">
        <v>5401.5238095238101</v>
      </c>
      <c r="I90" s="371">
        <v>5156</v>
      </c>
      <c r="J90" s="85">
        <f t="shared" si="2"/>
        <v>5401.5238095238101</v>
      </c>
      <c r="K90" s="1">
        <f t="shared" si="3"/>
        <v>10803.04761904762</v>
      </c>
    </row>
    <row r="91" spans="2:11" x14ac:dyDescent="0.25">
      <c r="B91" s="1">
        <v>88</v>
      </c>
      <c r="C91" s="85">
        <v>5401.5238095238101</v>
      </c>
      <c r="I91" s="371">
        <v>5156</v>
      </c>
      <c r="J91" s="85">
        <f t="shared" si="2"/>
        <v>5401.5238095238101</v>
      </c>
      <c r="K91" s="1">
        <f t="shared" si="3"/>
        <v>10803.04761904762</v>
      </c>
    </row>
    <row r="92" spans="2:11" x14ac:dyDescent="0.25">
      <c r="B92" s="1">
        <v>89</v>
      </c>
      <c r="C92" s="85">
        <v>5401.5238095238101</v>
      </c>
      <c r="I92" s="371">
        <v>5156</v>
      </c>
      <c r="J92" s="85">
        <f t="shared" si="2"/>
        <v>5401.5238095238101</v>
      </c>
      <c r="K92" s="1">
        <f t="shared" si="3"/>
        <v>10803.04761904762</v>
      </c>
    </row>
    <row r="93" spans="2:11" x14ac:dyDescent="0.25">
      <c r="B93" s="1">
        <v>90</v>
      </c>
      <c r="C93" s="85">
        <v>5401.5238095238101</v>
      </c>
      <c r="I93" s="371">
        <v>5156</v>
      </c>
      <c r="J93" s="85">
        <f t="shared" si="2"/>
        <v>5401.5238095238101</v>
      </c>
      <c r="K93" s="1">
        <f t="shared" si="3"/>
        <v>10803.04761904762</v>
      </c>
    </row>
    <row r="94" spans="2:11" x14ac:dyDescent="0.25">
      <c r="B94" s="1">
        <v>91</v>
      </c>
      <c r="C94" s="85">
        <v>5401.5238095238101</v>
      </c>
      <c r="I94" s="371">
        <v>5156</v>
      </c>
      <c r="J94" s="85">
        <f t="shared" si="2"/>
        <v>5401.5238095238101</v>
      </c>
      <c r="K94" s="1">
        <f t="shared" si="3"/>
        <v>10803.04761904762</v>
      </c>
    </row>
    <row r="95" spans="2:11" x14ac:dyDescent="0.25">
      <c r="B95" s="1">
        <v>92</v>
      </c>
      <c r="C95" s="85">
        <v>5401.5238095238101</v>
      </c>
      <c r="I95" s="371">
        <v>5156</v>
      </c>
      <c r="J95" s="85">
        <f t="shared" si="2"/>
        <v>5401.5238095238101</v>
      </c>
      <c r="K95" s="1">
        <f t="shared" si="3"/>
        <v>10803.04761904762</v>
      </c>
    </row>
    <row r="96" spans="2:11" x14ac:dyDescent="0.25">
      <c r="B96" s="1">
        <v>93</v>
      </c>
      <c r="C96" s="85">
        <v>5401.5238095238101</v>
      </c>
      <c r="I96" s="371">
        <v>5156</v>
      </c>
      <c r="J96" s="85">
        <f t="shared" si="2"/>
        <v>5401.5238095238101</v>
      </c>
      <c r="K96" s="1">
        <f t="shared" si="3"/>
        <v>10803.04761904762</v>
      </c>
    </row>
    <row r="97" spans="2:11" x14ac:dyDescent="0.25">
      <c r="B97" s="1">
        <v>94</v>
      </c>
      <c r="C97" s="85">
        <v>5401.5238095238101</v>
      </c>
      <c r="I97" s="371">
        <v>5156</v>
      </c>
      <c r="J97" s="85">
        <f t="shared" si="2"/>
        <v>5401.5238095238101</v>
      </c>
      <c r="K97" s="1">
        <f t="shared" si="3"/>
        <v>10803.04761904762</v>
      </c>
    </row>
    <row r="98" spans="2:11" x14ac:dyDescent="0.25">
      <c r="B98" s="1">
        <v>95</v>
      </c>
      <c r="C98" s="85">
        <v>5401.5238095238101</v>
      </c>
      <c r="I98" s="371">
        <v>5156</v>
      </c>
      <c r="J98" s="85">
        <f t="shared" si="2"/>
        <v>5401.5238095238101</v>
      </c>
      <c r="K98" s="1">
        <f t="shared" si="3"/>
        <v>10803.04761904762</v>
      </c>
    </row>
    <row r="99" spans="2:11" x14ac:dyDescent="0.25">
      <c r="B99" s="1">
        <v>96</v>
      </c>
      <c r="C99" s="85">
        <v>5401.5238095238101</v>
      </c>
      <c r="I99" s="371">
        <v>5156</v>
      </c>
      <c r="J99" s="85">
        <f t="shared" si="2"/>
        <v>5401.5238095238101</v>
      </c>
      <c r="K99" s="1">
        <f t="shared" si="3"/>
        <v>10803.04761904762</v>
      </c>
    </row>
    <row r="100" spans="2:11" x14ac:dyDescent="0.25">
      <c r="B100" s="1">
        <v>97</v>
      </c>
      <c r="C100" s="85">
        <v>5401.5238095238101</v>
      </c>
      <c r="I100" s="371">
        <v>5156</v>
      </c>
      <c r="J100" s="85">
        <f t="shared" si="2"/>
        <v>5401.5238095238101</v>
      </c>
      <c r="K100" s="1">
        <f t="shared" si="3"/>
        <v>10803.04761904762</v>
      </c>
    </row>
    <row r="101" spans="2:11" x14ac:dyDescent="0.25">
      <c r="B101" s="1">
        <v>98</v>
      </c>
      <c r="C101" s="85">
        <v>5401.5238095238101</v>
      </c>
      <c r="I101" s="371">
        <v>5156</v>
      </c>
      <c r="J101" s="85">
        <f t="shared" si="2"/>
        <v>5401.5238095238101</v>
      </c>
      <c r="K101" s="1">
        <f t="shared" si="3"/>
        <v>10803.04761904762</v>
      </c>
    </row>
    <row r="102" spans="2:11" x14ac:dyDescent="0.25">
      <c r="B102" s="1">
        <v>99</v>
      </c>
      <c r="C102" s="85">
        <v>5401.5238095238101</v>
      </c>
      <c r="I102" s="371">
        <v>5156</v>
      </c>
      <c r="J102" s="85">
        <f t="shared" si="2"/>
        <v>5401.5238095238101</v>
      </c>
      <c r="K102" s="1">
        <f t="shared" si="3"/>
        <v>10803.04761904762</v>
      </c>
    </row>
    <row r="103" spans="2:11" x14ac:dyDescent="0.25">
      <c r="B103" s="1">
        <v>100</v>
      </c>
      <c r="C103" s="85">
        <v>5401.5238095238101</v>
      </c>
      <c r="I103" s="371">
        <v>5156</v>
      </c>
      <c r="J103" s="85">
        <f t="shared" si="2"/>
        <v>5401.5238095238101</v>
      </c>
      <c r="K103" s="1">
        <f t="shared" si="3"/>
        <v>10803.04761904762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3:K103"/>
  <sheetViews>
    <sheetView topLeftCell="A62" zoomScaleNormal="100" workbookViewId="0">
      <selection activeCell="E7" sqref="E7"/>
    </sheetView>
  </sheetViews>
  <sheetFormatPr defaultColWidth="8.85546875" defaultRowHeight="15" x14ac:dyDescent="0.25"/>
  <cols>
    <col min="1" max="16384" width="8.85546875" style="1"/>
  </cols>
  <sheetData>
    <row r="3" spans="2:11" x14ac:dyDescent="0.25">
      <c r="B3" s="354" t="s">
        <v>55</v>
      </c>
      <c r="C3" s="354" t="s">
        <v>321</v>
      </c>
      <c r="D3" s="1" t="s">
        <v>322</v>
      </c>
      <c r="K3" s="354" t="s">
        <v>347</v>
      </c>
    </row>
    <row r="4" spans="2:11" x14ac:dyDescent="0.25">
      <c r="B4" s="1">
        <v>1</v>
      </c>
      <c r="C4" s="1">
        <v>1</v>
      </c>
      <c r="K4" s="1">
        <v>1</v>
      </c>
    </row>
    <row r="5" spans="2:11" x14ac:dyDescent="0.25">
      <c r="B5" s="1">
        <v>2</v>
      </c>
      <c r="C5" s="1">
        <v>1</v>
      </c>
      <c r="K5" s="1">
        <v>1</v>
      </c>
    </row>
    <row r="6" spans="2:11" x14ac:dyDescent="0.25">
      <c r="B6" s="1">
        <v>3</v>
      </c>
      <c r="C6" s="1">
        <v>1</v>
      </c>
      <c r="K6" s="1">
        <v>1</v>
      </c>
    </row>
    <row r="7" spans="2:11" x14ac:dyDescent="0.25">
      <c r="B7" s="1">
        <v>4</v>
      </c>
      <c r="C7" s="1">
        <v>1</v>
      </c>
      <c r="K7" s="1">
        <v>1</v>
      </c>
    </row>
    <row r="8" spans="2:11" x14ac:dyDescent="0.25">
      <c r="B8" s="1">
        <v>5</v>
      </c>
      <c r="C8" s="1">
        <v>1</v>
      </c>
      <c r="K8" s="1">
        <v>1</v>
      </c>
    </row>
    <row r="9" spans="2:11" x14ac:dyDescent="0.25">
      <c r="B9" s="1">
        <v>6</v>
      </c>
      <c r="C9" s="1">
        <v>1</v>
      </c>
      <c r="K9" s="1">
        <v>1</v>
      </c>
    </row>
    <row r="10" spans="2:11" x14ac:dyDescent="0.25">
      <c r="B10" s="1">
        <v>7</v>
      </c>
      <c r="C10" s="1">
        <v>1</v>
      </c>
      <c r="K10" s="1">
        <v>1</v>
      </c>
    </row>
    <row r="11" spans="2:11" x14ac:dyDescent="0.25">
      <c r="B11" s="1">
        <v>8</v>
      </c>
      <c r="C11" s="1">
        <v>1</v>
      </c>
      <c r="K11" s="1">
        <v>1</v>
      </c>
    </row>
    <row r="12" spans="2:11" x14ac:dyDescent="0.25">
      <c r="B12" s="1">
        <v>9</v>
      </c>
      <c r="C12" s="1">
        <v>1</v>
      </c>
      <c r="K12" s="1">
        <v>1</v>
      </c>
    </row>
    <row r="13" spans="2:11" x14ac:dyDescent="0.25">
      <c r="B13" s="1">
        <v>10</v>
      </c>
      <c r="C13" s="1">
        <v>1</v>
      </c>
      <c r="K13" s="1">
        <v>1</v>
      </c>
    </row>
    <row r="14" spans="2:11" x14ac:dyDescent="0.25">
      <c r="B14" s="1">
        <v>11</v>
      </c>
      <c r="C14" s="1">
        <v>1</v>
      </c>
      <c r="K14" s="1">
        <v>1</v>
      </c>
    </row>
    <row r="15" spans="2:11" x14ac:dyDescent="0.25">
      <c r="B15" s="1">
        <v>12</v>
      </c>
      <c r="C15" s="1">
        <v>1</v>
      </c>
      <c r="K15" s="1">
        <v>1</v>
      </c>
    </row>
    <row r="16" spans="2:11" x14ac:dyDescent="0.25">
      <c r="B16" s="1">
        <v>13</v>
      </c>
      <c r="C16" s="1">
        <v>1</v>
      </c>
      <c r="K16" s="1">
        <v>1</v>
      </c>
    </row>
    <row r="17" spans="2:11" x14ac:dyDescent="0.25">
      <c r="B17" s="1">
        <v>14</v>
      </c>
      <c r="C17" s="1">
        <v>1</v>
      </c>
      <c r="K17" s="1">
        <v>1</v>
      </c>
    </row>
    <row r="18" spans="2:11" x14ac:dyDescent="0.25">
      <c r="B18" s="1">
        <v>15</v>
      </c>
      <c r="C18" s="1">
        <v>1</v>
      </c>
      <c r="K18" s="1">
        <v>1</v>
      </c>
    </row>
    <row r="19" spans="2:11" x14ac:dyDescent="0.25">
      <c r="B19" s="1">
        <v>16</v>
      </c>
      <c r="C19" s="1">
        <v>1</v>
      </c>
      <c r="K19" s="1">
        <v>1</v>
      </c>
    </row>
    <row r="20" spans="2:11" x14ac:dyDescent="0.25">
      <c r="B20" s="1">
        <v>17</v>
      </c>
      <c r="C20" s="1">
        <v>1</v>
      </c>
      <c r="K20" s="1">
        <v>1</v>
      </c>
    </row>
    <row r="21" spans="2:11" x14ac:dyDescent="0.25">
      <c r="B21" s="1">
        <v>18</v>
      </c>
      <c r="C21" s="1">
        <v>1</v>
      </c>
      <c r="K21" s="1">
        <v>1</v>
      </c>
    </row>
    <row r="22" spans="2:11" x14ac:dyDescent="0.25">
      <c r="B22" s="1">
        <v>19</v>
      </c>
      <c r="C22" s="1">
        <v>1</v>
      </c>
      <c r="K22" s="1">
        <v>1</v>
      </c>
    </row>
    <row r="23" spans="2:11" x14ac:dyDescent="0.25">
      <c r="B23" s="1">
        <v>20</v>
      </c>
      <c r="C23" s="1">
        <v>1</v>
      </c>
      <c r="K23" s="1">
        <v>1</v>
      </c>
    </row>
    <row r="24" spans="2:11" x14ac:dyDescent="0.25">
      <c r="B24" s="1">
        <v>21</v>
      </c>
      <c r="C24" s="1">
        <v>1</v>
      </c>
      <c r="K24" s="1">
        <v>1</v>
      </c>
    </row>
    <row r="25" spans="2:11" x14ac:dyDescent="0.25">
      <c r="B25" s="1">
        <v>22</v>
      </c>
      <c r="C25" s="1">
        <v>1</v>
      </c>
      <c r="K25" s="1">
        <v>1</v>
      </c>
    </row>
    <row r="26" spans="2:11" x14ac:dyDescent="0.25">
      <c r="B26" s="1">
        <v>23</v>
      </c>
      <c r="C26" s="1">
        <v>1</v>
      </c>
      <c r="K26" s="1">
        <v>1</v>
      </c>
    </row>
    <row r="27" spans="2:11" x14ac:dyDescent="0.25">
      <c r="B27" s="1">
        <v>24</v>
      </c>
      <c r="C27" s="1">
        <v>1</v>
      </c>
      <c r="K27" s="1">
        <v>1</v>
      </c>
    </row>
    <row r="28" spans="2:11" x14ac:dyDescent="0.25">
      <c r="B28" s="1">
        <v>25</v>
      </c>
      <c r="C28" s="1">
        <v>1</v>
      </c>
      <c r="K28" s="1">
        <v>1</v>
      </c>
    </row>
    <row r="29" spans="2:11" x14ac:dyDescent="0.25">
      <c r="B29" s="1">
        <v>26</v>
      </c>
      <c r="C29" s="1">
        <v>1</v>
      </c>
      <c r="K29" s="1">
        <v>1</v>
      </c>
    </row>
    <row r="30" spans="2:11" x14ac:dyDescent="0.25">
      <c r="B30" s="1">
        <v>27</v>
      </c>
      <c r="C30" s="1">
        <v>1</v>
      </c>
      <c r="K30" s="1">
        <v>1</v>
      </c>
    </row>
    <row r="31" spans="2:11" x14ac:dyDescent="0.25">
      <c r="B31" s="1">
        <v>28</v>
      </c>
      <c r="C31" s="1">
        <v>1</v>
      </c>
      <c r="K31" s="1">
        <v>1</v>
      </c>
    </row>
    <row r="32" spans="2:11" x14ac:dyDescent="0.25">
      <c r="B32" s="1">
        <v>29</v>
      </c>
      <c r="C32" s="1">
        <v>1</v>
      </c>
      <c r="K32" s="1">
        <v>1</v>
      </c>
    </row>
    <row r="33" spans="2:11" x14ac:dyDescent="0.25">
      <c r="B33" s="1">
        <v>30</v>
      </c>
      <c r="C33" s="1">
        <v>1</v>
      </c>
      <c r="K33" s="1">
        <v>1</v>
      </c>
    </row>
    <row r="34" spans="2:11" x14ac:dyDescent="0.25">
      <c r="B34" s="1">
        <v>31</v>
      </c>
      <c r="C34" s="1">
        <v>1</v>
      </c>
      <c r="K34" s="1">
        <v>1</v>
      </c>
    </row>
    <row r="35" spans="2:11" x14ac:dyDescent="0.25">
      <c r="B35" s="1">
        <v>32</v>
      </c>
      <c r="C35" s="1">
        <v>1</v>
      </c>
      <c r="K35" s="1">
        <v>1</v>
      </c>
    </row>
    <row r="36" spans="2:11" x14ac:dyDescent="0.25">
      <c r="B36" s="1">
        <v>33</v>
      </c>
      <c r="C36" s="1">
        <v>1</v>
      </c>
      <c r="K36" s="1">
        <v>1</v>
      </c>
    </row>
    <row r="37" spans="2:11" x14ac:dyDescent="0.25">
      <c r="B37" s="1">
        <v>34</v>
      </c>
      <c r="C37" s="1">
        <v>1</v>
      </c>
      <c r="K37" s="1">
        <v>1</v>
      </c>
    </row>
    <row r="38" spans="2:11" x14ac:dyDescent="0.25">
      <c r="B38" s="1">
        <v>35</v>
      </c>
      <c r="C38" s="1">
        <v>1</v>
      </c>
      <c r="K38" s="1">
        <v>1</v>
      </c>
    </row>
    <row r="39" spans="2:11" x14ac:dyDescent="0.25">
      <c r="B39" s="1">
        <v>36</v>
      </c>
      <c r="C39" s="1">
        <v>1</v>
      </c>
      <c r="K39" s="1">
        <v>1</v>
      </c>
    </row>
    <row r="40" spans="2:11" x14ac:dyDescent="0.25">
      <c r="B40" s="1">
        <v>37</v>
      </c>
      <c r="C40" s="1">
        <v>1</v>
      </c>
      <c r="K40" s="1">
        <v>1</v>
      </c>
    </row>
    <row r="41" spans="2:11" x14ac:dyDescent="0.25">
      <c r="B41" s="1">
        <v>38</v>
      </c>
      <c r="C41" s="1">
        <v>1</v>
      </c>
      <c r="K41" s="1">
        <v>1</v>
      </c>
    </row>
    <row r="42" spans="2:11" x14ac:dyDescent="0.25">
      <c r="B42" s="1">
        <v>39</v>
      </c>
      <c r="C42" s="1">
        <v>1</v>
      </c>
      <c r="K42" s="1">
        <v>1</v>
      </c>
    </row>
    <row r="43" spans="2:11" x14ac:dyDescent="0.25">
      <c r="B43" s="1">
        <v>40</v>
      </c>
      <c r="C43" s="1">
        <v>0.84799999999999998</v>
      </c>
      <c r="K43" s="1">
        <v>0.84799999999999998</v>
      </c>
    </row>
    <row r="44" spans="2:11" x14ac:dyDescent="0.25">
      <c r="B44" s="1">
        <v>41</v>
      </c>
      <c r="C44" s="1">
        <v>0.84799999999999998</v>
      </c>
      <c r="K44" s="1">
        <v>0.84799999999999998</v>
      </c>
    </row>
    <row r="45" spans="2:11" x14ac:dyDescent="0.25">
      <c r="B45" s="1">
        <v>42</v>
      </c>
      <c r="C45" s="1">
        <v>0.84799999999999998</v>
      </c>
      <c r="K45" s="1">
        <v>0.84799999999999998</v>
      </c>
    </row>
    <row r="46" spans="2:11" x14ac:dyDescent="0.25">
      <c r="B46" s="1">
        <v>43</v>
      </c>
      <c r="C46" s="1">
        <v>0.84799999999999998</v>
      </c>
      <c r="K46" s="1">
        <v>0.84799999999999998</v>
      </c>
    </row>
    <row r="47" spans="2:11" x14ac:dyDescent="0.25">
      <c r="B47" s="1">
        <v>44</v>
      </c>
      <c r="C47" s="1">
        <v>0.84799999999999998</v>
      </c>
      <c r="K47" s="1">
        <v>0.84799999999999998</v>
      </c>
    </row>
    <row r="48" spans="2:11" x14ac:dyDescent="0.25">
      <c r="B48" s="1">
        <v>45</v>
      </c>
      <c r="C48" s="1">
        <v>0.84799999999999998</v>
      </c>
      <c r="K48" s="1">
        <v>0.84799999999999998</v>
      </c>
    </row>
    <row r="49" spans="2:11" x14ac:dyDescent="0.25">
      <c r="B49" s="1">
        <v>46</v>
      </c>
      <c r="C49" s="1">
        <v>0.84799999999999998</v>
      </c>
      <c r="K49" s="1">
        <v>0.84799999999999998</v>
      </c>
    </row>
    <row r="50" spans="2:11" x14ac:dyDescent="0.25">
      <c r="B50" s="1">
        <v>47</v>
      </c>
      <c r="C50" s="1">
        <v>0.84799999999999998</v>
      </c>
      <c r="K50" s="1">
        <v>0.84799999999999998</v>
      </c>
    </row>
    <row r="51" spans="2:11" x14ac:dyDescent="0.25">
      <c r="B51" s="1">
        <v>48</v>
      </c>
      <c r="C51" s="1">
        <v>0.84799999999999998</v>
      </c>
      <c r="K51" s="1">
        <v>0.84799999999999998</v>
      </c>
    </row>
    <row r="52" spans="2:11" x14ac:dyDescent="0.25">
      <c r="B52" s="1">
        <v>49</v>
      </c>
      <c r="C52" s="1">
        <v>0.84799999999999998</v>
      </c>
      <c r="K52" s="1">
        <v>0.84799999999999998</v>
      </c>
    </row>
    <row r="53" spans="2:11" x14ac:dyDescent="0.25">
      <c r="B53" s="1">
        <v>50</v>
      </c>
      <c r="C53" s="1">
        <v>0.79600000000000004</v>
      </c>
      <c r="K53" s="1">
        <v>0.79600000000000004</v>
      </c>
    </row>
    <row r="54" spans="2:11" x14ac:dyDescent="0.25">
      <c r="B54" s="1">
        <v>51</v>
      </c>
      <c r="C54" s="1">
        <v>0.79600000000000004</v>
      </c>
      <c r="K54" s="1">
        <v>0.79600000000000004</v>
      </c>
    </row>
    <row r="55" spans="2:11" x14ac:dyDescent="0.25">
      <c r="B55" s="1">
        <v>52</v>
      </c>
      <c r="C55" s="1">
        <v>0.79600000000000004</v>
      </c>
      <c r="K55" s="1">
        <v>0.79600000000000004</v>
      </c>
    </row>
    <row r="56" spans="2:11" x14ac:dyDescent="0.25">
      <c r="B56" s="1">
        <v>53</v>
      </c>
      <c r="C56" s="1">
        <v>0.79600000000000004</v>
      </c>
      <c r="K56" s="1">
        <v>0.79600000000000004</v>
      </c>
    </row>
    <row r="57" spans="2:11" x14ac:dyDescent="0.25">
      <c r="B57" s="1">
        <v>54</v>
      </c>
      <c r="C57" s="1">
        <v>0.79600000000000004</v>
      </c>
      <c r="K57" s="1">
        <v>0.79600000000000004</v>
      </c>
    </row>
    <row r="58" spans="2:11" x14ac:dyDescent="0.25">
      <c r="B58" s="1">
        <v>55</v>
      </c>
      <c r="C58" s="1">
        <v>0.79600000000000004</v>
      </c>
      <c r="K58" s="1">
        <v>0.79600000000000004</v>
      </c>
    </row>
    <row r="59" spans="2:11" x14ac:dyDescent="0.25">
      <c r="B59" s="1">
        <v>56</v>
      </c>
      <c r="C59" s="1">
        <v>0.79600000000000004</v>
      </c>
      <c r="K59" s="1">
        <v>0.79600000000000004</v>
      </c>
    </row>
    <row r="60" spans="2:11" x14ac:dyDescent="0.25">
      <c r="B60" s="1">
        <v>57</v>
      </c>
      <c r="C60" s="1">
        <v>0.79600000000000004</v>
      </c>
      <c r="K60" s="1">
        <v>0.79600000000000004</v>
      </c>
    </row>
    <row r="61" spans="2:11" x14ac:dyDescent="0.25">
      <c r="B61" s="1">
        <v>58</v>
      </c>
      <c r="C61" s="1">
        <v>0.79600000000000004</v>
      </c>
      <c r="K61" s="1">
        <v>0.79600000000000004</v>
      </c>
    </row>
    <row r="62" spans="2:11" x14ac:dyDescent="0.25">
      <c r="B62" s="1">
        <v>59</v>
      </c>
      <c r="C62" s="1">
        <v>0.79600000000000004</v>
      </c>
      <c r="K62" s="1">
        <v>0.79600000000000004</v>
      </c>
    </row>
    <row r="63" spans="2:11" x14ac:dyDescent="0.25">
      <c r="B63" s="1">
        <v>60</v>
      </c>
      <c r="C63" s="1">
        <v>0.79600000000000004</v>
      </c>
      <c r="K63" s="1">
        <v>0.79600000000000004</v>
      </c>
    </row>
    <row r="64" spans="2:11" x14ac:dyDescent="0.25">
      <c r="B64" s="1">
        <v>61</v>
      </c>
      <c r="C64" s="1">
        <v>0.79600000000000004</v>
      </c>
      <c r="K64" s="1">
        <v>0.79600000000000004</v>
      </c>
    </row>
    <row r="65" spans="2:11" x14ac:dyDescent="0.25">
      <c r="B65" s="1">
        <v>62</v>
      </c>
      <c r="C65" s="1">
        <v>0.79600000000000004</v>
      </c>
      <c r="K65" s="1">
        <v>0.79600000000000004</v>
      </c>
    </row>
    <row r="66" spans="2:11" x14ac:dyDescent="0.25">
      <c r="B66" s="1">
        <v>63</v>
      </c>
      <c r="C66" s="1">
        <v>0.79600000000000004</v>
      </c>
      <c r="K66" s="1">
        <v>0.79600000000000004</v>
      </c>
    </row>
    <row r="67" spans="2:11" x14ac:dyDescent="0.25">
      <c r="B67" s="1">
        <v>64</v>
      </c>
      <c r="C67" s="1">
        <v>0.79600000000000004</v>
      </c>
      <c r="K67" s="1">
        <v>0.79600000000000004</v>
      </c>
    </row>
    <row r="68" spans="2:11" x14ac:dyDescent="0.25">
      <c r="B68" s="1">
        <v>65</v>
      </c>
      <c r="C68" s="1">
        <v>0.79600000000000004</v>
      </c>
      <c r="K68" s="1">
        <v>0.79600000000000004</v>
      </c>
    </row>
    <row r="69" spans="2:11" x14ac:dyDescent="0.25">
      <c r="B69" s="1">
        <v>66</v>
      </c>
      <c r="C69" s="1">
        <v>0.79600000000000004</v>
      </c>
      <c r="K69" s="1">
        <v>0.79600000000000004</v>
      </c>
    </row>
    <row r="70" spans="2:11" x14ac:dyDescent="0.25">
      <c r="B70" s="1">
        <v>67</v>
      </c>
      <c r="C70" s="1">
        <v>0.79600000000000004</v>
      </c>
      <c r="K70" s="1">
        <v>0.79600000000000004</v>
      </c>
    </row>
    <row r="71" spans="2:11" x14ac:dyDescent="0.25">
      <c r="B71" s="1">
        <v>68</v>
      </c>
      <c r="C71" s="1">
        <v>0.79600000000000004</v>
      </c>
      <c r="K71" s="1">
        <v>0.79600000000000004</v>
      </c>
    </row>
    <row r="72" spans="2:11" x14ac:dyDescent="0.25">
      <c r="B72" s="1">
        <v>69</v>
      </c>
      <c r="C72" s="1">
        <v>0.79600000000000004</v>
      </c>
      <c r="K72" s="1">
        <v>0.79600000000000004</v>
      </c>
    </row>
    <row r="73" spans="2:11" x14ac:dyDescent="0.25">
      <c r="B73" s="1">
        <v>70</v>
      </c>
      <c r="C73" s="1">
        <v>0.72699999999999998</v>
      </c>
      <c r="K73" s="1">
        <v>0.72699999999999998</v>
      </c>
    </row>
    <row r="74" spans="2:11" x14ac:dyDescent="0.25">
      <c r="B74" s="1">
        <v>71</v>
      </c>
      <c r="C74" s="1">
        <v>0.72699999999999998</v>
      </c>
      <c r="K74" s="1">
        <v>0.72699999999999998</v>
      </c>
    </row>
    <row r="75" spans="2:11" x14ac:dyDescent="0.25">
      <c r="B75" s="1">
        <v>72</v>
      </c>
      <c r="C75" s="1">
        <v>0.72699999999999998</v>
      </c>
      <c r="K75" s="1">
        <v>0.72699999999999998</v>
      </c>
    </row>
    <row r="76" spans="2:11" x14ac:dyDescent="0.25">
      <c r="B76" s="1">
        <v>73</v>
      </c>
      <c r="C76" s="1">
        <v>0.72699999999999998</v>
      </c>
      <c r="K76" s="1">
        <v>0.72699999999999998</v>
      </c>
    </row>
    <row r="77" spans="2:11" x14ac:dyDescent="0.25">
      <c r="B77" s="1">
        <v>74</v>
      </c>
      <c r="C77" s="1">
        <v>0.72699999999999998</v>
      </c>
      <c r="K77" s="1">
        <v>0.72699999999999998</v>
      </c>
    </row>
    <row r="78" spans="2:11" x14ac:dyDescent="0.25">
      <c r="B78" s="1">
        <v>75</v>
      </c>
      <c r="C78" s="1">
        <v>0.72699999999999998</v>
      </c>
      <c r="K78" s="1">
        <v>0.72699999999999998</v>
      </c>
    </row>
    <row r="79" spans="2:11" x14ac:dyDescent="0.25">
      <c r="B79" s="1">
        <v>76</v>
      </c>
      <c r="C79" s="1">
        <v>0.72699999999999998</v>
      </c>
      <c r="K79" s="1">
        <v>0.72699999999999998</v>
      </c>
    </row>
    <row r="80" spans="2:11" x14ac:dyDescent="0.25">
      <c r="B80" s="1">
        <v>77</v>
      </c>
      <c r="C80" s="1">
        <v>0.72699999999999998</v>
      </c>
      <c r="K80" s="1">
        <v>0.72699999999999998</v>
      </c>
    </row>
    <row r="81" spans="2:11" x14ac:dyDescent="0.25">
      <c r="B81" s="1">
        <v>78</v>
      </c>
      <c r="C81" s="1">
        <v>0.72699999999999998</v>
      </c>
      <c r="K81" s="1">
        <v>0.72699999999999998</v>
      </c>
    </row>
    <row r="82" spans="2:11" x14ac:dyDescent="0.25">
      <c r="B82" s="1">
        <v>79</v>
      </c>
      <c r="C82" s="1">
        <v>0.72699999999999998</v>
      </c>
      <c r="K82" s="1">
        <v>0.72699999999999998</v>
      </c>
    </row>
    <row r="83" spans="2:11" x14ac:dyDescent="0.25">
      <c r="B83" s="1">
        <v>80</v>
      </c>
      <c r="C83" s="1">
        <v>0.69099999999999995</v>
      </c>
      <c r="K83" s="1">
        <v>0.69099999999999995</v>
      </c>
    </row>
    <row r="84" spans="2:11" x14ac:dyDescent="0.25">
      <c r="B84" s="1">
        <v>81</v>
      </c>
      <c r="C84" s="1">
        <v>0.69099999999999995</v>
      </c>
      <c r="K84" s="1">
        <v>0.69099999999999995</v>
      </c>
    </row>
    <row r="85" spans="2:11" x14ac:dyDescent="0.25">
      <c r="B85" s="1">
        <v>82</v>
      </c>
      <c r="C85" s="1">
        <v>0.69099999999999995</v>
      </c>
      <c r="K85" s="1">
        <v>0.69099999999999995</v>
      </c>
    </row>
    <row r="86" spans="2:11" x14ac:dyDescent="0.25">
      <c r="B86" s="1">
        <v>83</v>
      </c>
      <c r="C86" s="1">
        <v>0.69099999999999995</v>
      </c>
      <c r="K86" s="1">
        <v>0.69099999999999995</v>
      </c>
    </row>
    <row r="87" spans="2:11" x14ac:dyDescent="0.25">
      <c r="B87" s="1">
        <v>84</v>
      </c>
      <c r="C87" s="1">
        <v>0.69099999999999995</v>
      </c>
      <c r="K87" s="1">
        <v>0.69099999999999995</v>
      </c>
    </row>
    <row r="88" spans="2:11" x14ac:dyDescent="0.25">
      <c r="B88" s="1">
        <v>85</v>
      </c>
      <c r="C88" s="1">
        <v>0.69099999999999995</v>
      </c>
      <c r="K88" s="1">
        <v>0.69099999999999995</v>
      </c>
    </row>
    <row r="89" spans="2:11" x14ac:dyDescent="0.25">
      <c r="B89" s="1">
        <v>86</v>
      </c>
      <c r="C89" s="1">
        <v>0.69099999999999995</v>
      </c>
      <c r="K89" s="1">
        <v>0.69099999999999995</v>
      </c>
    </row>
    <row r="90" spans="2:11" x14ac:dyDescent="0.25">
      <c r="B90" s="1">
        <v>87</v>
      </c>
      <c r="C90" s="1">
        <v>0.69099999999999995</v>
      </c>
      <c r="K90" s="1">
        <v>0.69099999999999995</v>
      </c>
    </row>
    <row r="91" spans="2:11" x14ac:dyDescent="0.25">
      <c r="B91" s="1">
        <v>88</v>
      </c>
      <c r="C91" s="1">
        <v>0.69099999999999995</v>
      </c>
      <c r="K91" s="1">
        <v>0.69099999999999995</v>
      </c>
    </row>
    <row r="92" spans="2:11" x14ac:dyDescent="0.25">
      <c r="B92" s="1">
        <v>89</v>
      </c>
      <c r="C92" s="1">
        <v>0.69099999999999995</v>
      </c>
      <c r="K92" s="1">
        <v>0.69099999999999995</v>
      </c>
    </row>
    <row r="93" spans="2:11" x14ac:dyDescent="0.25">
      <c r="B93" s="1">
        <v>90</v>
      </c>
      <c r="C93" s="1">
        <v>0.69099999999999995</v>
      </c>
      <c r="K93" s="1">
        <v>0.69099999999999995</v>
      </c>
    </row>
    <row r="94" spans="2:11" x14ac:dyDescent="0.25">
      <c r="B94" s="1">
        <v>91</v>
      </c>
      <c r="C94" s="1">
        <v>0.69099999999999995</v>
      </c>
      <c r="K94" s="1">
        <v>0.69099999999999995</v>
      </c>
    </row>
    <row r="95" spans="2:11" x14ac:dyDescent="0.25">
      <c r="B95" s="1">
        <v>92</v>
      </c>
      <c r="C95" s="1">
        <v>0.69099999999999995</v>
      </c>
      <c r="K95" s="1">
        <v>0.69099999999999995</v>
      </c>
    </row>
    <row r="96" spans="2:11" x14ac:dyDescent="0.25">
      <c r="B96" s="1">
        <v>93</v>
      </c>
      <c r="C96" s="1">
        <v>0.69099999999999995</v>
      </c>
      <c r="K96" s="1">
        <v>0.69099999999999995</v>
      </c>
    </row>
    <row r="97" spans="2:11" x14ac:dyDescent="0.25">
      <c r="B97" s="1">
        <v>94</v>
      </c>
      <c r="C97" s="1">
        <v>0.69099999999999995</v>
      </c>
      <c r="K97" s="1">
        <v>0.69099999999999995</v>
      </c>
    </row>
    <row r="98" spans="2:11" x14ac:dyDescent="0.25">
      <c r="B98" s="1">
        <v>95</v>
      </c>
      <c r="C98" s="1">
        <v>0.69099999999999995</v>
      </c>
      <c r="K98" s="1">
        <v>0.69099999999999995</v>
      </c>
    </row>
    <row r="99" spans="2:11" x14ac:dyDescent="0.25">
      <c r="B99" s="1">
        <v>96</v>
      </c>
      <c r="C99" s="1">
        <v>0.69099999999999995</v>
      </c>
      <c r="K99" s="1">
        <v>0.69099999999999995</v>
      </c>
    </row>
    <row r="100" spans="2:11" x14ac:dyDescent="0.25">
      <c r="B100" s="1">
        <v>97</v>
      </c>
      <c r="C100" s="1">
        <v>0.69099999999999995</v>
      </c>
      <c r="K100" s="1">
        <v>0.69099999999999995</v>
      </c>
    </row>
    <row r="101" spans="2:11" x14ac:dyDescent="0.25">
      <c r="B101" s="1">
        <v>98</v>
      </c>
      <c r="C101" s="1">
        <v>0.69099999999999995</v>
      </c>
      <c r="K101" s="1">
        <v>0.69099999999999995</v>
      </c>
    </row>
    <row r="102" spans="2:11" x14ac:dyDescent="0.25">
      <c r="B102" s="1">
        <v>99</v>
      </c>
      <c r="C102" s="1">
        <v>0.69099999999999995</v>
      </c>
      <c r="K102" s="1">
        <v>0.69099999999999995</v>
      </c>
    </row>
    <row r="103" spans="2:11" x14ac:dyDescent="0.25">
      <c r="B103" s="1">
        <v>100</v>
      </c>
      <c r="C103" s="1">
        <v>0.69099999999999995</v>
      </c>
      <c r="K103" s="1">
        <v>0.69099999999999995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B1:AH106"/>
  <sheetViews>
    <sheetView topLeftCell="Z1" zoomScaleNormal="100" workbookViewId="0">
      <selection activeCell="AJ4" sqref="AJ4"/>
    </sheetView>
  </sheetViews>
  <sheetFormatPr defaultColWidth="8.85546875" defaultRowHeight="15" x14ac:dyDescent="0.25"/>
  <cols>
    <col min="1" max="1" width="8.85546875" style="1"/>
    <col min="2" max="2" width="8.85546875" style="5"/>
    <col min="3" max="3" width="9.85546875" style="5" customWidth="1"/>
    <col min="4" max="4" width="10.7109375" style="5" customWidth="1"/>
    <col min="5" max="5" width="8.85546875" style="5"/>
    <col min="6" max="6" width="10.7109375" style="5" customWidth="1"/>
    <col min="7" max="7" width="12.140625" style="5" customWidth="1"/>
    <col min="8" max="8" width="8.85546875" style="5"/>
    <col min="9" max="9" width="8.85546875" style="1" customWidth="1"/>
    <col min="10" max="18" width="8.85546875" style="1"/>
    <col min="19" max="19" width="8.7109375" style="1" customWidth="1"/>
    <col min="20" max="22" width="8.85546875" style="1"/>
    <col min="23" max="23" width="8.85546875" style="329"/>
    <col min="24" max="24" width="22.7109375" style="7" customWidth="1"/>
    <col min="25" max="25" width="21.7109375" style="7" customWidth="1"/>
    <col min="26" max="26" width="16.28515625" style="7" customWidth="1"/>
    <col min="27" max="28" width="8.85546875" style="1"/>
    <col min="29" max="29" width="8.85546875" style="5"/>
    <col min="30" max="30" width="22.7109375" style="7" customWidth="1"/>
    <col min="31" max="31" width="21.7109375" style="7" customWidth="1"/>
    <col min="32" max="32" width="18" style="7" customWidth="1"/>
    <col min="33" max="33" width="18.28515625" style="7" customWidth="1"/>
    <col min="34" max="34" width="20.28515625" style="7" customWidth="1"/>
    <col min="35" max="16384" width="8.85546875" style="1"/>
  </cols>
  <sheetData>
    <row r="1" spans="2:34" x14ac:dyDescent="0.25">
      <c r="B1" s="392" t="s">
        <v>18</v>
      </c>
      <c r="C1" s="327"/>
      <c r="D1" s="256" t="s">
        <v>22</v>
      </c>
      <c r="E1" s="255"/>
      <c r="F1" s="256"/>
      <c r="G1" s="256" t="s">
        <v>23</v>
      </c>
      <c r="H1" s="255"/>
      <c r="I1" s="1" t="s">
        <v>290</v>
      </c>
    </row>
    <row r="2" spans="2:34" x14ac:dyDescent="0.25">
      <c r="B2" s="393"/>
      <c r="C2" s="245" t="s">
        <v>19</v>
      </c>
      <c r="D2" s="245" t="s">
        <v>20</v>
      </c>
      <c r="E2" s="241" t="s">
        <v>21</v>
      </c>
      <c r="F2" s="245" t="s">
        <v>19</v>
      </c>
      <c r="G2" s="245" t="s">
        <v>20</v>
      </c>
      <c r="H2" s="241" t="s">
        <v>21</v>
      </c>
      <c r="I2" s="1" t="s">
        <v>291</v>
      </c>
    </row>
    <row r="3" spans="2:34" x14ac:dyDescent="0.25">
      <c r="B3" s="310">
        <v>0</v>
      </c>
      <c r="C3" s="311">
        <v>100000</v>
      </c>
      <c r="D3" s="312">
        <v>4.2880000000000001E-3</v>
      </c>
      <c r="E3" s="313">
        <v>79.09</v>
      </c>
      <c r="F3" s="314">
        <v>100000</v>
      </c>
      <c r="G3" s="315">
        <v>3.483E-3</v>
      </c>
      <c r="H3" s="316">
        <v>82.82</v>
      </c>
      <c r="W3" s="330"/>
      <c r="X3" s="390" t="s">
        <v>38</v>
      </c>
      <c r="Y3" s="390"/>
      <c r="Z3" s="390"/>
      <c r="AC3" s="240"/>
      <c r="AD3" s="391" t="s">
        <v>37</v>
      </c>
      <c r="AE3" s="390"/>
      <c r="AF3" s="390"/>
      <c r="AG3" s="390"/>
      <c r="AH3" s="390"/>
    </row>
    <row r="4" spans="2:34" x14ac:dyDescent="0.25">
      <c r="B4" s="310">
        <v>1</v>
      </c>
      <c r="C4" s="311">
        <v>99571.199999999997</v>
      </c>
      <c r="D4" s="312">
        <v>3.21E-4</v>
      </c>
      <c r="E4" s="313">
        <v>78.430000000000007</v>
      </c>
      <c r="F4" s="314">
        <v>99651.7</v>
      </c>
      <c r="G4" s="315">
        <v>2.5599999999999999E-4</v>
      </c>
      <c r="H4" s="316">
        <v>82.11</v>
      </c>
      <c r="W4" s="331" t="s">
        <v>18</v>
      </c>
      <c r="X4" s="242" t="s">
        <v>24</v>
      </c>
      <c r="Y4" s="242" t="s">
        <v>25</v>
      </c>
      <c r="Z4" s="242" t="s">
        <v>29</v>
      </c>
      <c r="AC4" s="241" t="s">
        <v>18</v>
      </c>
      <c r="AD4" s="242" t="s">
        <v>48</v>
      </c>
      <c r="AE4" s="242" t="s">
        <v>49</v>
      </c>
      <c r="AF4" s="242" t="s">
        <v>50</v>
      </c>
      <c r="AG4" s="242" t="s">
        <v>51</v>
      </c>
      <c r="AH4" s="242" t="s">
        <v>52</v>
      </c>
    </row>
    <row r="5" spans="2:34" x14ac:dyDescent="0.25">
      <c r="B5" s="310">
        <v>2</v>
      </c>
      <c r="C5" s="311">
        <v>99539.3</v>
      </c>
      <c r="D5" s="312">
        <v>1.7000000000000001E-4</v>
      </c>
      <c r="E5" s="313">
        <v>77.459999999999994</v>
      </c>
      <c r="F5" s="314">
        <v>99626.2</v>
      </c>
      <c r="G5" s="315">
        <v>1.34E-4</v>
      </c>
      <c r="H5" s="316">
        <v>81.13</v>
      </c>
      <c r="W5" s="328">
        <v>0</v>
      </c>
      <c r="X5" s="324">
        <f t="shared" ref="X5:X36" si="0">D3*(1-(1-mCVDmort)*pCVD)</f>
        <v>5.5744000000000002E-3</v>
      </c>
      <c r="Y5" s="324">
        <f t="shared" ref="Y5:Y36" si="1">G3*(1-(1-fCVDmort)*pCVD)</f>
        <v>5.3986500000000005E-3</v>
      </c>
      <c r="Z5" s="238">
        <f t="shared" ref="Z5:Z36" si="2">pMale*X5+(1-pMale)*Y5</f>
        <v>5.4865250000000008E-3</v>
      </c>
      <c r="AC5" s="232">
        <v>0</v>
      </c>
      <c r="AD5" s="238">
        <f t="shared" ref="AD5:AD36" si="3">IF( AND(AC5 - 0.5 &gt;= Ageyr, (AC5 - Ageyr - 0.5) &lt; maxtime, maxtime &gt; 0), (-1*(LN(1-X5)))+(AC5 - Ageyr - 0.5)/maxtime*QOFrate, (-1*(LN(1-X5)))+QOFrate)</f>
        <v>6.1792763498957834E-3</v>
      </c>
      <c r="AE5" s="238">
        <f t="shared" ref="AE5:AE36" si="4">IF( AND(AC5 - 0.5&gt;=Ageyr, (AC5 - Ageyr -0.5) &lt; maxtime, maxtime &gt; 0), (-1*(LN(1-Y5)))+(AC5-Ageyr-0.5)/maxtime*QOFrate, (-1*(LN(1-Y5)))+QOFrate)</f>
        <v>6.0025567730620788E-3</v>
      </c>
      <c r="AF5" s="238">
        <f>MAX(0,(1-(EXP(-1*AD5))))</f>
        <v>6.1602238854722158E-3</v>
      </c>
      <c r="AG5" s="238">
        <f>MAX(0,(1-(EXP(-1*AE5))))</f>
        <v>5.9845774211694236E-3</v>
      </c>
      <c r="AH5" s="238">
        <f t="shared" ref="AH5:AH36" si="5">pMale*AF5+(1-pMale)*AG5</f>
        <v>6.0724006533208197E-3</v>
      </c>
    </row>
    <row r="6" spans="2:34" x14ac:dyDescent="0.25">
      <c r="B6" s="310">
        <v>3</v>
      </c>
      <c r="C6" s="311">
        <v>99522.4</v>
      </c>
      <c r="D6" s="312">
        <v>1.2300000000000001E-4</v>
      </c>
      <c r="E6" s="313">
        <v>76.47</v>
      </c>
      <c r="F6" s="314">
        <v>99612.9</v>
      </c>
      <c r="G6" s="315">
        <v>1.1E-4</v>
      </c>
      <c r="H6" s="316">
        <v>80.14</v>
      </c>
      <c r="T6" s="1">
        <f>mCVDmort</f>
        <v>1.6</v>
      </c>
      <c r="W6" s="328">
        <v>1</v>
      </c>
      <c r="X6" s="324">
        <f t="shared" si="0"/>
        <v>4.1730000000000001E-4</v>
      </c>
      <c r="Y6" s="324">
        <f t="shared" si="1"/>
        <v>3.968E-4</v>
      </c>
      <c r="Z6" s="238">
        <f t="shared" si="2"/>
        <v>4.0705E-4</v>
      </c>
      <c r="AC6" s="232">
        <v>1</v>
      </c>
      <c r="AD6" s="238">
        <f t="shared" si="3"/>
        <v>1.0066684940971207E-3</v>
      </c>
      <c r="AE6" s="238">
        <f t="shared" si="4"/>
        <v>9.8616014617340089E-4</v>
      </c>
      <c r="AF6" s="238">
        <f t="shared" ref="AF6:AF69" si="6">MAX(0,(1-(EXP(-1*AD6))))</f>
        <v>1.0061619733490179E-3</v>
      </c>
      <c r="AG6" s="238">
        <f t="shared" ref="AG6:AG69" si="7">MAX(0,(1-(EXP(-1*AE6))))</f>
        <v>9.8567405005911546E-4</v>
      </c>
      <c r="AH6" s="238">
        <f t="shared" si="5"/>
        <v>9.9591801170406669E-4</v>
      </c>
    </row>
    <row r="7" spans="2:34" x14ac:dyDescent="0.25">
      <c r="B7" s="310">
        <v>4</v>
      </c>
      <c r="C7" s="311">
        <v>99510.2</v>
      </c>
      <c r="D7" s="312">
        <v>9.8999999999999994E-5</v>
      </c>
      <c r="E7" s="313">
        <v>75.48</v>
      </c>
      <c r="F7" s="314">
        <v>99602</v>
      </c>
      <c r="G7" s="315">
        <v>8.2999999999999998E-5</v>
      </c>
      <c r="H7" s="316">
        <v>79.150000000000006</v>
      </c>
      <c r="T7" s="1">
        <f>pCVD</f>
        <v>0.5</v>
      </c>
      <c r="W7" s="328">
        <v>2</v>
      </c>
      <c r="X7" s="324">
        <f t="shared" si="0"/>
        <v>2.2100000000000003E-4</v>
      </c>
      <c r="Y7" s="324">
        <f t="shared" si="1"/>
        <v>2.0770000000000001E-4</v>
      </c>
      <c r="Z7" s="238">
        <f t="shared" si="2"/>
        <v>2.1435000000000003E-4</v>
      </c>
      <c r="AC7" s="232">
        <v>2</v>
      </c>
      <c r="AD7" s="238">
        <f t="shared" si="3"/>
        <v>8.1030582432038494E-4</v>
      </c>
      <c r="AE7" s="238">
        <f t="shared" si="4"/>
        <v>7.9700297285398313E-4</v>
      </c>
      <c r="AF7" s="238">
        <f t="shared" si="6"/>
        <v>8.0997761521184319E-4</v>
      </c>
      <c r="AG7" s="238">
        <f t="shared" si="7"/>
        <v>7.9668545034572436E-4</v>
      </c>
      <c r="AH7" s="238">
        <f t="shared" si="5"/>
        <v>8.0333153277878377E-4</v>
      </c>
    </row>
    <row r="8" spans="2:34" x14ac:dyDescent="0.25">
      <c r="B8" s="310">
        <v>5</v>
      </c>
      <c r="C8" s="311">
        <v>99500.3</v>
      </c>
      <c r="D8" s="312">
        <v>8.6000000000000003E-5</v>
      </c>
      <c r="E8" s="313">
        <v>74.489999999999995</v>
      </c>
      <c r="F8" s="314">
        <v>99593.7</v>
      </c>
      <c r="G8" s="315">
        <v>7.2000000000000002E-5</v>
      </c>
      <c r="H8" s="316">
        <v>78.16</v>
      </c>
      <c r="T8" s="1">
        <f>(1-(1-T6)*T7)</f>
        <v>1.3</v>
      </c>
      <c r="W8" s="328">
        <v>3</v>
      </c>
      <c r="X8" s="324">
        <f t="shared" si="0"/>
        <v>1.5990000000000001E-4</v>
      </c>
      <c r="Y8" s="324">
        <f t="shared" si="1"/>
        <v>1.7050000000000002E-4</v>
      </c>
      <c r="Z8" s="238">
        <f t="shared" si="2"/>
        <v>1.652E-4</v>
      </c>
      <c r="AC8" s="232">
        <v>3</v>
      </c>
      <c r="AD8" s="238">
        <f t="shared" si="3"/>
        <v>7.4919418558973706E-4</v>
      </c>
      <c r="AE8" s="238">
        <f t="shared" si="4"/>
        <v>7.5979593699914089E-4</v>
      </c>
      <c r="AF8" s="238">
        <f t="shared" si="6"/>
        <v>7.4891360969886467E-4</v>
      </c>
      <c r="AG8" s="238">
        <f t="shared" si="7"/>
        <v>7.5950736515606465E-4</v>
      </c>
      <c r="AH8" s="238">
        <f t="shared" si="5"/>
        <v>7.5421048742746466E-4</v>
      </c>
    </row>
    <row r="9" spans="2:34" x14ac:dyDescent="0.25">
      <c r="B9" s="310">
        <v>6</v>
      </c>
      <c r="C9" s="311">
        <v>99491.7</v>
      </c>
      <c r="D9" s="312">
        <v>9.1000000000000003E-5</v>
      </c>
      <c r="E9" s="313">
        <v>73.5</v>
      </c>
      <c r="F9" s="314">
        <v>99586.5</v>
      </c>
      <c r="G9" s="315">
        <v>7.4999999999999993E-5</v>
      </c>
      <c r="H9" s="316">
        <v>77.16</v>
      </c>
      <c r="W9" s="328">
        <v>4</v>
      </c>
      <c r="X9" s="324">
        <f t="shared" si="0"/>
        <v>1.2869999999999998E-4</v>
      </c>
      <c r="Y9" s="324">
        <f t="shared" si="1"/>
        <v>1.2865000000000001E-4</v>
      </c>
      <c r="Z9" s="238">
        <f t="shared" si="2"/>
        <v>1.28675E-4</v>
      </c>
      <c r="AC9" s="232">
        <v>4</v>
      </c>
      <c r="AD9" s="238">
        <f t="shared" si="3"/>
        <v>7.1798968277744053E-4</v>
      </c>
      <c r="AE9" s="238">
        <f t="shared" si="4"/>
        <v>7.1793967634283342E-4</v>
      </c>
      <c r="AF9" s="238">
        <f t="shared" si="6"/>
        <v>7.17731989862469E-4</v>
      </c>
      <c r="AG9" s="238">
        <f t="shared" si="7"/>
        <v>7.1768201931776687E-4</v>
      </c>
      <c r="AH9" s="238">
        <f t="shared" si="5"/>
        <v>7.1770700459011794E-4</v>
      </c>
    </row>
    <row r="10" spans="2:34" x14ac:dyDescent="0.25">
      <c r="B10" s="310">
        <v>7</v>
      </c>
      <c r="C10" s="311">
        <v>99482.6</v>
      </c>
      <c r="D10" s="312">
        <v>9.7E-5</v>
      </c>
      <c r="E10" s="313">
        <v>72.5</v>
      </c>
      <c r="F10" s="314">
        <v>99579.1</v>
      </c>
      <c r="G10" s="315">
        <v>7.8999999999999996E-5</v>
      </c>
      <c r="H10" s="316">
        <v>76.17</v>
      </c>
      <c r="W10" s="328">
        <v>5</v>
      </c>
      <c r="X10" s="324">
        <f t="shared" si="0"/>
        <v>1.1180000000000001E-4</v>
      </c>
      <c r="Y10" s="324">
        <f t="shared" si="1"/>
        <v>1.116E-4</v>
      </c>
      <c r="Z10" s="238">
        <f t="shared" si="2"/>
        <v>1.117E-4</v>
      </c>
      <c r="AC10" s="232">
        <v>5</v>
      </c>
      <c r="AD10" s="238">
        <f t="shared" si="3"/>
        <v>7.0108765030764734E-4</v>
      </c>
      <c r="AE10" s="238">
        <f t="shared" si="4"/>
        <v>7.0088762796514589E-4</v>
      </c>
      <c r="AF10" s="238">
        <f t="shared" si="6"/>
        <v>7.0084194578445835E-4</v>
      </c>
      <c r="AG10" s="238">
        <f t="shared" si="7"/>
        <v>7.0064206360598291E-4</v>
      </c>
      <c r="AH10" s="238">
        <f t="shared" si="5"/>
        <v>7.0074200469522063E-4</v>
      </c>
    </row>
    <row r="11" spans="2:34" x14ac:dyDescent="0.25">
      <c r="B11" s="310">
        <v>8</v>
      </c>
      <c r="C11" s="311">
        <v>99472.9</v>
      </c>
      <c r="D11" s="312">
        <v>7.2000000000000002E-5</v>
      </c>
      <c r="E11" s="313">
        <v>71.510000000000005</v>
      </c>
      <c r="F11" s="314">
        <v>99571.199999999997</v>
      </c>
      <c r="G11" s="315">
        <v>7.1000000000000005E-5</v>
      </c>
      <c r="H11" s="316">
        <v>75.17</v>
      </c>
      <c r="W11" s="328">
        <v>6</v>
      </c>
      <c r="X11" s="324">
        <f t="shared" si="0"/>
        <v>1.183E-4</v>
      </c>
      <c r="Y11" s="324">
        <f t="shared" si="1"/>
        <v>1.1624999999999999E-4</v>
      </c>
      <c r="Z11" s="238">
        <f t="shared" si="2"/>
        <v>1.1727499999999999E-4</v>
      </c>
      <c r="AC11" s="232">
        <v>6</v>
      </c>
      <c r="AD11" s="238">
        <f t="shared" si="3"/>
        <v>7.0758839821873781E-4</v>
      </c>
      <c r="AE11" s="238">
        <f t="shared" si="4"/>
        <v>7.0553815777681355E-4</v>
      </c>
      <c r="AF11" s="238">
        <f t="shared" si="6"/>
        <v>7.0733811658374446E-4</v>
      </c>
      <c r="AG11" s="238">
        <f t="shared" si="7"/>
        <v>7.0528932425473201E-4</v>
      </c>
      <c r="AH11" s="238">
        <f t="shared" si="5"/>
        <v>7.0631372041923823E-4</v>
      </c>
    </row>
    <row r="12" spans="2:34" x14ac:dyDescent="0.25">
      <c r="B12" s="310">
        <v>9</v>
      </c>
      <c r="C12" s="311">
        <v>99465.8</v>
      </c>
      <c r="D12" s="312">
        <v>8.7000000000000001E-5</v>
      </c>
      <c r="E12" s="313">
        <v>70.510000000000005</v>
      </c>
      <c r="F12" s="314">
        <v>99564.2</v>
      </c>
      <c r="G12" s="315">
        <v>6.6000000000000005E-5</v>
      </c>
      <c r="H12" s="316">
        <v>74.180000000000007</v>
      </c>
      <c r="W12" s="328">
        <v>7</v>
      </c>
      <c r="X12" s="324">
        <f t="shared" si="0"/>
        <v>1.261E-4</v>
      </c>
      <c r="Y12" s="324">
        <f t="shared" si="1"/>
        <v>1.2244999999999999E-4</v>
      </c>
      <c r="Z12" s="238">
        <f t="shared" si="2"/>
        <v>1.24275E-4</v>
      </c>
      <c r="AC12" s="232">
        <v>7</v>
      </c>
      <c r="AD12" s="238">
        <f t="shared" si="3"/>
        <v>7.1538935149527004E-4</v>
      </c>
      <c r="AE12" s="238">
        <f t="shared" si="4"/>
        <v>7.1173889783511567E-4</v>
      </c>
      <c r="AF12" s="238">
        <f t="shared" si="6"/>
        <v>7.1513352154284338E-4</v>
      </c>
      <c r="AG12" s="238">
        <f t="shared" si="7"/>
        <v>7.1148567178624944E-4</v>
      </c>
      <c r="AH12" s="238">
        <f t="shared" si="5"/>
        <v>7.1330959666454641E-4</v>
      </c>
    </row>
    <row r="13" spans="2:34" x14ac:dyDescent="0.25">
      <c r="B13" s="310">
        <v>10</v>
      </c>
      <c r="C13" s="311">
        <v>99457.2</v>
      </c>
      <c r="D13" s="312">
        <v>9.7E-5</v>
      </c>
      <c r="E13" s="313">
        <v>69.52</v>
      </c>
      <c r="F13" s="314">
        <v>99557.6</v>
      </c>
      <c r="G13" s="315">
        <v>6.8999999999999997E-5</v>
      </c>
      <c r="H13" s="316">
        <v>73.180000000000007</v>
      </c>
      <c r="W13" s="328">
        <v>8</v>
      </c>
      <c r="X13" s="324">
        <f t="shared" si="0"/>
        <v>9.3600000000000012E-5</v>
      </c>
      <c r="Y13" s="324">
        <f t="shared" si="1"/>
        <v>1.1005000000000001E-4</v>
      </c>
      <c r="Z13" s="238">
        <f t="shared" si="2"/>
        <v>1.0182500000000001E-4</v>
      </c>
      <c r="AC13" s="232">
        <v>8</v>
      </c>
      <c r="AD13" s="238">
        <f t="shared" si="3"/>
        <v>6.8288578097519623E-4</v>
      </c>
      <c r="AE13" s="238">
        <f t="shared" si="4"/>
        <v>6.9933745616733932E-4</v>
      </c>
      <c r="AF13" s="238">
        <f t="shared" si="6"/>
        <v>6.8265266754652387E-4</v>
      </c>
      <c r="AG13" s="238">
        <f t="shared" si="7"/>
        <v>6.9909297672310355E-4</v>
      </c>
      <c r="AH13" s="238">
        <f t="shared" si="5"/>
        <v>6.9087282213481371E-4</v>
      </c>
    </row>
    <row r="14" spans="2:34" x14ac:dyDescent="0.25">
      <c r="B14" s="310">
        <v>11</v>
      </c>
      <c r="C14" s="311">
        <v>99447.5</v>
      </c>
      <c r="D14" s="312">
        <v>9.3999999999999994E-5</v>
      </c>
      <c r="E14" s="313">
        <v>68.53</v>
      </c>
      <c r="F14" s="314">
        <v>99550.7</v>
      </c>
      <c r="G14" s="315">
        <v>6.0000000000000002E-5</v>
      </c>
      <c r="H14" s="316">
        <v>72.19</v>
      </c>
      <c r="W14" s="328">
        <v>9</v>
      </c>
      <c r="X14" s="324">
        <f t="shared" si="0"/>
        <v>1.131E-4</v>
      </c>
      <c r="Y14" s="324">
        <f t="shared" si="1"/>
        <v>1.0230000000000001E-4</v>
      </c>
      <c r="Z14" s="238">
        <f t="shared" si="2"/>
        <v>1.077E-4</v>
      </c>
      <c r="AC14" s="232">
        <v>9</v>
      </c>
      <c r="AD14" s="238">
        <f t="shared" si="3"/>
        <v>7.023877965090697E-4</v>
      </c>
      <c r="AE14" s="238">
        <f t="shared" si="4"/>
        <v>6.9158663322370145E-4</v>
      </c>
      <c r="AF14" s="238">
        <f t="shared" si="6"/>
        <v>7.0214117994427117E-4</v>
      </c>
      <c r="AG14" s="238">
        <f t="shared" si="7"/>
        <v>6.9134754230859574E-4</v>
      </c>
      <c r="AH14" s="238">
        <f t="shared" si="5"/>
        <v>6.9674436112643345E-4</v>
      </c>
    </row>
    <row r="15" spans="2:34" x14ac:dyDescent="0.25">
      <c r="B15" s="310">
        <v>12</v>
      </c>
      <c r="C15" s="311">
        <v>99438.2</v>
      </c>
      <c r="D15" s="312">
        <v>9.8999999999999994E-5</v>
      </c>
      <c r="E15" s="313">
        <v>67.53</v>
      </c>
      <c r="F15" s="314">
        <v>99544.8</v>
      </c>
      <c r="G15" s="315">
        <v>6.0000000000000002E-5</v>
      </c>
      <c r="H15" s="316">
        <v>71.19</v>
      </c>
      <c r="W15" s="328">
        <v>10</v>
      </c>
      <c r="X15" s="324">
        <f t="shared" si="0"/>
        <v>1.261E-4</v>
      </c>
      <c r="Y15" s="324">
        <f t="shared" si="1"/>
        <v>1.0695E-4</v>
      </c>
      <c r="Z15" s="238">
        <f t="shared" si="2"/>
        <v>1.16525E-4</v>
      </c>
      <c r="AC15" s="232">
        <v>10</v>
      </c>
      <c r="AD15" s="238">
        <f t="shared" si="3"/>
        <v>7.1538935149527004E-4</v>
      </c>
      <c r="AE15" s="238">
        <f t="shared" si="4"/>
        <v>6.9623711978091625E-4</v>
      </c>
      <c r="AF15" s="238">
        <f t="shared" si="6"/>
        <v>7.1513352154284338E-4</v>
      </c>
      <c r="AG15" s="238">
        <f t="shared" si="7"/>
        <v>6.9599480295734484E-4</v>
      </c>
      <c r="AH15" s="238">
        <f t="shared" si="5"/>
        <v>7.0556416225009411E-4</v>
      </c>
    </row>
    <row r="16" spans="2:34" x14ac:dyDescent="0.25">
      <c r="B16" s="310">
        <v>13</v>
      </c>
      <c r="C16" s="311">
        <v>99428.3</v>
      </c>
      <c r="D16" s="312">
        <v>1.18E-4</v>
      </c>
      <c r="E16" s="313">
        <v>66.540000000000006</v>
      </c>
      <c r="F16" s="314">
        <v>99538.8</v>
      </c>
      <c r="G16" s="315">
        <v>1.06E-4</v>
      </c>
      <c r="H16" s="316">
        <v>70.2</v>
      </c>
      <c r="W16" s="328">
        <v>11</v>
      </c>
      <c r="X16" s="324">
        <f t="shared" si="0"/>
        <v>1.2219999999999999E-4</v>
      </c>
      <c r="Y16" s="324">
        <f t="shared" si="1"/>
        <v>9.3000000000000011E-5</v>
      </c>
      <c r="Z16" s="238">
        <f t="shared" si="2"/>
        <v>1.076E-4</v>
      </c>
      <c r="AC16" s="232">
        <v>11</v>
      </c>
      <c r="AD16" s="238">
        <f t="shared" si="3"/>
        <v>7.1148886725008937E-4</v>
      </c>
      <c r="AE16" s="238">
        <f t="shared" si="4"/>
        <v>6.8228572498995547E-4</v>
      </c>
      <c r="AF16" s="238">
        <f t="shared" si="6"/>
        <v>7.1123581906318289E-4</v>
      </c>
      <c r="AG16" s="238">
        <f t="shared" si="7"/>
        <v>6.8205302101120857E-4</v>
      </c>
      <c r="AH16" s="238">
        <f t="shared" si="5"/>
        <v>6.9664442003719573E-4</v>
      </c>
    </row>
    <row r="17" spans="2:34" x14ac:dyDescent="0.25">
      <c r="B17" s="310">
        <v>14</v>
      </c>
      <c r="C17" s="311">
        <v>99416.6</v>
      </c>
      <c r="D17" s="312">
        <v>1.2E-4</v>
      </c>
      <c r="E17" s="313">
        <v>65.55</v>
      </c>
      <c r="F17" s="314">
        <v>99528.3</v>
      </c>
      <c r="G17" s="315">
        <v>1.12E-4</v>
      </c>
      <c r="H17" s="316">
        <v>69.2</v>
      </c>
      <c r="W17" s="328">
        <v>12</v>
      </c>
      <c r="X17" s="324">
        <f t="shared" si="0"/>
        <v>1.2869999999999998E-4</v>
      </c>
      <c r="Y17" s="324">
        <f t="shared" si="1"/>
        <v>9.3000000000000011E-5</v>
      </c>
      <c r="Z17" s="238">
        <f t="shared" si="2"/>
        <v>1.1085E-4</v>
      </c>
      <c r="AC17" s="232">
        <v>12</v>
      </c>
      <c r="AD17" s="238">
        <f t="shared" si="3"/>
        <v>7.1798968277744053E-4</v>
      </c>
      <c r="AE17" s="238">
        <f t="shared" si="4"/>
        <v>6.8228572498995547E-4</v>
      </c>
      <c r="AF17" s="238">
        <f t="shared" si="6"/>
        <v>7.17731989862469E-4</v>
      </c>
      <c r="AG17" s="238">
        <f t="shared" si="7"/>
        <v>6.8205302101120857E-4</v>
      </c>
      <c r="AH17" s="238">
        <f t="shared" si="5"/>
        <v>6.9989250543683879E-4</v>
      </c>
    </row>
    <row r="18" spans="2:34" x14ac:dyDescent="0.25">
      <c r="B18" s="310">
        <v>15</v>
      </c>
      <c r="C18" s="311">
        <v>99404.7</v>
      </c>
      <c r="D18" s="312">
        <v>1.63E-4</v>
      </c>
      <c r="E18" s="313">
        <v>64.56</v>
      </c>
      <c r="F18" s="314">
        <v>99517.1</v>
      </c>
      <c r="G18" s="315">
        <v>1.3899999999999999E-4</v>
      </c>
      <c r="H18" s="316">
        <v>68.209999999999994</v>
      </c>
      <c r="W18" s="328">
        <v>13</v>
      </c>
      <c r="X18" s="324">
        <f t="shared" si="0"/>
        <v>1.5339999999999999E-4</v>
      </c>
      <c r="Y18" s="324">
        <f t="shared" si="1"/>
        <v>1.6430000000000001E-4</v>
      </c>
      <c r="Z18" s="238">
        <f t="shared" si="2"/>
        <v>1.5884999999999999E-4</v>
      </c>
      <c r="AC18" s="232">
        <v>13</v>
      </c>
      <c r="AD18" s="238">
        <f t="shared" si="3"/>
        <v>7.4269316720516378E-4</v>
      </c>
      <c r="AE18" s="238">
        <f t="shared" si="4"/>
        <v>7.5359489894539459E-4</v>
      </c>
      <c r="AF18" s="238">
        <f t="shared" si="6"/>
        <v>7.4241743889957856E-4</v>
      </c>
      <c r="AG18" s="238">
        <f t="shared" si="7"/>
        <v>7.5331101762454722E-4</v>
      </c>
      <c r="AH18" s="238">
        <f t="shared" si="5"/>
        <v>7.4786422826206289E-4</v>
      </c>
    </row>
    <row r="19" spans="2:34" x14ac:dyDescent="0.25">
      <c r="B19" s="310">
        <v>16</v>
      </c>
      <c r="C19" s="311">
        <v>99388.5</v>
      </c>
      <c r="D19" s="312">
        <v>2.1100000000000001E-4</v>
      </c>
      <c r="E19" s="313">
        <v>63.57</v>
      </c>
      <c r="F19" s="314">
        <v>99503.3</v>
      </c>
      <c r="G19" s="315">
        <v>1.5699999999999999E-4</v>
      </c>
      <c r="H19" s="316">
        <v>67.22</v>
      </c>
      <c r="W19" s="328">
        <v>14</v>
      </c>
      <c r="X19" s="324">
        <f t="shared" si="0"/>
        <v>1.56E-4</v>
      </c>
      <c r="Y19" s="324">
        <f t="shared" si="1"/>
        <v>1.7359999999999999E-4</v>
      </c>
      <c r="Z19" s="238">
        <f t="shared" si="2"/>
        <v>1.6479999999999999E-4</v>
      </c>
      <c r="AC19" s="232">
        <v>14</v>
      </c>
      <c r="AD19" s="238">
        <f t="shared" si="3"/>
        <v>7.4529356948747308E-4</v>
      </c>
      <c r="AE19" s="238">
        <f t="shared" si="4"/>
        <v>7.628964704459566E-4</v>
      </c>
      <c r="AF19" s="238">
        <f t="shared" si="6"/>
        <v>7.4501590721931521E-4</v>
      </c>
      <c r="AG19" s="238">
        <f t="shared" si="7"/>
        <v>7.6260553892193439E-4</v>
      </c>
      <c r="AH19" s="238">
        <f t="shared" si="5"/>
        <v>7.538107230706248E-4</v>
      </c>
    </row>
    <row r="20" spans="2:34" x14ac:dyDescent="0.25">
      <c r="B20" s="310">
        <v>17</v>
      </c>
      <c r="C20" s="311">
        <v>99367.6</v>
      </c>
      <c r="D20" s="312">
        <v>2.9399999999999999E-4</v>
      </c>
      <c r="E20" s="313">
        <v>62.58</v>
      </c>
      <c r="F20" s="314">
        <v>99487.7</v>
      </c>
      <c r="G20" s="315">
        <v>1.5300000000000001E-4</v>
      </c>
      <c r="H20" s="316">
        <v>66.23</v>
      </c>
      <c r="W20" s="328">
        <v>15</v>
      </c>
      <c r="X20" s="324">
        <f t="shared" si="0"/>
        <v>2.119E-4</v>
      </c>
      <c r="Y20" s="324">
        <f t="shared" si="1"/>
        <v>2.1544999999999998E-4</v>
      </c>
      <c r="Z20" s="238">
        <f t="shared" si="2"/>
        <v>2.1367499999999998E-4</v>
      </c>
      <c r="AC20" s="232">
        <v>15</v>
      </c>
      <c r="AD20" s="238">
        <f t="shared" si="3"/>
        <v>8.0120385419890519E-4</v>
      </c>
      <c r="AE20" s="238">
        <f t="shared" si="4"/>
        <v>8.0475461290723926E-4</v>
      </c>
      <c r="AF20" s="238">
        <f t="shared" si="6"/>
        <v>8.0088297609293146E-4</v>
      </c>
      <c r="AG20" s="238">
        <f t="shared" si="7"/>
        <v>8.0443088476012115E-4</v>
      </c>
      <c r="AH20" s="238">
        <f t="shared" si="5"/>
        <v>8.026569304265263E-4</v>
      </c>
    </row>
    <row r="21" spans="2:34" x14ac:dyDescent="0.25">
      <c r="B21" s="310">
        <v>18</v>
      </c>
      <c r="C21" s="311">
        <v>99338.3</v>
      </c>
      <c r="D21" s="312">
        <v>4.17E-4</v>
      </c>
      <c r="E21" s="313">
        <v>61.6</v>
      </c>
      <c r="F21" s="314">
        <v>99472.4</v>
      </c>
      <c r="G21" s="315">
        <v>1.9900000000000001E-4</v>
      </c>
      <c r="H21" s="316">
        <v>65.239999999999995</v>
      </c>
      <c r="W21" s="328">
        <v>16</v>
      </c>
      <c r="X21" s="324">
        <f t="shared" si="0"/>
        <v>2.743E-4</v>
      </c>
      <c r="Y21" s="324">
        <f t="shared" si="1"/>
        <v>2.4335000000000001E-4</v>
      </c>
      <c r="Z21" s="238">
        <f t="shared" si="2"/>
        <v>2.5882500000000002E-4</v>
      </c>
      <c r="AC21" s="232">
        <v>16</v>
      </c>
      <c r="AD21" s="238">
        <f t="shared" si="3"/>
        <v>8.6361902734766204E-4</v>
      </c>
      <c r="AE21" s="238">
        <f t="shared" si="4"/>
        <v>8.3266101463757636E-4</v>
      </c>
      <c r="AF21" s="238">
        <f t="shared" si="6"/>
        <v>8.6324621576561178E-4</v>
      </c>
      <c r="AG21" s="238">
        <f t="shared" si="7"/>
        <v>8.3231444865228266E-4</v>
      </c>
      <c r="AH21" s="238">
        <f t="shared" si="5"/>
        <v>8.4778033220894722E-4</v>
      </c>
    </row>
    <row r="22" spans="2:34" x14ac:dyDescent="0.25">
      <c r="B22" s="310">
        <v>19</v>
      </c>
      <c r="C22" s="311">
        <v>99297</v>
      </c>
      <c r="D22" s="312">
        <v>4.75E-4</v>
      </c>
      <c r="E22" s="313">
        <v>60.62</v>
      </c>
      <c r="F22" s="314">
        <v>99452.6</v>
      </c>
      <c r="G22" s="315">
        <v>2.0900000000000001E-4</v>
      </c>
      <c r="H22" s="316">
        <v>64.260000000000005</v>
      </c>
      <c r="W22" s="328">
        <v>17</v>
      </c>
      <c r="X22" s="324">
        <f t="shared" si="0"/>
        <v>3.8220000000000002E-4</v>
      </c>
      <c r="Y22" s="324">
        <f t="shared" si="1"/>
        <v>2.3715000000000002E-4</v>
      </c>
      <c r="Z22" s="238">
        <f t="shared" si="2"/>
        <v>3.0967500000000003E-4</v>
      </c>
      <c r="AC22" s="232">
        <v>17</v>
      </c>
      <c r="AD22" s="238">
        <f t="shared" si="3"/>
        <v>9.7155445725733292E-4</v>
      </c>
      <c r="AE22" s="238">
        <f t="shared" si="4"/>
        <v>8.264595247296499E-4</v>
      </c>
      <c r="AF22" s="238">
        <f t="shared" si="6"/>
        <v>9.7108265103318381E-4</v>
      </c>
      <c r="AG22" s="238">
        <f t="shared" si="7"/>
        <v>8.2611810112076522E-4</v>
      </c>
      <c r="AH22" s="238">
        <f t="shared" si="5"/>
        <v>8.9860037607697452E-4</v>
      </c>
    </row>
    <row r="23" spans="2:34" x14ac:dyDescent="0.25">
      <c r="B23" s="310">
        <v>20</v>
      </c>
      <c r="C23" s="311">
        <v>99249.8</v>
      </c>
      <c r="D23" s="312">
        <v>4.6200000000000001E-4</v>
      </c>
      <c r="E23" s="313">
        <v>59.65</v>
      </c>
      <c r="F23" s="314">
        <v>99431.8</v>
      </c>
      <c r="G23" s="315">
        <v>2.02E-4</v>
      </c>
      <c r="H23" s="316">
        <v>63.27</v>
      </c>
      <c r="W23" s="328">
        <v>18</v>
      </c>
      <c r="X23" s="324">
        <f t="shared" si="0"/>
        <v>5.421E-4</v>
      </c>
      <c r="Y23" s="324">
        <f t="shared" si="1"/>
        <v>3.0845000000000004E-4</v>
      </c>
      <c r="Z23" s="238">
        <f t="shared" si="2"/>
        <v>4.2527500000000002E-4</v>
      </c>
      <c r="AC23" s="232">
        <v>18</v>
      </c>
      <c r="AD23" s="238">
        <f t="shared" si="3"/>
        <v>1.1315283895511419E-3</v>
      </c>
      <c r="AE23" s="238">
        <f t="shared" si="4"/>
        <v>8.9777898070745915E-4</v>
      </c>
      <c r="AF23" s="238">
        <f t="shared" si="6"/>
        <v>1.1308884526946006E-3</v>
      </c>
      <c r="AG23" s="238">
        <f t="shared" si="7"/>
        <v>8.9737609773399285E-4</v>
      </c>
      <c r="AH23" s="238">
        <f t="shared" si="5"/>
        <v>1.0141322752142967E-3</v>
      </c>
    </row>
    <row r="24" spans="2:34" x14ac:dyDescent="0.25">
      <c r="B24" s="310">
        <v>21</v>
      </c>
      <c r="C24" s="311">
        <v>99203.9</v>
      </c>
      <c r="D24" s="312">
        <v>4.9100000000000001E-4</v>
      </c>
      <c r="E24" s="313">
        <v>58.68</v>
      </c>
      <c r="F24" s="314">
        <v>99411.8</v>
      </c>
      <c r="G24" s="315">
        <v>2.04E-4</v>
      </c>
      <c r="H24" s="316">
        <v>62.28</v>
      </c>
      <c r="W24" s="328">
        <v>19</v>
      </c>
      <c r="X24" s="324">
        <f t="shared" si="0"/>
        <v>6.1749999999999999E-4</v>
      </c>
      <c r="Y24" s="324">
        <f t="shared" si="1"/>
        <v>3.2395000000000004E-4</v>
      </c>
      <c r="Z24" s="238">
        <f t="shared" si="2"/>
        <v>4.7072500000000002E-4</v>
      </c>
      <c r="AC24" s="232">
        <v>19</v>
      </c>
      <c r="AD24" s="238">
        <f t="shared" si="3"/>
        <v>1.2069721318687596E-3</v>
      </c>
      <c r="AE24" s="238">
        <f t="shared" si="4"/>
        <v>9.1328388335793387E-4</v>
      </c>
      <c r="AF24" s="238">
        <f t="shared" si="6"/>
        <v>1.2062440339659641E-3</v>
      </c>
      <c r="AG24" s="238">
        <f t="shared" si="7"/>
        <v>9.1286696656289745E-4</v>
      </c>
      <c r="AH24" s="238">
        <f t="shared" si="5"/>
        <v>1.0595555002644308E-3</v>
      </c>
    </row>
    <row r="25" spans="2:34" x14ac:dyDescent="0.25">
      <c r="B25" s="310">
        <v>22</v>
      </c>
      <c r="C25" s="311">
        <v>99155.199999999997</v>
      </c>
      <c r="D25" s="312">
        <v>4.7100000000000001E-4</v>
      </c>
      <c r="E25" s="313">
        <v>57.71</v>
      </c>
      <c r="F25" s="314">
        <v>99391.5</v>
      </c>
      <c r="G25" s="315">
        <v>2.13E-4</v>
      </c>
      <c r="H25" s="316">
        <v>61.29</v>
      </c>
      <c r="W25" s="328">
        <v>20</v>
      </c>
      <c r="X25" s="324">
        <f t="shared" si="0"/>
        <v>6.0060000000000007E-4</v>
      </c>
      <c r="Y25" s="324">
        <f t="shared" si="1"/>
        <v>3.1310000000000002E-4</v>
      </c>
      <c r="Z25" s="238">
        <f t="shared" si="2"/>
        <v>4.5685000000000007E-4</v>
      </c>
      <c r="AC25" s="232">
        <v>20</v>
      </c>
      <c r="AD25" s="238">
        <f t="shared" si="3"/>
        <v>1.1900618326505207E-3</v>
      </c>
      <c r="AE25" s="238">
        <f t="shared" si="4"/>
        <v>9.0243042626039858E-4</v>
      </c>
      <c r="AF25" s="238">
        <f t="shared" si="6"/>
        <v>1.1893539898878425E-3</v>
      </c>
      <c r="AG25" s="238">
        <f t="shared" si="7"/>
        <v>9.0202335838263092E-4</v>
      </c>
      <c r="AH25" s="238">
        <f t="shared" si="5"/>
        <v>1.0456886741352367E-3</v>
      </c>
    </row>
    <row r="26" spans="2:34" x14ac:dyDescent="0.25">
      <c r="B26" s="310">
        <v>23</v>
      </c>
      <c r="C26" s="311">
        <v>99108.5</v>
      </c>
      <c r="D26" s="312">
        <v>5.4100000000000003E-4</v>
      </c>
      <c r="E26" s="313">
        <v>56.73</v>
      </c>
      <c r="F26" s="314">
        <v>99370.3</v>
      </c>
      <c r="G26" s="315">
        <v>2.32E-4</v>
      </c>
      <c r="H26" s="316">
        <v>60.31</v>
      </c>
      <c r="W26" s="328">
        <v>21</v>
      </c>
      <c r="X26" s="324">
        <f t="shared" si="0"/>
        <v>6.3830000000000007E-4</v>
      </c>
      <c r="Y26" s="324">
        <f t="shared" si="1"/>
        <v>3.1619999999999999E-4</v>
      </c>
      <c r="Z26" s="238">
        <f t="shared" si="2"/>
        <v>4.7725000000000003E-4</v>
      </c>
      <c r="AC26" s="232">
        <v>21</v>
      </c>
      <c r="AD26" s="238">
        <f t="shared" si="3"/>
        <v>1.2277852003951702E-3</v>
      </c>
      <c r="AE26" s="238">
        <f t="shared" si="4"/>
        <v>9.055314019824457E-4</v>
      </c>
      <c r="AF26" s="238">
        <f t="shared" si="6"/>
        <v>1.2270317805235242E-3</v>
      </c>
      <c r="AG26" s="238">
        <f t="shared" si="7"/>
        <v>9.0512153214850066E-4</v>
      </c>
      <c r="AH26" s="238">
        <f t="shared" si="5"/>
        <v>1.0660766563360125E-3</v>
      </c>
    </row>
    <row r="27" spans="2:34" x14ac:dyDescent="0.25">
      <c r="B27" s="310">
        <v>24</v>
      </c>
      <c r="C27" s="311">
        <v>99054.8</v>
      </c>
      <c r="D27" s="312">
        <v>5.4000000000000001E-4</v>
      </c>
      <c r="E27" s="313">
        <v>55.76</v>
      </c>
      <c r="F27" s="314">
        <v>99347.199999999997</v>
      </c>
      <c r="G27" s="315">
        <v>2.1499999999999999E-4</v>
      </c>
      <c r="H27" s="316">
        <v>59.32</v>
      </c>
      <c r="W27" s="328">
        <v>22</v>
      </c>
      <c r="X27" s="324">
        <f t="shared" si="0"/>
        <v>6.1230000000000008E-4</v>
      </c>
      <c r="Y27" s="324">
        <f t="shared" si="1"/>
        <v>3.3015000000000003E-4</v>
      </c>
      <c r="Z27" s="238">
        <f t="shared" si="2"/>
        <v>4.7122500000000003E-4</v>
      </c>
      <c r="AC27" s="232">
        <v>22</v>
      </c>
      <c r="AD27" s="238">
        <f t="shared" si="3"/>
        <v>1.2017689324213693E-3</v>
      </c>
      <c r="AE27" s="238">
        <f t="shared" si="4"/>
        <v>9.194859117314005E-4</v>
      </c>
      <c r="AF27" s="238">
        <f t="shared" si="6"/>
        <v>1.2010470973264908E-3</v>
      </c>
      <c r="AG27" s="238">
        <f t="shared" si="7"/>
        <v>9.1906331409452591E-4</v>
      </c>
      <c r="AH27" s="238">
        <f t="shared" si="5"/>
        <v>1.0600552057105084E-3</v>
      </c>
    </row>
    <row r="28" spans="2:34" x14ac:dyDescent="0.25">
      <c r="B28" s="310">
        <v>25</v>
      </c>
      <c r="C28" s="311">
        <v>99001.4</v>
      </c>
      <c r="D28" s="312">
        <v>5.8399999999999999E-4</v>
      </c>
      <c r="E28" s="313">
        <v>54.79</v>
      </c>
      <c r="F28" s="314">
        <v>99325.9</v>
      </c>
      <c r="G28" s="315">
        <v>2.52E-4</v>
      </c>
      <c r="H28" s="316">
        <v>58.33</v>
      </c>
      <c r="W28" s="328">
        <v>23</v>
      </c>
      <c r="X28" s="324">
        <f t="shared" si="0"/>
        <v>7.0330000000000002E-4</v>
      </c>
      <c r="Y28" s="324">
        <f t="shared" si="1"/>
        <v>3.5960000000000001E-4</v>
      </c>
      <c r="Z28" s="238">
        <f t="shared" si="2"/>
        <v>5.3145000000000004E-4</v>
      </c>
      <c r="AC28" s="232">
        <v>23</v>
      </c>
      <c r="AD28" s="238">
        <f t="shared" si="3"/>
        <v>1.292828831685938E-3</v>
      </c>
      <c r="AE28" s="238">
        <f t="shared" si="4"/>
        <v>9.4894607180622263E-4</v>
      </c>
      <c r="AF28" s="238">
        <f t="shared" si="6"/>
        <v>1.2919934885159412E-3</v>
      </c>
      <c r="AG28" s="238">
        <f t="shared" si="7"/>
        <v>9.4849596486956678E-4</v>
      </c>
      <c r="AH28" s="238">
        <f t="shared" si="5"/>
        <v>1.120244726692754E-3</v>
      </c>
    </row>
    <row r="29" spans="2:34" x14ac:dyDescent="0.25">
      <c r="B29" s="310">
        <v>26</v>
      </c>
      <c r="C29" s="311">
        <v>98943.5</v>
      </c>
      <c r="D29" s="312">
        <v>6.1499999999999999E-4</v>
      </c>
      <c r="E29" s="313">
        <v>53.83</v>
      </c>
      <c r="F29" s="314">
        <v>99300.9</v>
      </c>
      <c r="G29" s="315">
        <v>2.7900000000000001E-4</v>
      </c>
      <c r="H29" s="316">
        <v>57.35</v>
      </c>
      <c r="W29" s="328">
        <v>24</v>
      </c>
      <c r="X29" s="324">
        <f t="shared" si="0"/>
        <v>7.0200000000000004E-4</v>
      </c>
      <c r="Y29" s="324">
        <f t="shared" si="1"/>
        <v>3.3325E-4</v>
      </c>
      <c r="Z29" s="238">
        <f t="shared" si="2"/>
        <v>5.1762500000000007E-4</v>
      </c>
      <c r="AC29" s="232">
        <v>24</v>
      </c>
      <c r="AD29" s="238">
        <f t="shared" si="3"/>
        <v>1.2915279175986726E-3</v>
      </c>
      <c r="AE29" s="238">
        <f t="shared" si="4"/>
        <v>9.2258694034251586E-4</v>
      </c>
      <c r="AF29" s="238">
        <f t="shared" si="6"/>
        <v>1.2906942543561284E-3</v>
      </c>
      <c r="AG29" s="238">
        <f t="shared" si="7"/>
        <v>9.2216148786028462E-4</v>
      </c>
      <c r="AH29" s="238">
        <f t="shared" si="5"/>
        <v>1.1064278711082065E-3</v>
      </c>
    </row>
    <row r="30" spans="2:34" x14ac:dyDescent="0.25">
      <c r="B30" s="310">
        <v>27</v>
      </c>
      <c r="C30" s="311">
        <v>98882.6</v>
      </c>
      <c r="D30" s="312">
        <v>6.38E-4</v>
      </c>
      <c r="E30" s="313">
        <v>52.86</v>
      </c>
      <c r="F30" s="314">
        <v>99273.2</v>
      </c>
      <c r="G30" s="315">
        <v>2.63E-4</v>
      </c>
      <c r="H30" s="316">
        <v>56.36</v>
      </c>
      <c r="W30" s="328">
        <v>25</v>
      </c>
      <c r="X30" s="324">
        <f t="shared" si="0"/>
        <v>7.5920000000000002E-4</v>
      </c>
      <c r="Y30" s="324">
        <f t="shared" si="1"/>
        <v>3.9060000000000001E-4</v>
      </c>
      <c r="Z30" s="238">
        <f t="shared" si="2"/>
        <v>5.7490000000000004E-4</v>
      </c>
      <c r="AC30" s="232">
        <v>25</v>
      </c>
      <c r="AD30" s="238">
        <f t="shared" si="3"/>
        <v>1.3487697384886128E-3</v>
      </c>
      <c r="AE30" s="238">
        <f t="shared" si="4"/>
        <v>9.7995770427204828E-4</v>
      </c>
      <c r="AF30" s="238">
        <f t="shared" si="6"/>
        <v>1.3478605573894464E-3</v>
      </c>
      <c r="AG30" s="238">
        <f t="shared" si="7"/>
        <v>9.7947770252759803E-4</v>
      </c>
      <c r="AH30" s="238">
        <f t="shared" si="5"/>
        <v>1.1636691299585222E-3</v>
      </c>
    </row>
    <row r="31" spans="2:34" x14ac:dyDescent="0.25">
      <c r="B31" s="310">
        <v>28</v>
      </c>
      <c r="C31" s="311">
        <v>98819.6</v>
      </c>
      <c r="D31" s="312">
        <v>6.29E-4</v>
      </c>
      <c r="E31" s="313">
        <v>51.89</v>
      </c>
      <c r="F31" s="314">
        <v>99247.1</v>
      </c>
      <c r="G31" s="315">
        <v>3.2600000000000001E-4</v>
      </c>
      <c r="H31" s="316">
        <v>55.38</v>
      </c>
      <c r="W31" s="328">
        <v>26</v>
      </c>
      <c r="X31" s="324">
        <f t="shared" si="0"/>
        <v>7.9949999999999997E-4</v>
      </c>
      <c r="Y31" s="324">
        <f t="shared" si="1"/>
        <v>4.3245000000000002E-4</v>
      </c>
      <c r="Z31" s="238">
        <f t="shared" si="2"/>
        <v>6.1597499999999994E-4</v>
      </c>
      <c r="AC31" s="232">
        <v>26</v>
      </c>
      <c r="AD31" s="238">
        <f t="shared" si="3"/>
        <v>1.3891011707958373E-3</v>
      </c>
      <c r="AE31" s="238">
        <f t="shared" si="4"/>
        <v>1.0218249336897576E-3</v>
      </c>
      <c r="AF31" s="238">
        <f t="shared" si="6"/>
        <v>1.3881368163447538E-3</v>
      </c>
      <c r="AG31" s="238">
        <f t="shared" si="7"/>
        <v>1.0213030483657848E-3</v>
      </c>
      <c r="AH31" s="238">
        <f t="shared" si="5"/>
        <v>1.2047199323552693E-3</v>
      </c>
    </row>
    <row r="32" spans="2:34" x14ac:dyDescent="0.25">
      <c r="B32" s="310">
        <v>29</v>
      </c>
      <c r="C32" s="311">
        <v>98757.4</v>
      </c>
      <c r="D32" s="312">
        <v>6.8199999999999999E-4</v>
      </c>
      <c r="E32" s="313">
        <v>50.92</v>
      </c>
      <c r="F32" s="314">
        <v>99214.7</v>
      </c>
      <c r="G32" s="315">
        <v>3.3700000000000001E-4</v>
      </c>
      <c r="H32" s="316">
        <v>54.4</v>
      </c>
      <c r="W32" s="328">
        <v>27</v>
      </c>
      <c r="X32" s="324">
        <f t="shared" si="0"/>
        <v>8.2939999999999999E-4</v>
      </c>
      <c r="Y32" s="324">
        <f t="shared" si="1"/>
        <v>4.0765000000000002E-4</v>
      </c>
      <c r="Z32" s="238">
        <f t="shared" si="2"/>
        <v>6.1852499999999998E-4</v>
      </c>
      <c r="AC32" s="232">
        <v>27</v>
      </c>
      <c r="AD32" s="238">
        <f t="shared" si="3"/>
        <v>1.4190255427027952E-3</v>
      </c>
      <c r="AE32" s="238">
        <f t="shared" si="4"/>
        <v>9.970145120708374E-4</v>
      </c>
      <c r="AF32" s="238">
        <f t="shared" si="6"/>
        <v>1.4180192020213367E-3</v>
      </c>
      <c r="AG32" s="238">
        <f t="shared" si="7"/>
        <v>9.9651765823938199E-4</v>
      </c>
      <c r="AH32" s="238">
        <f t="shared" si="5"/>
        <v>1.2072684301303593E-3</v>
      </c>
    </row>
    <row r="33" spans="2:34" x14ac:dyDescent="0.25">
      <c r="B33" s="310">
        <v>30</v>
      </c>
      <c r="C33" s="311">
        <v>98690</v>
      </c>
      <c r="D33" s="312">
        <v>7.2999999999999996E-4</v>
      </c>
      <c r="E33" s="313">
        <v>49.96</v>
      </c>
      <c r="F33" s="314">
        <v>99181.3</v>
      </c>
      <c r="G33" s="315">
        <v>3.8200000000000002E-4</v>
      </c>
      <c r="H33" s="316">
        <v>53.41</v>
      </c>
      <c r="W33" s="328">
        <v>28</v>
      </c>
      <c r="X33" s="324">
        <f t="shared" si="0"/>
        <v>8.1769999999999998E-4</v>
      </c>
      <c r="Y33" s="324">
        <f t="shared" si="1"/>
        <v>5.0529999999999998E-4</v>
      </c>
      <c r="Z33" s="238">
        <f t="shared" si="2"/>
        <v>6.6149999999999998E-4</v>
      </c>
      <c r="AC33" s="232">
        <v>28</v>
      </c>
      <c r="AD33" s="238">
        <f t="shared" si="3"/>
        <v>1.4073158992258283E-3</v>
      </c>
      <c r="AE33" s="238">
        <f t="shared" si="4"/>
        <v>1.0947091072889157E-3</v>
      </c>
      <c r="AF33" s="238">
        <f t="shared" si="6"/>
        <v>1.4063260945827993E-3</v>
      </c>
      <c r="AG33" s="238">
        <f t="shared" si="7"/>
        <v>1.0941101318620028E-3</v>
      </c>
      <c r="AH33" s="238">
        <f t="shared" si="5"/>
        <v>1.2502181132224011E-3</v>
      </c>
    </row>
    <row r="34" spans="2:34" x14ac:dyDescent="0.25">
      <c r="B34" s="310">
        <v>31</v>
      </c>
      <c r="C34" s="311">
        <v>98618</v>
      </c>
      <c r="D34" s="312">
        <v>7.6199999999999998E-4</v>
      </c>
      <c r="E34" s="313">
        <v>49</v>
      </c>
      <c r="F34" s="314">
        <v>99143.4</v>
      </c>
      <c r="G34" s="315">
        <v>4.1399999999999998E-4</v>
      </c>
      <c r="H34" s="316">
        <v>52.43</v>
      </c>
      <c r="W34" s="328">
        <v>29</v>
      </c>
      <c r="X34" s="324">
        <f t="shared" si="0"/>
        <v>8.8659999999999997E-4</v>
      </c>
      <c r="Y34" s="324">
        <f t="shared" si="1"/>
        <v>5.2234999999999998E-4</v>
      </c>
      <c r="Z34" s="238">
        <f t="shared" si="2"/>
        <v>7.0447499999999998E-4</v>
      </c>
      <c r="AC34" s="232">
        <v>29</v>
      </c>
      <c r="AD34" s="238">
        <f t="shared" si="3"/>
        <v>1.4762746624631517E-3</v>
      </c>
      <c r="AE34" s="238">
        <f t="shared" si="4"/>
        <v>1.1117678725093318E-3</v>
      </c>
      <c r="AF34" s="238">
        <f t="shared" si="6"/>
        <v>1.4751855050547658E-3</v>
      </c>
      <c r="AG34" s="238">
        <f t="shared" si="7"/>
        <v>1.1111500875738978E-3</v>
      </c>
      <c r="AH34" s="238">
        <f t="shared" si="5"/>
        <v>1.2931677963143318E-3</v>
      </c>
    </row>
    <row r="35" spans="2:34" x14ac:dyDescent="0.25">
      <c r="B35" s="310">
        <v>32</v>
      </c>
      <c r="C35" s="311">
        <v>98542.9</v>
      </c>
      <c r="D35" s="312">
        <v>8.7299999999999997E-4</v>
      </c>
      <c r="E35" s="313">
        <v>48.03</v>
      </c>
      <c r="F35" s="314">
        <v>99102.3</v>
      </c>
      <c r="G35" s="315">
        <v>4.4499999999999997E-4</v>
      </c>
      <c r="H35" s="316">
        <v>51.46</v>
      </c>
      <c r="W35" s="328">
        <v>30</v>
      </c>
      <c r="X35" s="324">
        <f t="shared" si="0"/>
        <v>9.4899999999999997E-4</v>
      </c>
      <c r="Y35" s="324">
        <f t="shared" si="1"/>
        <v>5.9210000000000003E-4</v>
      </c>
      <c r="Z35" s="238">
        <f t="shared" si="2"/>
        <v>7.7055000000000005E-4</v>
      </c>
      <c r="AC35" s="232">
        <v>30</v>
      </c>
      <c r="AD35" s="238">
        <f t="shared" si="3"/>
        <v>1.5387319858148267E-3</v>
      </c>
      <c r="AE35" s="238">
        <f t="shared" si="4"/>
        <v>1.1815567606508156E-3</v>
      </c>
      <c r="AF35" s="238">
        <f t="shared" si="6"/>
        <v>1.5375487447275571E-3</v>
      </c>
      <c r="AG35" s="238">
        <f t="shared" si="7"/>
        <v>1.180858997304246E-3</v>
      </c>
      <c r="AH35" s="238">
        <f t="shared" si="5"/>
        <v>1.3592038710159016E-3</v>
      </c>
    </row>
    <row r="36" spans="2:34" x14ac:dyDescent="0.25">
      <c r="B36" s="310">
        <v>33</v>
      </c>
      <c r="C36" s="311">
        <v>98456.8</v>
      </c>
      <c r="D36" s="312">
        <v>8.6600000000000002E-4</v>
      </c>
      <c r="E36" s="313">
        <v>47.07</v>
      </c>
      <c r="F36" s="314">
        <v>99058.2</v>
      </c>
      <c r="G36" s="315">
        <v>4.7199999999999998E-4</v>
      </c>
      <c r="H36" s="316">
        <v>50.48</v>
      </c>
      <c r="W36" s="328">
        <v>31</v>
      </c>
      <c r="X36" s="324">
        <f t="shared" si="0"/>
        <v>9.9060000000000012E-4</v>
      </c>
      <c r="Y36" s="324">
        <f t="shared" si="1"/>
        <v>6.4170000000000004E-4</v>
      </c>
      <c r="Z36" s="238">
        <f t="shared" si="2"/>
        <v>8.1615000000000008E-4</v>
      </c>
      <c r="AC36" s="232">
        <v>31</v>
      </c>
      <c r="AD36" s="238">
        <f t="shared" si="3"/>
        <v>1.5803723686640997E-3</v>
      </c>
      <c r="AE36" s="238">
        <f t="shared" si="4"/>
        <v>1.2311873777886922E-3</v>
      </c>
      <c r="AF36" s="238">
        <f t="shared" si="6"/>
        <v>1.5791242378426773E-3</v>
      </c>
      <c r="AG36" s="238">
        <f t="shared" si="7"/>
        <v>1.2304297775569406E-3</v>
      </c>
      <c r="AH36" s="238">
        <f t="shared" si="5"/>
        <v>1.404777007699809E-3</v>
      </c>
    </row>
    <row r="37" spans="2:34" x14ac:dyDescent="0.25">
      <c r="B37" s="310">
        <v>34</v>
      </c>
      <c r="C37" s="311">
        <v>98371.6</v>
      </c>
      <c r="D37" s="312">
        <v>9.5E-4</v>
      </c>
      <c r="E37" s="313">
        <v>46.11</v>
      </c>
      <c r="F37" s="314">
        <v>99011.5</v>
      </c>
      <c r="G37" s="315">
        <v>5.2599999999999999E-4</v>
      </c>
      <c r="H37" s="316">
        <v>49.5</v>
      </c>
      <c r="W37" s="328">
        <v>32</v>
      </c>
      <c r="X37" s="324">
        <f t="shared" ref="X37:X68" si="8">D35*(1-(1-mCVDmort)*pCVD)</f>
        <v>1.1349000000000001E-3</v>
      </c>
      <c r="Y37" s="324">
        <f t="shared" ref="Y37:Y68" si="9">G35*(1-(1-fCVDmort)*pCVD)</f>
        <v>6.8974999999999993E-4</v>
      </c>
      <c r="Z37" s="238">
        <f t="shared" ref="Z37:Z68" si="10">pMale*X37+(1-pMale)*Y37</f>
        <v>9.1232500000000007E-4</v>
      </c>
      <c r="AC37" s="232">
        <v>32</v>
      </c>
      <c r="AD37" s="238">
        <f t="shared" ref="AD37:AD68" si="11">IF( AND(AC37 - 0.5 &gt;= Ageyr, (AC37 - Ageyr - 0.5) &lt; maxtime, maxtime &gt; 0), (-1*(LN(1-X37)))+(AC37 - Ageyr - 0.5)/maxtime*QOFrate, (-1*(LN(1-X37)))+QOFrate)</f>
        <v>1.7248258868916167E-3</v>
      </c>
      <c r="AE37" s="238">
        <f t="shared" ref="AE37:AE68" si="12">IF( AND(AC37 - 0.5&gt;=Ageyr, (AC37 - Ageyr -0.5) &lt; maxtime, maxtime &gt; 0), (-1*(LN(1-Y37)))+(AC37-Ageyr-0.5)/maxtime*QOFrate, (-1*(LN(1-Y37)))+QOFrate)</f>
        <v>1.2792693871937376E-3</v>
      </c>
      <c r="AF37" s="238">
        <f t="shared" si="6"/>
        <v>1.7233392295861183E-3</v>
      </c>
      <c r="AG37" s="238">
        <f t="shared" si="7"/>
        <v>1.2784514709268668E-3</v>
      </c>
      <c r="AH37" s="238">
        <f t="shared" ref="AH37:AH68" si="13">pMale*AF37+(1-pMale)*AG37</f>
        <v>1.5008953502564926E-3</v>
      </c>
    </row>
    <row r="38" spans="2:34" x14ac:dyDescent="0.25">
      <c r="B38" s="310">
        <v>35</v>
      </c>
      <c r="C38" s="311">
        <v>98278.2</v>
      </c>
      <c r="D38" s="312">
        <v>1.0269999999999999E-3</v>
      </c>
      <c r="E38" s="313">
        <v>45.16</v>
      </c>
      <c r="F38" s="314">
        <v>98959.4</v>
      </c>
      <c r="G38" s="315">
        <v>5.8600000000000004E-4</v>
      </c>
      <c r="H38" s="316">
        <v>48.53</v>
      </c>
      <c r="W38" s="328">
        <v>33</v>
      </c>
      <c r="X38" s="324">
        <f t="shared" si="8"/>
        <v>1.1258000000000002E-3</v>
      </c>
      <c r="Y38" s="324">
        <f t="shared" si="9"/>
        <v>7.316E-4</v>
      </c>
      <c r="Z38" s="238">
        <f t="shared" si="10"/>
        <v>9.2870000000000008E-4</v>
      </c>
      <c r="AC38" s="232">
        <v>33</v>
      </c>
      <c r="AD38" s="238">
        <f t="shared" si="11"/>
        <v>1.7157155890663118E-3</v>
      </c>
      <c r="AE38" s="238">
        <f t="shared" si="12"/>
        <v>1.3211491501003681E-3</v>
      </c>
      <c r="AF38" s="238">
        <f t="shared" si="6"/>
        <v>1.7142445904670955E-3</v>
      </c>
      <c r="AG38" s="238">
        <f t="shared" si="7"/>
        <v>1.3202768167650536E-3</v>
      </c>
      <c r="AH38" s="238">
        <f t="shared" si="13"/>
        <v>1.5172607036160746E-3</v>
      </c>
    </row>
    <row r="39" spans="2:34" x14ac:dyDescent="0.25">
      <c r="B39" s="310">
        <v>36</v>
      </c>
      <c r="C39" s="311">
        <v>98177.2</v>
      </c>
      <c r="D39" s="312">
        <v>1.088E-3</v>
      </c>
      <c r="E39" s="313">
        <v>44.2</v>
      </c>
      <c r="F39" s="314">
        <v>98901.4</v>
      </c>
      <c r="G39" s="315">
        <v>6.5399999999999996E-4</v>
      </c>
      <c r="H39" s="316">
        <v>47.56</v>
      </c>
      <c r="W39" s="328">
        <v>34</v>
      </c>
      <c r="X39" s="324">
        <f t="shared" si="8"/>
        <v>1.235E-3</v>
      </c>
      <c r="Y39" s="324">
        <f t="shared" si="9"/>
        <v>8.1530000000000003E-4</v>
      </c>
      <c r="Z39" s="238">
        <f t="shared" si="10"/>
        <v>1.0251500000000001E-3</v>
      </c>
      <c r="AC39" s="232">
        <v>34</v>
      </c>
      <c r="AD39" s="238">
        <f t="shared" si="11"/>
        <v>1.8250446411882388E-3</v>
      </c>
      <c r="AE39" s="238">
        <f t="shared" si="12"/>
        <v>1.404913938024437E-3</v>
      </c>
      <c r="AF39" s="238">
        <f t="shared" si="6"/>
        <v>1.8233802598944804E-3</v>
      </c>
      <c r="AG39" s="238">
        <f t="shared" si="7"/>
        <v>1.4039275084414271E-3</v>
      </c>
      <c r="AH39" s="238">
        <f t="shared" si="13"/>
        <v>1.6136538841679537E-3</v>
      </c>
    </row>
    <row r="40" spans="2:34" x14ac:dyDescent="0.25">
      <c r="B40" s="310">
        <v>37</v>
      </c>
      <c r="C40" s="311">
        <v>98070.399999999994</v>
      </c>
      <c r="D40" s="312">
        <v>1.1869999999999999E-3</v>
      </c>
      <c r="E40" s="313">
        <v>43.25</v>
      </c>
      <c r="F40" s="314">
        <v>98836.7</v>
      </c>
      <c r="G40" s="315">
        <v>6.69E-4</v>
      </c>
      <c r="H40" s="316">
        <v>46.59</v>
      </c>
      <c r="W40" s="328">
        <v>35</v>
      </c>
      <c r="X40" s="324">
        <f t="shared" si="8"/>
        <v>1.3350999999999999E-3</v>
      </c>
      <c r="Y40" s="324">
        <f t="shared" si="9"/>
        <v>9.0830000000000012E-4</v>
      </c>
      <c r="Z40" s="238">
        <f t="shared" si="10"/>
        <v>1.1217E-3</v>
      </c>
      <c r="AC40" s="232">
        <v>35</v>
      </c>
      <c r="AD40" s="238">
        <f t="shared" si="11"/>
        <v>1.9252734402903711E-3</v>
      </c>
      <c r="AE40" s="238">
        <f t="shared" si="12"/>
        <v>1.4979941546222563E-3</v>
      </c>
      <c r="AF40" s="238">
        <f t="shared" si="6"/>
        <v>1.9234212902028425E-3</v>
      </c>
      <c r="AG40" s="238">
        <f t="shared" si="7"/>
        <v>1.4968727214152988E-3</v>
      </c>
      <c r="AH40" s="238">
        <f t="shared" si="13"/>
        <v>1.7101470058090706E-3</v>
      </c>
    </row>
    <row r="41" spans="2:34" x14ac:dyDescent="0.25">
      <c r="B41" s="310">
        <v>38</v>
      </c>
      <c r="C41" s="311">
        <v>97954</v>
      </c>
      <c r="D41" s="312">
        <v>1.3630000000000001E-3</v>
      </c>
      <c r="E41" s="313">
        <v>42.3</v>
      </c>
      <c r="F41" s="314">
        <v>98770.6</v>
      </c>
      <c r="G41" s="315">
        <v>7.45E-4</v>
      </c>
      <c r="H41" s="316">
        <v>45.62</v>
      </c>
      <c r="W41" s="328">
        <v>36</v>
      </c>
      <c r="X41" s="324">
        <f t="shared" si="8"/>
        <v>1.4144000000000001E-3</v>
      </c>
      <c r="Y41" s="324">
        <f t="shared" si="9"/>
        <v>1.0137E-3</v>
      </c>
      <c r="Z41" s="238">
        <f t="shared" si="10"/>
        <v>1.2140499999999999E-3</v>
      </c>
      <c r="AC41" s="232">
        <v>36</v>
      </c>
      <c r="AD41" s="238">
        <f t="shared" si="11"/>
        <v>2.0046826080854729E-3</v>
      </c>
      <c r="AE41" s="238">
        <f t="shared" si="12"/>
        <v>1.6034955415528932E-3</v>
      </c>
      <c r="AF41" s="238">
        <f t="shared" si="6"/>
        <v>2.0026745739537555E-3</v>
      </c>
      <c r="AG41" s="238">
        <f t="shared" si="7"/>
        <v>1.6022106294524274E-3</v>
      </c>
      <c r="AH41" s="238">
        <f t="shared" si="13"/>
        <v>1.8024426017030915E-3</v>
      </c>
    </row>
    <row r="42" spans="2:34" x14ac:dyDescent="0.25">
      <c r="B42" s="310">
        <v>39</v>
      </c>
      <c r="C42" s="311">
        <v>97820.5</v>
      </c>
      <c r="D42" s="312">
        <v>1.403E-3</v>
      </c>
      <c r="E42" s="313">
        <v>41.36</v>
      </c>
      <c r="F42" s="314">
        <v>98697.1</v>
      </c>
      <c r="G42" s="315">
        <v>8.2899999999999998E-4</v>
      </c>
      <c r="H42" s="316">
        <v>44.65</v>
      </c>
      <c r="W42" s="328">
        <v>37</v>
      </c>
      <c r="X42" s="324">
        <f t="shared" si="8"/>
        <v>1.5430999999999999E-3</v>
      </c>
      <c r="Y42" s="324">
        <f t="shared" si="9"/>
        <v>1.03695E-3</v>
      </c>
      <c r="Z42" s="238">
        <f t="shared" si="10"/>
        <v>1.290025E-3</v>
      </c>
      <c r="AC42" s="232">
        <v>37</v>
      </c>
      <c r="AD42" s="238">
        <f t="shared" si="11"/>
        <v>2.1335732052341601E-3</v>
      </c>
      <c r="AE42" s="238">
        <f t="shared" si="12"/>
        <v>1.6267694048278352E-3</v>
      </c>
      <c r="AF42" s="238">
        <f t="shared" si="6"/>
        <v>2.1312987557787766E-3</v>
      </c>
      <c r="AG42" s="238">
        <f t="shared" si="7"/>
        <v>1.6254469326958398E-3</v>
      </c>
      <c r="AH42" s="238">
        <f t="shared" si="13"/>
        <v>1.8783728442373082E-3</v>
      </c>
    </row>
    <row r="43" spans="2:34" x14ac:dyDescent="0.25">
      <c r="B43" s="310">
        <v>40</v>
      </c>
      <c r="C43" s="311">
        <v>97683.199999999997</v>
      </c>
      <c r="D43" s="312">
        <v>1.554E-3</v>
      </c>
      <c r="E43" s="313">
        <v>40.42</v>
      </c>
      <c r="F43" s="314">
        <v>98615.2</v>
      </c>
      <c r="G43" s="315">
        <v>9.1E-4</v>
      </c>
      <c r="H43" s="316">
        <v>43.69</v>
      </c>
      <c r="W43" s="328">
        <v>38</v>
      </c>
      <c r="X43" s="324">
        <f t="shared" si="8"/>
        <v>1.7719000000000001E-3</v>
      </c>
      <c r="Y43" s="324">
        <f t="shared" si="9"/>
        <v>1.15475E-3</v>
      </c>
      <c r="Z43" s="238">
        <f t="shared" si="10"/>
        <v>1.4633250000000001E-3</v>
      </c>
      <c r="AC43" s="232">
        <v>38</v>
      </c>
      <c r="AD43" s="238">
        <f t="shared" si="11"/>
        <v>2.3627530718645755E-3</v>
      </c>
      <c r="AE43" s="238">
        <f t="shared" si="12"/>
        <v>1.7446986377141628E-3</v>
      </c>
      <c r="AF43" s="238">
        <f t="shared" si="6"/>
        <v>2.3599639679123818E-3</v>
      </c>
      <c r="AG43" s="238">
        <f t="shared" si="7"/>
        <v>1.7431775357960033E-3</v>
      </c>
      <c r="AH43" s="238">
        <f t="shared" si="13"/>
        <v>2.0515707518541926E-3</v>
      </c>
    </row>
    <row r="44" spans="2:34" x14ac:dyDescent="0.25">
      <c r="B44" s="310">
        <v>41</v>
      </c>
      <c r="C44" s="311">
        <v>97531.5</v>
      </c>
      <c r="D44" s="312">
        <v>1.6590000000000001E-3</v>
      </c>
      <c r="E44" s="313">
        <v>39.479999999999997</v>
      </c>
      <c r="F44" s="314">
        <v>98525.4</v>
      </c>
      <c r="G44" s="315">
        <v>9.4899999999999997E-4</v>
      </c>
      <c r="H44" s="316">
        <v>42.73</v>
      </c>
      <c r="W44" s="328">
        <v>39</v>
      </c>
      <c r="X44" s="324">
        <f t="shared" si="8"/>
        <v>1.8239E-3</v>
      </c>
      <c r="Y44" s="324">
        <f t="shared" si="9"/>
        <v>1.28495E-3</v>
      </c>
      <c r="Z44" s="238">
        <f t="shared" si="10"/>
        <v>1.5544249999999999E-3</v>
      </c>
      <c r="AC44" s="232">
        <v>39</v>
      </c>
      <c r="AD44" s="238">
        <f t="shared" si="11"/>
        <v>2.4148467310661547E-3</v>
      </c>
      <c r="AE44" s="238">
        <f t="shared" si="12"/>
        <v>1.875057656347391E-3</v>
      </c>
      <c r="AF44" s="238">
        <f t="shared" si="6"/>
        <v>2.4119333343063376E-3</v>
      </c>
      <c r="AG44" s="238">
        <f t="shared" si="7"/>
        <v>1.8733008339594237E-3</v>
      </c>
      <c r="AH44" s="238">
        <f t="shared" si="13"/>
        <v>2.1426170841328807E-3</v>
      </c>
    </row>
    <row r="45" spans="2:34" x14ac:dyDescent="0.25">
      <c r="B45" s="310">
        <v>42</v>
      </c>
      <c r="C45" s="311">
        <v>97369.600000000006</v>
      </c>
      <c r="D45" s="312">
        <v>1.7769999999999999E-3</v>
      </c>
      <c r="E45" s="313">
        <v>38.54</v>
      </c>
      <c r="F45" s="314">
        <v>98431.9</v>
      </c>
      <c r="G45" s="315">
        <v>1.0759999999999999E-3</v>
      </c>
      <c r="H45" s="316">
        <v>41.77</v>
      </c>
      <c r="W45" s="328">
        <v>40</v>
      </c>
      <c r="X45" s="324">
        <f t="shared" si="8"/>
        <v>2.0202000000000002E-3</v>
      </c>
      <c r="Y45" s="324">
        <f t="shared" si="9"/>
        <v>1.4105000000000001E-3</v>
      </c>
      <c r="Z45" s="238">
        <f t="shared" si="10"/>
        <v>1.71535E-3</v>
      </c>
      <c r="AC45" s="232">
        <v>40</v>
      </c>
      <c r="AD45" s="238">
        <f t="shared" si="11"/>
        <v>2.6115247566981356E-3</v>
      </c>
      <c r="AE45" s="238">
        <f t="shared" si="12"/>
        <v>2.0007770917388474E-3</v>
      </c>
      <c r="AF45" s="238">
        <f t="shared" si="6"/>
        <v>2.6081176924436233E-3</v>
      </c>
      <c r="AG45" s="238">
        <f t="shared" si="7"/>
        <v>1.998776871474095E-3</v>
      </c>
      <c r="AH45" s="238">
        <f t="shared" si="13"/>
        <v>2.3034472819588592E-3</v>
      </c>
    </row>
    <row r="46" spans="2:34" x14ac:dyDescent="0.25">
      <c r="B46" s="310">
        <v>43</v>
      </c>
      <c r="C46" s="311">
        <v>97196.6</v>
      </c>
      <c r="D46" s="312">
        <v>1.854E-3</v>
      </c>
      <c r="E46" s="313">
        <v>37.61</v>
      </c>
      <c r="F46" s="314">
        <v>98326</v>
      </c>
      <c r="G46" s="315">
        <v>1.1609999999999999E-3</v>
      </c>
      <c r="H46" s="316">
        <v>40.81</v>
      </c>
      <c r="W46" s="328">
        <v>41</v>
      </c>
      <c r="X46" s="324">
        <f t="shared" si="8"/>
        <v>2.1567000000000001E-3</v>
      </c>
      <c r="Y46" s="324">
        <f t="shared" si="9"/>
        <v>1.4709499999999999E-3</v>
      </c>
      <c r="Z46" s="238">
        <f t="shared" si="10"/>
        <v>1.813825E-3</v>
      </c>
      <c r="AC46" s="232">
        <v>41</v>
      </c>
      <c r="AD46" s="238">
        <f t="shared" si="11"/>
        <v>2.7483104269439744E-3</v>
      </c>
      <c r="AE46" s="238">
        <f t="shared" si="12"/>
        <v>2.0613143092399824E-3</v>
      </c>
      <c r="AF46" s="238">
        <f t="shared" si="6"/>
        <v>2.7445372792277434E-3</v>
      </c>
      <c r="AG46" s="238">
        <f t="shared" si="7"/>
        <v>2.0591912599071671E-3</v>
      </c>
      <c r="AH46" s="238">
        <f t="shared" si="13"/>
        <v>2.4018642695674552E-3</v>
      </c>
    </row>
    <row r="47" spans="2:34" x14ac:dyDescent="0.25">
      <c r="B47" s="310">
        <v>44</v>
      </c>
      <c r="C47" s="311">
        <v>97016.3</v>
      </c>
      <c r="D47" s="312">
        <v>2.0660000000000001E-3</v>
      </c>
      <c r="E47" s="313">
        <v>36.68</v>
      </c>
      <c r="F47" s="314">
        <v>98211.9</v>
      </c>
      <c r="G47" s="315">
        <v>1.2769999999999999E-3</v>
      </c>
      <c r="H47" s="316">
        <v>39.86</v>
      </c>
      <c r="W47" s="328">
        <v>42</v>
      </c>
      <c r="X47" s="324">
        <f t="shared" si="8"/>
        <v>2.3100999999999998E-3</v>
      </c>
      <c r="Y47" s="324">
        <f t="shared" si="9"/>
        <v>1.6677999999999999E-3</v>
      </c>
      <c r="Z47" s="238">
        <f t="shared" si="10"/>
        <v>1.9889499999999997E-3</v>
      </c>
      <c r="AC47" s="232">
        <v>42</v>
      </c>
      <c r="AD47" s="238">
        <f t="shared" si="11"/>
        <v>2.9020537976903295E-3</v>
      </c>
      <c r="AE47" s="238">
        <f t="shared" si="12"/>
        <v>2.2584737269388199E-3</v>
      </c>
      <c r="AF47" s="238">
        <f t="shared" si="6"/>
        <v>2.8978469100899851E-3</v>
      </c>
      <c r="AG47" s="238">
        <f t="shared" si="7"/>
        <v>2.2559252940351771E-3</v>
      </c>
      <c r="AH47" s="238">
        <f t="shared" si="13"/>
        <v>2.5768861020625811E-3</v>
      </c>
    </row>
    <row r="48" spans="2:34" x14ac:dyDescent="0.25">
      <c r="B48" s="310">
        <v>45</v>
      </c>
      <c r="C48" s="311">
        <v>96816</v>
      </c>
      <c r="D48" s="312">
        <v>2.2460000000000002E-3</v>
      </c>
      <c r="E48" s="313">
        <v>35.75</v>
      </c>
      <c r="F48" s="314">
        <v>98086.399999999994</v>
      </c>
      <c r="G48" s="315">
        <v>1.3940000000000001E-3</v>
      </c>
      <c r="H48" s="316">
        <v>38.909999999999997</v>
      </c>
      <c r="W48" s="328">
        <v>43</v>
      </c>
      <c r="X48" s="324">
        <f t="shared" si="8"/>
        <v>2.4101999999999999E-3</v>
      </c>
      <c r="Y48" s="324">
        <f t="shared" si="9"/>
        <v>1.79955E-3</v>
      </c>
      <c r="Z48" s="238">
        <f t="shared" si="10"/>
        <v>2.104875E-3</v>
      </c>
      <c r="AC48" s="232">
        <v>43</v>
      </c>
      <c r="AD48" s="238">
        <f t="shared" si="11"/>
        <v>3.0023906076964923E-3</v>
      </c>
      <c r="AE48" s="238">
        <f t="shared" si="12"/>
        <v>2.3904525354909623E-3</v>
      </c>
      <c r="AF48" s="238">
        <f t="shared" si="6"/>
        <v>2.9978879403984582E-3</v>
      </c>
      <c r="AG48" s="238">
        <f t="shared" si="7"/>
        <v>2.3875976790813658E-3</v>
      </c>
      <c r="AH48" s="238">
        <f t="shared" si="13"/>
        <v>2.692742809739912E-3</v>
      </c>
    </row>
    <row r="49" spans="2:34" x14ac:dyDescent="0.25">
      <c r="B49" s="310">
        <v>46</v>
      </c>
      <c r="C49" s="311">
        <v>96598.6</v>
      </c>
      <c r="D49" s="312">
        <v>2.3779999999999999E-3</v>
      </c>
      <c r="E49" s="313">
        <v>34.83</v>
      </c>
      <c r="F49" s="314">
        <v>97949.7</v>
      </c>
      <c r="G49" s="315">
        <v>1.4790000000000001E-3</v>
      </c>
      <c r="H49" s="316">
        <v>37.96</v>
      </c>
      <c r="W49" s="328">
        <v>44</v>
      </c>
      <c r="X49" s="324">
        <f t="shared" si="8"/>
        <v>2.6858000000000003E-3</v>
      </c>
      <c r="Y49" s="324">
        <f t="shared" si="9"/>
        <v>1.9793499999999999E-3</v>
      </c>
      <c r="Z49" s="238">
        <f t="shared" si="10"/>
        <v>2.3325749999999999E-3</v>
      </c>
      <c r="AC49" s="232">
        <v>44</v>
      </c>
      <c r="AD49" s="238">
        <f t="shared" si="11"/>
        <v>3.2786946321039794E-3</v>
      </c>
      <c r="AE49" s="238">
        <f t="shared" si="12"/>
        <v>2.5705929021931084E-3</v>
      </c>
      <c r="AF49" s="238">
        <f t="shared" si="6"/>
        <v>3.2733255822865459E-3</v>
      </c>
      <c r="AG49" s="238">
        <f t="shared" si="7"/>
        <v>2.5672917574975918E-3</v>
      </c>
      <c r="AH49" s="238">
        <f t="shared" si="13"/>
        <v>2.9203086698920688E-3</v>
      </c>
    </row>
    <row r="50" spans="2:34" x14ac:dyDescent="0.25">
      <c r="B50" s="310">
        <v>47</v>
      </c>
      <c r="C50" s="311">
        <v>96368.9</v>
      </c>
      <c r="D50" s="312">
        <v>2.5600000000000002E-3</v>
      </c>
      <c r="E50" s="313">
        <v>33.92</v>
      </c>
      <c r="F50" s="314">
        <v>97804.800000000003</v>
      </c>
      <c r="G50" s="315">
        <v>1.611E-3</v>
      </c>
      <c r="H50" s="316">
        <v>37.020000000000003</v>
      </c>
      <c r="W50" s="328">
        <v>45</v>
      </c>
      <c r="X50" s="324">
        <f t="shared" si="8"/>
        <v>2.9198000000000002E-3</v>
      </c>
      <c r="Y50" s="324">
        <f t="shared" si="9"/>
        <v>2.1607000000000002E-3</v>
      </c>
      <c r="Z50" s="238">
        <f t="shared" si="10"/>
        <v>2.54025E-3</v>
      </c>
      <c r="AC50" s="232">
        <v>45</v>
      </c>
      <c r="AD50" s="238">
        <f t="shared" si="11"/>
        <v>3.5133523317784471E-3</v>
      </c>
      <c r="AE50" s="238">
        <f t="shared" si="12"/>
        <v>2.7523190804242515E-3</v>
      </c>
      <c r="AF50" s="238">
        <f t="shared" si="6"/>
        <v>3.5071877310595134E-3</v>
      </c>
      <c r="AG50" s="238">
        <f t="shared" si="7"/>
        <v>2.7485349227965861E-3</v>
      </c>
      <c r="AH50" s="238">
        <f t="shared" si="13"/>
        <v>3.1278613269280497E-3</v>
      </c>
    </row>
    <row r="51" spans="2:34" x14ac:dyDescent="0.25">
      <c r="B51" s="310">
        <v>48</v>
      </c>
      <c r="C51" s="311">
        <v>96122.2</v>
      </c>
      <c r="D51" s="312">
        <v>2.6879999999999999E-3</v>
      </c>
      <c r="E51" s="313">
        <v>33</v>
      </c>
      <c r="F51" s="314">
        <v>97647.3</v>
      </c>
      <c r="G51" s="315">
        <v>1.7470000000000001E-3</v>
      </c>
      <c r="H51" s="316">
        <v>36.08</v>
      </c>
      <c r="W51" s="328">
        <v>46</v>
      </c>
      <c r="X51" s="324">
        <f t="shared" si="8"/>
        <v>3.0913999999999998E-3</v>
      </c>
      <c r="Y51" s="324">
        <f t="shared" si="9"/>
        <v>2.2924500000000001E-3</v>
      </c>
      <c r="Z51" s="238">
        <f t="shared" si="10"/>
        <v>2.691925E-3</v>
      </c>
      <c r="AC51" s="232">
        <v>46</v>
      </c>
      <c r="AD51" s="238">
        <f t="shared" si="11"/>
        <v>3.6854696480076725E-3</v>
      </c>
      <c r="AE51" s="238">
        <f t="shared" si="12"/>
        <v>2.8843630864984911E-3</v>
      </c>
      <c r="AF51" s="238">
        <f t="shared" si="6"/>
        <v>3.6786866401595786E-3</v>
      </c>
      <c r="AG51" s="238">
        <f t="shared" si="7"/>
        <v>2.8802073078428858E-3</v>
      </c>
      <c r="AH51" s="238">
        <f t="shared" si="13"/>
        <v>3.2794469740012322E-3</v>
      </c>
    </row>
    <row r="52" spans="2:34" x14ac:dyDescent="0.25">
      <c r="B52" s="310">
        <v>49</v>
      </c>
      <c r="C52" s="311">
        <v>95863.8</v>
      </c>
      <c r="D52" s="312">
        <v>3.0040000000000002E-3</v>
      </c>
      <c r="E52" s="313">
        <v>32.090000000000003</v>
      </c>
      <c r="F52" s="314">
        <v>97476.7</v>
      </c>
      <c r="G52" s="315">
        <v>1.902E-3</v>
      </c>
      <c r="H52" s="316">
        <v>35.14</v>
      </c>
      <c r="W52" s="328">
        <v>47</v>
      </c>
      <c r="X52" s="324">
        <f t="shared" si="8"/>
        <v>3.3280000000000002E-3</v>
      </c>
      <c r="Y52" s="324">
        <f t="shared" si="9"/>
        <v>2.4970500000000002E-3</v>
      </c>
      <c r="Z52" s="238">
        <f t="shared" si="10"/>
        <v>2.912525E-3</v>
      </c>
      <c r="AC52" s="232">
        <v>47</v>
      </c>
      <c r="AD52" s="238">
        <f t="shared" si="11"/>
        <v>3.9228315094853384E-3</v>
      </c>
      <c r="AE52" s="238">
        <f t="shared" si="12"/>
        <v>3.0894542292297092E-3</v>
      </c>
      <c r="AF52" s="238">
        <f t="shared" si="6"/>
        <v>3.9151472572521717E-3</v>
      </c>
      <c r="AG52" s="238">
        <f t="shared" si="7"/>
        <v>3.0846867763852925E-3</v>
      </c>
      <c r="AH52" s="238">
        <f t="shared" si="13"/>
        <v>3.4999170168187321E-3</v>
      </c>
    </row>
    <row r="53" spans="2:34" x14ac:dyDescent="0.25">
      <c r="B53" s="310">
        <v>50</v>
      </c>
      <c r="C53" s="311">
        <v>95575.9</v>
      </c>
      <c r="D53" s="312">
        <v>3.2209999999999999E-3</v>
      </c>
      <c r="E53" s="313">
        <v>31.18</v>
      </c>
      <c r="F53" s="314">
        <v>97291.199999999997</v>
      </c>
      <c r="G53" s="315">
        <v>2.163E-3</v>
      </c>
      <c r="H53" s="316">
        <v>34.21</v>
      </c>
      <c r="W53" s="328">
        <v>48</v>
      </c>
      <c r="X53" s="324">
        <f t="shared" si="8"/>
        <v>3.4943999999999999E-3</v>
      </c>
      <c r="Y53" s="324">
        <f t="shared" si="9"/>
        <v>2.7078500000000004E-3</v>
      </c>
      <c r="Z53" s="238">
        <f t="shared" si="10"/>
        <v>3.1011250000000001E-3</v>
      </c>
      <c r="AC53" s="232">
        <v>48</v>
      </c>
      <c r="AD53" s="238">
        <f t="shared" si="11"/>
        <v>4.0898010764587964E-3</v>
      </c>
      <c r="AE53" s="238">
        <f t="shared" si="12"/>
        <v>3.3008042578964512E-3</v>
      </c>
      <c r="AF53" s="238">
        <f t="shared" si="6"/>
        <v>4.0814492297129856E-3</v>
      </c>
      <c r="AG53" s="238">
        <f t="shared" si="7"/>
        <v>3.2953625924593277E-3</v>
      </c>
      <c r="AH53" s="238">
        <f t="shared" si="13"/>
        <v>3.6884059110861567E-3</v>
      </c>
    </row>
    <row r="54" spans="2:34" x14ac:dyDescent="0.25">
      <c r="B54" s="310">
        <v>51</v>
      </c>
      <c r="C54" s="311">
        <v>95268.1</v>
      </c>
      <c r="D54" s="312">
        <v>3.4629999999999999E-3</v>
      </c>
      <c r="E54" s="313">
        <v>30.28</v>
      </c>
      <c r="F54" s="314">
        <v>97080.8</v>
      </c>
      <c r="G54" s="315">
        <v>2.3080000000000002E-3</v>
      </c>
      <c r="H54" s="316">
        <v>33.28</v>
      </c>
      <c r="W54" s="328">
        <v>49</v>
      </c>
      <c r="X54" s="324">
        <f t="shared" si="8"/>
        <v>3.9052000000000002E-3</v>
      </c>
      <c r="Y54" s="324">
        <f t="shared" si="9"/>
        <v>2.9480999999999999E-3</v>
      </c>
      <c r="Z54" s="238">
        <f t="shared" si="10"/>
        <v>3.4266499999999998E-3</v>
      </c>
      <c r="AC54" s="232">
        <v>49</v>
      </c>
      <c r="AD54" s="238">
        <f t="shared" si="11"/>
        <v>4.5021266042667134E-3</v>
      </c>
      <c r="AE54" s="238">
        <f t="shared" si="12"/>
        <v>3.5417356068903425E-3</v>
      </c>
      <c r="AF54" s="238">
        <f t="shared" si="6"/>
        <v>4.4920072242254916E-3</v>
      </c>
      <c r="AG54" s="238">
        <f t="shared" si="7"/>
        <v>3.5354710593085148E-3</v>
      </c>
      <c r="AH54" s="238">
        <f t="shared" si="13"/>
        <v>4.0137391417670032E-3</v>
      </c>
    </row>
    <row r="55" spans="2:34" x14ac:dyDescent="0.25">
      <c r="B55" s="310">
        <v>52</v>
      </c>
      <c r="C55" s="311">
        <v>94938.2</v>
      </c>
      <c r="D55" s="312">
        <v>3.7009999999999999E-3</v>
      </c>
      <c r="E55" s="313">
        <v>29.39</v>
      </c>
      <c r="F55" s="314">
        <v>96856.8</v>
      </c>
      <c r="G55" s="315">
        <v>2.526E-3</v>
      </c>
      <c r="H55" s="316">
        <v>32.35</v>
      </c>
      <c r="W55" s="328">
        <v>50</v>
      </c>
      <c r="X55" s="324">
        <f t="shared" si="8"/>
        <v>4.1872999999999997E-3</v>
      </c>
      <c r="Y55" s="324">
        <f t="shared" si="9"/>
        <v>3.35265E-3</v>
      </c>
      <c r="Z55" s="238">
        <f t="shared" si="10"/>
        <v>3.7699750000000001E-3</v>
      </c>
      <c r="AC55" s="232">
        <v>50</v>
      </c>
      <c r="AD55" s="238">
        <f t="shared" si="11"/>
        <v>4.785372690629645E-3</v>
      </c>
      <c r="AE55" s="238">
        <f t="shared" si="12"/>
        <v>3.9475641244586654E-3</v>
      </c>
      <c r="AF55" s="238">
        <f t="shared" si="6"/>
        <v>4.7739410369127544E-3</v>
      </c>
      <c r="AG55" s="238">
        <f t="shared" si="7"/>
        <v>3.9397827357446902E-3</v>
      </c>
      <c r="AH55" s="238">
        <f t="shared" si="13"/>
        <v>4.3568618863287223E-3</v>
      </c>
    </row>
    <row r="56" spans="2:34" x14ac:dyDescent="0.25">
      <c r="B56" s="310">
        <v>53</v>
      </c>
      <c r="C56" s="311">
        <v>94586.8</v>
      </c>
      <c r="D56" s="312">
        <v>4.0330000000000001E-3</v>
      </c>
      <c r="E56" s="313">
        <v>28.49</v>
      </c>
      <c r="F56" s="314">
        <v>96612.1</v>
      </c>
      <c r="G56" s="315">
        <v>2.7950000000000002E-3</v>
      </c>
      <c r="H56" s="316">
        <v>31.44</v>
      </c>
      <c r="W56" s="328">
        <v>51</v>
      </c>
      <c r="X56" s="324">
        <f t="shared" si="8"/>
        <v>4.5018999999999997E-3</v>
      </c>
      <c r="Y56" s="324">
        <f t="shared" si="9"/>
        <v>3.5774000000000005E-3</v>
      </c>
      <c r="Z56" s="238">
        <f t="shared" si="10"/>
        <v>4.0396500000000005E-3</v>
      </c>
      <c r="AC56" s="232">
        <v>51</v>
      </c>
      <c r="AD56" s="238">
        <f t="shared" si="11"/>
        <v>5.1013454685781036E-3</v>
      </c>
      <c r="AE56" s="238">
        <f t="shared" si="12"/>
        <v>4.1730955976040452E-3</v>
      </c>
      <c r="AF56" s="238">
        <f t="shared" si="6"/>
        <v>5.0883557035963367E-3</v>
      </c>
      <c r="AG56" s="238">
        <f t="shared" si="7"/>
        <v>4.1644003337648616E-3</v>
      </c>
      <c r="AH56" s="238">
        <f t="shared" si="13"/>
        <v>4.6263780186805992E-3</v>
      </c>
    </row>
    <row r="57" spans="2:34" x14ac:dyDescent="0.25">
      <c r="B57" s="310">
        <v>54</v>
      </c>
      <c r="C57" s="311">
        <v>94205.4</v>
      </c>
      <c r="D57" s="312">
        <v>4.4889999999999999E-3</v>
      </c>
      <c r="E57" s="313">
        <v>27.61</v>
      </c>
      <c r="F57" s="314">
        <v>96342.1</v>
      </c>
      <c r="G57" s="315">
        <v>2.9949999999999998E-3</v>
      </c>
      <c r="H57" s="316">
        <v>30.52</v>
      </c>
      <c r="W57" s="328">
        <v>52</v>
      </c>
      <c r="X57" s="324">
        <f t="shared" si="8"/>
        <v>4.8113000000000001E-3</v>
      </c>
      <c r="Y57" s="324">
        <f t="shared" si="9"/>
        <v>3.9153E-3</v>
      </c>
      <c r="Z57" s="238">
        <f t="shared" si="10"/>
        <v>4.3633000000000005E-3</v>
      </c>
      <c r="AC57" s="232">
        <v>52</v>
      </c>
      <c r="AD57" s="238">
        <f t="shared" si="11"/>
        <v>5.4121929635143843E-3</v>
      </c>
      <c r="AE57" s="238">
        <f t="shared" si="12"/>
        <v>4.5122662528274855E-3</v>
      </c>
      <c r="AF57" s="238">
        <f t="shared" si="6"/>
        <v>5.3975734336405568E-3</v>
      </c>
      <c r="AG57" s="238">
        <f t="shared" si="7"/>
        <v>4.5021012742365585E-3</v>
      </c>
      <c r="AH57" s="238">
        <f t="shared" si="13"/>
        <v>4.9498373539385576E-3</v>
      </c>
    </row>
    <row r="58" spans="2:34" x14ac:dyDescent="0.25">
      <c r="B58" s="310">
        <v>55</v>
      </c>
      <c r="C58" s="311">
        <v>93782.5</v>
      </c>
      <c r="D58" s="312">
        <v>4.8679999999999999E-3</v>
      </c>
      <c r="E58" s="313">
        <v>26.73</v>
      </c>
      <c r="F58" s="314">
        <v>96053.5</v>
      </c>
      <c r="G58" s="315">
        <v>3.362E-3</v>
      </c>
      <c r="H58" s="316">
        <v>29.61</v>
      </c>
      <c r="W58" s="328">
        <v>53</v>
      </c>
      <c r="X58" s="324">
        <f t="shared" si="8"/>
        <v>5.2429E-3</v>
      </c>
      <c r="Y58" s="324">
        <f t="shared" si="9"/>
        <v>4.3322500000000002E-3</v>
      </c>
      <c r="Z58" s="238">
        <f t="shared" si="10"/>
        <v>4.7875750000000005E-3</v>
      </c>
      <c r="AC58" s="232">
        <v>53</v>
      </c>
      <c r="AD58" s="238">
        <f t="shared" si="11"/>
        <v>5.8459736290659581E-3</v>
      </c>
      <c r="AE58" s="238">
        <f t="shared" si="12"/>
        <v>4.9309427867418095E-3</v>
      </c>
      <c r="AF58" s="238">
        <f t="shared" si="6"/>
        <v>5.8289191747106228E-3</v>
      </c>
      <c r="AG58" s="238">
        <f t="shared" si="7"/>
        <v>4.9188056457359908E-3</v>
      </c>
      <c r="AH58" s="238">
        <f t="shared" si="13"/>
        <v>5.3738624102233068E-3</v>
      </c>
    </row>
    <row r="59" spans="2:34" x14ac:dyDescent="0.25">
      <c r="B59" s="310">
        <v>56</v>
      </c>
      <c r="C59" s="311">
        <v>93325.9</v>
      </c>
      <c r="D59" s="312">
        <v>5.3480000000000003E-3</v>
      </c>
      <c r="E59" s="313">
        <v>25.86</v>
      </c>
      <c r="F59" s="314">
        <v>95730.5</v>
      </c>
      <c r="G59" s="315">
        <v>3.6229999999999999E-3</v>
      </c>
      <c r="H59" s="316">
        <v>28.71</v>
      </c>
      <c r="W59" s="328">
        <v>54</v>
      </c>
      <c r="X59" s="324">
        <f t="shared" si="8"/>
        <v>5.8357000000000001E-3</v>
      </c>
      <c r="Y59" s="324">
        <f t="shared" si="9"/>
        <v>4.6422499999999997E-3</v>
      </c>
      <c r="Z59" s="238">
        <f t="shared" si="10"/>
        <v>5.2389749999999999E-3</v>
      </c>
      <c r="AC59" s="232">
        <v>54</v>
      </c>
      <c r="AD59" s="238">
        <f t="shared" si="11"/>
        <v>6.4420756344580523E-3</v>
      </c>
      <c r="AE59" s="238">
        <f t="shared" si="12"/>
        <v>5.2423401068714976E-3</v>
      </c>
      <c r="AF59" s="238">
        <f t="shared" si="6"/>
        <v>6.4213699516020295E-3</v>
      </c>
      <c r="AG59" s="238">
        <f t="shared" si="7"/>
        <v>5.2286230223155261E-3</v>
      </c>
      <c r="AH59" s="238">
        <f t="shared" si="13"/>
        <v>5.8249964869587778E-3</v>
      </c>
    </row>
    <row r="60" spans="2:34" x14ac:dyDescent="0.25">
      <c r="B60" s="310">
        <v>57</v>
      </c>
      <c r="C60" s="311">
        <v>92826.8</v>
      </c>
      <c r="D60" s="312">
        <v>5.9810000000000002E-3</v>
      </c>
      <c r="E60" s="313">
        <v>24.99</v>
      </c>
      <c r="F60" s="314">
        <v>95383.7</v>
      </c>
      <c r="G60" s="315">
        <v>4.0000000000000001E-3</v>
      </c>
      <c r="H60" s="316">
        <v>27.81</v>
      </c>
      <c r="W60" s="328">
        <v>55</v>
      </c>
      <c r="X60" s="324">
        <f t="shared" si="8"/>
        <v>6.3284000000000005E-3</v>
      </c>
      <c r="Y60" s="324">
        <f t="shared" si="9"/>
        <v>5.2110999999999998E-3</v>
      </c>
      <c r="Z60" s="238">
        <f t="shared" si="10"/>
        <v>5.7697500000000006E-3</v>
      </c>
      <c r="AC60" s="232">
        <v>55</v>
      </c>
      <c r="AD60" s="238">
        <f t="shared" si="11"/>
        <v>6.9377906078010865E-3</v>
      </c>
      <c r="AE60" s="238">
        <f t="shared" si="12"/>
        <v>5.8140065370733771E-3</v>
      </c>
      <c r="AF60" s="238">
        <f t="shared" si="6"/>
        <v>6.9137796981849631E-3</v>
      </c>
      <c r="AG60" s="238">
        <f t="shared" si="7"/>
        <v>5.7971379083389118E-3</v>
      </c>
      <c r="AH60" s="238">
        <f t="shared" si="13"/>
        <v>6.3554588032619375E-3</v>
      </c>
    </row>
    <row r="61" spans="2:34" x14ac:dyDescent="0.25">
      <c r="B61" s="310">
        <v>58</v>
      </c>
      <c r="C61" s="311">
        <v>92271.6</v>
      </c>
      <c r="D61" s="312">
        <v>6.5799999999999999E-3</v>
      </c>
      <c r="E61" s="313">
        <v>24.14</v>
      </c>
      <c r="F61" s="314">
        <v>95002.2</v>
      </c>
      <c r="G61" s="315">
        <v>4.241E-3</v>
      </c>
      <c r="H61" s="316">
        <v>26.92</v>
      </c>
      <c r="W61" s="328">
        <v>56</v>
      </c>
      <c r="X61" s="324">
        <f t="shared" si="8"/>
        <v>6.9524000000000009E-3</v>
      </c>
      <c r="Y61" s="324">
        <f t="shared" si="9"/>
        <v>5.6156499999999998E-3</v>
      </c>
      <c r="Z61" s="238">
        <f t="shared" si="10"/>
        <v>6.2840250000000004E-3</v>
      </c>
      <c r="AC61" s="232">
        <v>56</v>
      </c>
      <c r="AD61" s="238">
        <f t="shared" si="11"/>
        <v>7.5659619372160508E-3</v>
      </c>
      <c r="AE61" s="238">
        <f t="shared" si="12"/>
        <v>6.2207584432510659E-3</v>
      </c>
      <c r="AF61" s="238">
        <f t="shared" si="6"/>
        <v>7.5374120949127654E-3</v>
      </c>
      <c r="AG61" s="238">
        <f t="shared" si="7"/>
        <v>6.2014495847750872E-3</v>
      </c>
      <c r="AH61" s="238">
        <f t="shared" si="13"/>
        <v>6.8694308398439263E-3</v>
      </c>
    </row>
    <row r="62" spans="2:34" x14ac:dyDescent="0.25">
      <c r="B62" s="310">
        <v>59</v>
      </c>
      <c r="C62" s="311">
        <v>91664.5</v>
      </c>
      <c r="D62" s="312">
        <v>7.2859999999999999E-3</v>
      </c>
      <c r="E62" s="313">
        <v>23.3</v>
      </c>
      <c r="F62" s="314">
        <v>94599.3</v>
      </c>
      <c r="G62" s="315">
        <v>4.6950000000000004E-3</v>
      </c>
      <c r="H62" s="316">
        <v>26.04</v>
      </c>
      <c r="W62" s="328">
        <v>57</v>
      </c>
      <c r="X62" s="324">
        <f t="shared" si="8"/>
        <v>7.7753000000000006E-3</v>
      </c>
      <c r="Y62" s="324">
        <f t="shared" si="9"/>
        <v>6.2000000000000006E-3</v>
      </c>
      <c r="Z62" s="238">
        <f t="shared" si="10"/>
        <v>6.9876500000000006E-3</v>
      </c>
      <c r="AC62" s="232">
        <v>57</v>
      </c>
      <c r="AD62" s="238">
        <f t="shared" si="11"/>
        <v>8.3949666507036249E-3</v>
      </c>
      <c r="AE62" s="238">
        <f t="shared" si="12"/>
        <v>6.8085812141386402E-3</v>
      </c>
      <c r="AF62" s="238">
        <f t="shared" si="6"/>
        <v>8.3598273180975902E-3</v>
      </c>
      <c r="AG62" s="238">
        <f t="shared" si="7"/>
        <v>6.7854553396274886E-3</v>
      </c>
      <c r="AH62" s="238">
        <f t="shared" si="13"/>
        <v>7.5726413288625394E-3</v>
      </c>
    </row>
    <row r="63" spans="2:34" x14ac:dyDescent="0.25">
      <c r="B63" s="310">
        <v>60</v>
      </c>
      <c r="C63" s="311">
        <v>90996.6</v>
      </c>
      <c r="D63" s="312">
        <v>8.0770000000000008E-3</v>
      </c>
      <c r="E63" s="313">
        <v>22.47</v>
      </c>
      <c r="F63" s="314">
        <v>94155.1</v>
      </c>
      <c r="G63" s="315">
        <v>5.2339999999999999E-3</v>
      </c>
      <c r="H63" s="316">
        <v>25.16</v>
      </c>
      <c r="W63" s="328">
        <v>58</v>
      </c>
      <c r="X63" s="324">
        <f t="shared" si="8"/>
        <v>8.5540000000000008E-3</v>
      </c>
      <c r="Y63" s="324">
        <f t="shared" si="9"/>
        <v>6.5735500000000001E-3</v>
      </c>
      <c r="Z63" s="238">
        <f t="shared" si="10"/>
        <v>7.563775E-3</v>
      </c>
      <c r="AC63" s="232">
        <v>58</v>
      </c>
      <c r="AD63" s="238">
        <f t="shared" si="11"/>
        <v>9.1800768406146843E-3</v>
      </c>
      <c r="AE63" s="238">
        <f t="shared" si="12"/>
        <v>7.1845323337504288E-3</v>
      </c>
      <c r="AF63" s="238">
        <f t="shared" si="6"/>
        <v>9.138068579847336E-3</v>
      </c>
      <c r="AG63" s="238">
        <f t="shared" si="7"/>
        <v>7.1587852784058548E-3</v>
      </c>
      <c r="AH63" s="238">
        <f t="shared" si="13"/>
        <v>8.1484269291265954E-3</v>
      </c>
    </row>
    <row r="64" spans="2:34" x14ac:dyDescent="0.25">
      <c r="B64" s="310">
        <v>61</v>
      </c>
      <c r="C64" s="311">
        <v>90261.6</v>
      </c>
      <c r="D64" s="312">
        <v>8.7209999999999996E-3</v>
      </c>
      <c r="E64" s="313">
        <v>21.64</v>
      </c>
      <c r="F64" s="314">
        <v>93662.399999999994</v>
      </c>
      <c r="G64" s="315">
        <v>5.7190000000000001E-3</v>
      </c>
      <c r="H64" s="316">
        <v>24.29</v>
      </c>
      <c r="W64" s="328">
        <v>59</v>
      </c>
      <c r="X64" s="324">
        <f t="shared" si="8"/>
        <v>9.4718000000000007E-3</v>
      </c>
      <c r="Y64" s="324">
        <f t="shared" si="9"/>
        <v>7.2772500000000007E-3</v>
      </c>
      <c r="Z64" s="238">
        <f t="shared" si="10"/>
        <v>8.3745250000000007E-3</v>
      </c>
      <c r="AC64" s="232">
        <v>59</v>
      </c>
      <c r="AD64" s="238">
        <f t="shared" si="11"/>
        <v>1.0106224179569525E-2</v>
      </c>
      <c r="AE64" s="238">
        <f t="shared" si="12"/>
        <v>7.893139753017208E-3</v>
      </c>
      <c r="AF64" s="238">
        <f t="shared" si="6"/>
        <v>1.0055327896701272E-2</v>
      </c>
      <c r="AG64" s="238">
        <f t="shared" si="7"/>
        <v>7.862070723241299E-3</v>
      </c>
      <c r="AH64" s="238">
        <f t="shared" si="13"/>
        <v>8.9586993099712853E-3</v>
      </c>
    </row>
    <row r="65" spans="2:34" x14ac:dyDescent="0.25">
      <c r="B65" s="310">
        <v>62</v>
      </c>
      <c r="C65" s="311">
        <v>89474.5</v>
      </c>
      <c r="D65" s="312">
        <v>9.5930000000000008E-3</v>
      </c>
      <c r="E65" s="313">
        <v>20.83</v>
      </c>
      <c r="F65" s="314">
        <v>93126.7</v>
      </c>
      <c r="G65" s="315">
        <v>6.2100000000000002E-3</v>
      </c>
      <c r="H65" s="316">
        <v>23.42</v>
      </c>
      <c r="W65" s="328">
        <v>60</v>
      </c>
      <c r="X65" s="324">
        <f t="shared" si="8"/>
        <v>1.0500100000000002E-2</v>
      </c>
      <c r="Y65" s="324">
        <f t="shared" si="9"/>
        <v>8.1127000000000005E-3</v>
      </c>
      <c r="Z65" s="238">
        <f t="shared" si="10"/>
        <v>9.3064000000000011E-3</v>
      </c>
      <c r="AC65" s="232">
        <v>60</v>
      </c>
      <c r="AD65" s="238">
        <f t="shared" si="11"/>
        <v>1.1144896400885552E-2</v>
      </c>
      <c r="AE65" s="238">
        <f t="shared" si="12"/>
        <v>8.7350684224303862E-3</v>
      </c>
      <c r="AF65" s="238">
        <f t="shared" si="6"/>
        <v>1.1083022117142183E-2</v>
      </c>
      <c r="AG65" s="238">
        <f t="shared" si="7"/>
        <v>8.6970285531230429E-3</v>
      </c>
      <c r="AH65" s="238">
        <f t="shared" si="13"/>
        <v>9.8900253351326128E-3</v>
      </c>
    </row>
    <row r="66" spans="2:34" x14ac:dyDescent="0.25">
      <c r="B66" s="310">
        <v>63</v>
      </c>
      <c r="C66" s="311">
        <v>88616.2</v>
      </c>
      <c r="D66" s="312">
        <v>1.0487E-2</v>
      </c>
      <c r="E66" s="313">
        <v>20.03</v>
      </c>
      <c r="F66" s="314">
        <v>92548.4</v>
      </c>
      <c r="G66" s="315">
        <v>6.8009999999999998E-3</v>
      </c>
      <c r="H66" s="316">
        <v>22.57</v>
      </c>
      <c r="W66" s="328">
        <v>61</v>
      </c>
      <c r="X66" s="324">
        <f t="shared" si="8"/>
        <v>1.13373E-2</v>
      </c>
      <c r="Y66" s="324">
        <f t="shared" si="9"/>
        <v>8.8644500000000011E-3</v>
      </c>
      <c r="Z66" s="238">
        <f t="shared" si="10"/>
        <v>1.0100875E-2</v>
      </c>
      <c r="AC66" s="232">
        <v>61</v>
      </c>
      <c r="AD66" s="238">
        <f t="shared" si="11"/>
        <v>1.1991338498198788E-2</v>
      </c>
      <c r="AE66" s="238">
        <f t="shared" si="12"/>
        <v>9.4932543767795793E-3</v>
      </c>
      <c r="AF66" s="238">
        <f t="shared" si="6"/>
        <v>1.1919728916085282E-2</v>
      </c>
      <c r="AG66" s="238">
        <f t="shared" si="7"/>
        <v>9.4483356913284133E-3</v>
      </c>
      <c r="AH66" s="238">
        <f t="shared" si="13"/>
        <v>1.0684032303706847E-2</v>
      </c>
    </row>
    <row r="67" spans="2:34" x14ac:dyDescent="0.25">
      <c r="B67" s="310">
        <v>64</v>
      </c>
      <c r="C67" s="311">
        <v>87686.9</v>
      </c>
      <c r="D67" s="312">
        <v>1.1469E-2</v>
      </c>
      <c r="E67" s="313">
        <v>19.23</v>
      </c>
      <c r="F67" s="314">
        <v>91919</v>
      </c>
      <c r="G67" s="315">
        <v>7.3080000000000003E-3</v>
      </c>
      <c r="H67" s="316">
        <v>21.72</v>
      </c>
      <c r="W67" s="328">
        <v>62</v>
      </c>
      <c r="X67" s="324">
        <f t="shared" si="8"/>
        <v>1.2470900000000002E-2</v>
      </c>
      <c r="Y67" s="324">
        <f t="shared" si="9"/>
        <v>9.6255000000000004E-3</v>
      </c>
      <c r="Z67" s="238">
        <f t="shared" si="10"/>
        <v>1.1048200000000001E-2</v>
      </c>
      <c r="AC67" s="232">
        <v>62</v>
      </c>
      <c r="AD67" s="238">
        <f t="shared" si="11"/>
        <v>1.3138595686834923E-2</v>
      </c>
      <c r="AE67" s="238">
        <f t="shared" si="12"/>
        <v>1.0261405956350752E-2</v>
      </c>
      <c r="AF67" s="238">
        <f t="shared" si="6"/>
        <v>1.3052661103474028E-2</v>
      </c>
      <c r="AG67" s="238">
        <f t="shared" si="7"/>
        <v>1.020893735083106E-2</v>
      </c>
      <c r="AH67" s="238">
        <f t="shared" si="13"/>
        <v>1.1630799227152544E-2</v>
      </c>
    </row>
    <row r="68" spans="2:34" x14ac:dyDescent="0.25">
      <c r="B68" s="310">
        <v>65</v>
      </c>
      <c r="C68" s="311">
        <v>86681.2</v>
      </c>
      <c r="D68" s="312">
        <v>1.2331E-2</v>
      </c>
      <c r="E68" s="313">
        <v>18.45</v>
      </c>
      <c r="F68" s="314">
        <v>91247.2</v>
      </c>
      <c r="G68" s="315">
        <v>7.9880000000000003E-3</v>
      </c>
      <c r="H68" s="316">
        <v>20.87</v>
      </c>
      <c r="W68" s="328">
        <v>63</v>
      </c>
      <c r="X68" s="324">
        <f t="shared" si="8"/>
        <v>1.36331E-2</v>
      </c>
      <c r="Y68" s="324">
        <f t="shared" si="9"/>
        <v>1.054155E-2</v>
      </c>
      <c r="Z68" s="238">
        <f t="shared" si="10"/>
        <v>1.2087324999999999E-2</v>
      </c>
      <c r="AC68" s="232">
        <v>63</v>
      </c>
      <c r="AD68" s="238">
        <f t="shared" si="11"/>
        <v>1.4316165461837298E-2</v>
      </c>
      <c r="AE68" s="238">
        <f t="shared" si="12"/>
        <v>1.1186787125878384E-2</v>
      </c>
      <c r="AF68" s="238">
        <f t="shared" si="6"/>
        <v>1.4214176442379545E-2</v>
      </c>
      <c r="AG68" s="238">
        <f t="shared" si="7"/>
        <v>1.112444769862353E-2</v>
      </c>
      <c r="AH68" s="238">
        <f t="shared" si="13"/>
        <v>1.2669312070501537E-2</v>
      </c>
    </row>
    <row r="69" spans="2:34" x14ac:dyDescent="0.25">
      <c r="B69" s="310">
        <v>66</v>
      </c>
      <c r="C69" s="311">
        <v>85612.3</v>
      </c>
      <c r="D69" s="312">
        <v>1.3051E-2</v>
      </c>
      <c r="E69" s="313">
        <v>17.68</v>
      </c>
      <c r="F69" s="314">
        <v>90518.3</v>
      </c>
      <c r="G69" s="315">
        <v>8.4810000000000007E-3</v>
      </c>
      <c r="H69" s="316">
        <v>20.04</v>
      </c>
      <c r="W69" s="328">
        <v>64</v>
      </c>
      <c r="X69" s="324">
        <f t="shared" ref="X69:X100" si="14">D67*(1-(1-mCVDmort)*pCVD)</f>
        <v>1.49097E-2</v>
      </c>
      <c r="Y69" s="324">
        <f t="shared" ref="Y69:Y100" si="15">G67*(1-(1-fCVDmort)*pCVD)</f>
        <v>1.1327400000000001E-2</v>
      </c>
      <c r="Z69" s="238">
        <f t="shared" ref="Z69:Z100" si="16">pMale*X69+(1-pMale)*Y69</f>
        <v>1.311855E-2</v>
      </c>
      <c r="AC69" s="232">
        <v>64</v>
      </c>
      <c r="AD69" s="238">
        <f t="shared" ref="AD69:AD100" si="17">IF( AND(AC69 - 0.5 &gt;= Ageyr, (AC69 - Ageyr - 0.5) &lt; maxtime, maxtime &gt; 0), (-1*(LN(1-X69)))+(AC69 - Ageyr - 0.5)/maxtime*QOFrate, (-1*(LN(1-X69)))+QOFrate)</f>
        <v>1.5611248285274092E-2</v>
      </c>
      <c r="AE69" s="238">
        <f t="shared" ref="AE69:AE100" si="18">IF( AND(AC69 - 0.5&gt;=Ageyr, (AC69 - Ageyr -0.5) &lt; maxtime, maxtime &gt; 0), (-1*(LN(1-Y69)))+(AC69-Ageyr-0.5)/maxtime*QOFrate, (-1*(LN(1-Y69)))+QOFrate)</f>
        <v>1.1981325021981487E-2</v>
      </c>
      <c r="AF69" s="238">
        <f t="shared" si="6"/>
        <v>1.5490024387351919E-2</v>
      </c>
      <c r="AG69" s="238">
        <f t="shared" si="7"/>
        <v>1.1909834748252579E-2</v>
      </c>
      <c r="AH69" s="238">
        <f t="shared" ref="AH69:AH100" si="19">pMale*AF69+(1-pMale)*AG69</f>
        <v>1.3699929567802249E-2</v>
      </c>
    </row>
    <row r="70" spans="2:34" x14ac:dyDescent="0.25">
      <c r="B70" s="310">
        <v>67</v>
      </c>
      <c r="C70" s="311">
        <v>84495</v>
      </c>
      <c r="D70" s="312">
        <v>1.4401000000000001E-2</v>
      </c>
      <c r="E70" s="313">
        <v>16.899999999999999</v>
      </c>
      <c r="F70" s="314">
        <v>89750.7</v>
      </c>
      <c r="G70" s="315">
        <v>9.4809999999999998E-3</v>
      </c>
      <c r="H70" s="316">
        <v>19.2</v>
      </c>
      <c r="W70" s="328">
        <v>65</v>
      </c>
      <c r="X70" s="324">
        <f t="shared" si="14"/>
        <v>1.6030300000000001E-2</v>
      </c>
      <c r="Y70" s="324">
        <f t="shared" si="15"/>
        <v>1.2381400000000001E-2</v>
      </c>
      <c r="Z70" s="238">
        <f t="shared" si="16"/>
        <v>1.4205850000000001E-2</v>
      </c>
      <c r="AC70" s="232">
        <v>65</v>
      </c>
      <c r="AD70" s="238">
        <f t="shared" si="17"/>
        <v>1.6749456487136712E-2</v>
      </c>
      <c r="AE70" s="238">
        <f t="shared" si="18"/>
        <v>1.3047969552838747E-2</v>
      </c>
      <c r="AF70" s="238">
        <f t="shared" ref="AF70:AF105" si="20">MAX(0,(1-(EXP(-1*AD70))))</f>
        <v>1.6609964233142205E-2</v>
      </c>
      <c r="AG70" s="238">
        <f t="shared" ref="AG70:AG105" si="21">MAX(0,(1-(EXP(-1*AE70))))</f>
        <v>1.2963213828622977E-2</v>
      </c>
      <c r="AH70" s="238">
        <f t="shared" si="19"/>
        <v>1.4786589030882591E-2</v>
      </c>
    </row>
    <row r="71" spans="2:34" x14ac:dyDescent="0.25">
      <c r="B71" s="310">
        <v>68</v>
      </c>
      <c r="C71" s="311">
        <v>83278.2</v>
      </c>
      <c r="D71" s="312">
        <v>1.5802E-2</v>
      </c>
      <c r="E71" s="313">
        <v>16.14</v>
      </c>
      <c r="F71" s="314">
        <v>88899.8</v>
      </c>
      <c r="G71" s="315">
        <v>1.0671999999999999E-2</v>
      </c>
      <c r="H71" s="316">
        <v>18.38</v>
      </c>
      <c r="W71" s="328">
        <v>66</v>
      </c>
      <c r="X71" s="324">
        <f t="shared" si="14"/>
        <v>1.69663E-2</v>
      </c>
      <c r="Y71" s="324">
        <f t="shared" si="15"/>
        <v>1.3145550000000001E-2</v>
      </c>
      <c r="Z71" s="238">
        <f t="shared" si="16"/>
        <v>1.5055925000000001E-2</v>
      </c>
      <c r="AC71" s="232">
        <v>66</v>
      </c>
      <c r="AD71" s="238">
        <f t="shared" si="17"/>
        <v>1.7701158015102886E-2</v>
      </c>
      <c r="AE71" s="238">
        <f t="shared" si="18"/>
        <v>1.3821998895150119E-2</v>
      </c>
      <c r="AF71" s="238">
        <f t="shared" si="20"/>
        <v>1.7545412828233853E-2</v>
      </c>
      <c r="AG71" s="238">
        <f t="shared" si="21"/>
        <v>1.3726913661891382E-2</v>
      </c>
      <c r="AH71" s="238">
        <f t="shared" si="19"/>
        <v>1.5636163245062618E-2</v>
      </c>
    </row>
    <row r="72" spans="2:34" x14ac:dyDescent="0.25">
      <c r="B72" s="310">
        <v>69</v>
      </c>
      <c r="C72" s="311">
        <v>81962.2</v>
      </c>
      <c r="D72" s="312">
        <v>1.7812999999999999E-2</v>
      </c>
      <c r="E72" s="313">
        <v>15.39</v>
      </c>
      <c r="F72" s="314">
        <v>87951</v>
      </c>
      <c r="G72" s="315">
        <v>1.1646999999999999E-2</v>
      </c>
      <c r="H72" s="316">
        <v>17.579999999999998</v>
      </c>
      <c r="W72" s="328">
        <v>67</v>
      </c>
      <c r="X72" s="324">
        <f t="shared" si="14"/>
        <v>1.87213E-2</v>
      </c>
      <c r="Y72" s="324">
        <f t="shared" si="15"/>
        <v>1.469555E-2</v>
      </c>
      <c r="Z72" s="238">
        <f t="shared" si="16"/>
        <v>1.6708424999999999E-2</v>
      </c>
      <c r="AC72" s="232">
        <v>67</v>
      </c>
      <c r="AD72" s="238">
        <f t="shared" si="17"/>
        <v>1.9488043305823748E-2</v>
      </c>
      <c r="AE72" s="238">
        <f t="shared" si="18"/>
        <v>1.5393880673181931E-2</v>
      </c>
      <c r="AF72" s="238">
        <f t="shared" si="20"/>
        <v>1.9299378944030776E-2</v>
      </c>
      <c r="AG72" s="238">
        <f t="shared" si="21"/>
        <v>1.5276000544788948E-2</v>
      </c>
      <c r="AH72" s="238">
        <f t="shared" si="19"/>
        <v>1.7287689744409862E-2</v>
      </c>
    </row>
    <row r="73" spans="2:34" x14ac:dyDescent="0.25">
      <c r="B73" s="310">
        <v>70</v>
      </c>
      <c r="C73" s="311">
        <v>80502.2</v>
      </c>
      <c r="D73" s="312">
        <v>1.9494999999999998E-2</v>
      </c>
      <c r="E73" s="313">
        <v>14.66</v>
      </c>
      <c r="F73" s="314">
        <v>86926.7</v>
      </c>
      <c r="G73" s="315">
        <v>1.3015000000000001E-2</v>
      </c>
      <c r="H73" s="316">
        <v>16.78</v>
      </c>
      <c r="W73" s="328">
        <v>68</v>
      </c>
      <c r="X73" s="324">
        <f t="shared" si="14"/>
        <v>2.0542600000000001E-2</v>
      </c>
      <c r="Y73" s="324">
        <f t="shared" si="15"/>
        <v>1.65416E-2</v>
      </c>
      <c r="Z73" s="238">
        <f t="shared" si="16"/>
        <v>1.8542099999999999E-2</v>
      </c>
      <c r="AC73" s="232">
        <v>68</v>
      </c>
      <c r="AD73" s="238">
        <f t="shared" si="17"/>
        <v>2.1345815520884829E-2</v>
      </c>
      <c r="AE73" s="238">
        <f t="shared" si="18"/>
        <v>1.7269221363434728E-2</v>
      </c>
      <c r="AF73" s="238">
        <f t="shared" si="20"/>
        <v>2.1119606001979929E-2</v>
      </c>
      <c r="AG73" s="238">
        <f t="shared" si="21"/>
        <v>1.7120963022320024E-2</v>
      </c>
      <c r="AH73" s="238">
        <f t="shared" si="19"/>
        <v>1.9120284512149976E-2</v>
      </c>
    </row>
    <row r="74" spans="2:34" x14ac:dyDescent="0.25">
      <c r="B74" s="310">
        <v>71</v>
      </c>
      <c r="C74" s="311">
        <v>78932.800000000003</v>
      </c>
      <c r="D74" s="312">
        <v>2.1559999999999999E-2</v>
      </c>
      <c r="E74" s="313">
        <v>13.95</v>
      </c>
      <c r="F74" s="314">
        <v>85795.3</v>
      </c>
      <c r="G74" s="315">
        <v>1.4338999999999999E-2</v>
      </c>
      <c r="H74" s="316">
        <v>15.99</v>
      </c>
      <c r="W74" s="328">
        <v>69</v>
      </c>
      <c r="X74" s="324">
        <f t="shared" si="14"/>
        <v>2.3156900000000001E-2</v>
      </c>
      <c r="Y74" s="324">
        <f t="shared" si="15"/>
        <v>1.8052849999999999E-2</v>
      </c>
      <c r="Z74" s="238">
        <f t="shared" si="16"/>
        <v>2.0604875000000002E-2</v>
      </c>
      <c r="AC74" s="232">
        <v>69</v>
      </c>
      <c r="AD74" s="238">
        <f t="shared" si="17"/>
        <v>2.4018514890160759E-2</v>
      </c>
      <c r="AE74" s="238">
        <f t="shared" si="18"/>
        <v>1.8807072213444062E-2</v>
      </c>
      <c r="AF74" s="238">
        <f t="shared" si="20"/>
        <v>2.3732365897437435E-2</v>
      </c>
      <c r="AG74" s="238">
        <f t="shared" si="21"/>
        <v>1.863132273314505E-2</v>
      </c>
      <c r="AH74" s="238">
        <f t="shared" si="19"/>
        <v>2.1181844315291243E-2</v>
      </c>
    </row>
    <row r="75" spans="2:34" x14ac:dyDescent="0.25">
      <c r="B75" s="310">
        <v>72</v>
      </c>
      <c r="C75" s="311">
        <v>77231</v>
      </c>
      <c r="D75" s="312">
        <v>2.4752E-2</v>
      </c>
      <c r="E75" s="313">
        <v>13.24</v>
      </c>
      <c r="F75" s="314">
        <v>84565.1</v>
      </c>
      <c r="G75" s="315">
        <v>1.6115999999999998E-2</v>
      </c>
      <c r="H75" s="316">
        <v>15.22</v>
      </c>
      <c r="W75" s="328">
        <v>70</v>
      </c>
      <c r="X75" s="324">
        <f t="shared" si="14"/>
        <v>2.5343499999999998E-2</v>
      </c>
      <c r="Y75" s="324">
        <f t="shared" si="15"/>
        <v>2.017325E-2</v>
      </c>
      <c r="Z75" s="238">
        <f t="shared" si="16"/>
        <v>2.2758374999999997E-2</v>
      </c>
      <c r="AC75" s="232">
        <v>70</v>
      </c>
      <c r="AD75" s="238">
        <f t="shared" si="17"/>
        <v>2.6259459151754448E-2</v>
      </c>
      <c r="AE75" s="238">
        <f t="shared" si="18"/>
        <v>2.096879006046334E-2</v>
      </c>
      <c r="AF75" s="238">
        <f t="shared" si="20"/>
        <v>2.5917677754304314E-2</v>
      </c>
      <c r="AG75" s="238">
        <f t="shared" si="21"/>
        <v>2.0750473588948881E-2</v>
      </c>
      <c r="AH75" s="238">
        <f t="shared" si="19"/>
        <v>2.3334075671626597E-2</v>
      </c>
    </row>
    <row r="76" spans="2:34" x14ac:dyDescent="0.25">
      <c r="B76" s="310">
        <v>73</v>
      </c>
      <c r="C76" s="311">
        <v>75319.399999999994</v>
      </c>
      <c r="D76" s="312">
        <v>2.6988999999999999E-2</v>
      </c>
      <c r="E76" s="313">
        <v>12.57</v>
      </c>
      <c r="F76" s="314">
        <v>83202.3</v>
      </c>
      <c r="G76" s="315">
        <v>1.8277000000000002E-2</v>
      </c>
      <c r="H76" s="316">
        <v>14.46</v>
      </c>
      <c r="W76" s="328">
        <v>71</v>
      </c>
      <c r="X76" s="324">
        <f t="shared" si="14"/>
        <v>2.8028000000000001E-2</v>
      </c>
      <c r="Y76" s="324">
        <f t="shared" si="15"/>
        <v>2.2225450000000001E-2</v>
      </c>
      <c r="Z76" s="238">
        <f t="shared" si="16"/>
        <v>2.5126725000000003E-2</v>
      </c>
      <c r="AC76" s="232">
        <v>71</v>
      </c>
      <c r="AD76" s="238">
        <f t="shared" si="17"/>
        <v>2.9017562921199599E-2</v>
      </c>
      <c r="AE76" s="238">
        <f t="shared" si="18"/>
        <v>2.306543839409278E-2</v>
      </c>
      <c r="AF76" s="238">
        <f t="shared" si="20"/>
        <v>2.860059629439371E-2</v>
      </c>
      <c r="AG76" s="238">
        <f t="shared" si="21"/>
        <v>2.2801464621905243E-2</v>
      </c>
      <c r="AH76" s="238">
        <f t="shared" si="19"/>
        <v>2.5701030458149476E-2</v>
      </c>
    </row>
    <row r="77" spans="2:34" x14ac:dyDescent="0.25">
      <c r="B77" s="310">
        <v>74</v>
      </c>
      <c r="C77" s="311">
        <v>73286.600000000006</v>
      </c>
      <c r="D77" s="312">
        <v>3.0317E-2</v>
      </c>
      <c r="E77" s="313">
        <v>11.9</v>
      </c>
      <c r="F77" s="314">
        <v>81681.600000000006</v>
      </c>
      <c r="G77" s="315">
        <v>2.0312E-2</v>
      </c>
      <c r="H77" s="316">
        <v>13.72</v>
      </c>
      <c r="W77" s="328">
        <v>72</v>
      </c>
      <c r="X77" s="324">
        <f t="shared" si="14"/>
        <v>3.2177600000000001E-2</v>
      </c>
      <c r="Y77" s="324">
        <f t="shared" si="15"/>
        <v>2.49798E-2</v>
      </c>
      <c r="Z77" s="238">
        <f t="shared" si="16"/>
        <v>2.8578699999999999E-2</v>
      </c>
      <c r="AC77" s="232">
        <v>72</v>
      </c>
      <c r="AD77" s="238">
        <f t="shared" si="17"/>
        <v>3.3295961013038534E-2</v>
      </c>
      <c r="AE77" s="238">
        <f t="shared" si="18"/>
        <v>2.5886371650407466E-2</v>
      </c>
      <c r="AF77" s="238">
        <f t="shared" si="20"/>
        <v>3.2747751732633446E-2</v>
      </c>
      <c r="AG77" s="238">
        <f t="shared" si="21"/>
        <v>2.555419201281417E-2</v>
      </c>
      <c r="AH77" s="238">
        <f t="shared" si="19"/>
        <v>2.9150971872723808E-2</v>
      </c>
    </row>
    <row r="78" spans="2:34" x14ac:dyDescent="0.25">
      <c r="B78" s="310">
        <v>75</v>
      </c>
      <c r="C78" s="311">
        <v>71064.800000000003</v>
      </c>
      <c r="D78" s="312">
        <v>3.3058999999999998E-2</v>
      </c>
      <c r="E78" s="313">
        <v>11.26</v>
      </c>
      <c r="F78" s="314">
        <v>80022.600000000006</v>
      </c>
      <c r="G78" s="315">
        <v>2.2436000000000001E-2</v>
      </c>
      <c r="H78" s="316">
        <v>12.99</v>
      </c>
      <c r="W78" s="328">
        <v>73</v>
      </c>
      <c r="X78" s="324">
        <f t="shared" si="14"/>
        <v>3.5085699999999997E-2</v>
      </c>
      <c r="Y78" s="324">
        <f t="shared" si="15"/>
        <v>2.8329350000000003E-2</v>
      </c>
      <c r="Z78" s="238">
        <f t="shared" si="16"/>
        <v>3.1707525E-2</v>
      </c>
      <c r="AC78" s="232">
        <v>73</v>
      </c>
      <c r="AD78" s="238">
        <f t="shared" si="17"/>
        <v>3.6305271277218068E-2</v>
      </c>
      <c r="AE78" s="238">
        <f t="shared" si="18"/>
        <v>2.9327650788858458E-2</v>
      </c>
      <c r="AF78" s="238">
        <f t="shared" si="20"/>
        <v>3.5654138548216974E-2</v>
      </c>
      <c r="AG78" s="238">
        <f t="shared" si="21"/>
        <v>2.8901768766755764E-2</v>
      </c>
      <c r="AH78" s="238">
        <f t="shared" si="19"/>
        <v>3.2277953657486369E-2</v>
      </c>
    </row>
    <row r="79" spans="2:34" x14ac:dyDescent="0.25">
      <c r="B79" s="310">
        <v>76</v>
      </c>
      <c r="C79" s="311">
        <v>68715.399999999994</v>
      </c>
      <c r="D79" s="312">
        <v>3.6408000000000003E-2</v>
      </c>
      <c r="E79" s="313">
        <v>10.62</v>
      </c>
      <c r="F79" s="314">
        <v>78227.100000000006</v>
      </c>
      <c r="G79" s="315">
        <v>2.5071E-2</v>
      </c>
      <c r="H79" s="316">
        <v>12.28</v>
      </c>
      <c r="W79" s="328">
        <v>74</v>
      </c>
      <c r="X79" s="324">
        <f t="shared" si="14"/>
        <v>3.9412099999999999E-2</v>
      </c>
      <c r="Y79" s="324">
        <f t="shared" si="15"/>
        <v>3.14836E-2</v>
      </c>
      <c r="Z79" s="238">
        <f t="shared" si="16"/>
        <v>3.5447850000000003E-2</v>
      </c>
      <c r="AC79" s="232">
        <v>74</v>
      </c>
      <c r="AD79" s="238">
        <f t="shared" si="17"/>
        <v>4.0799067524951715E-2</v>
      </c>
      <c r="AE79" s="238">
        <f t="shared" si="18"/>
        <v>3.2579144276508487E-2</v>
      </c>
      <c r="AF79" s="238">
        <f t="shared" si="20"/>
        <v>3.9977989832196137E-2</v>
      </c>
      <c r="AG79" s="238">
        <f t="shared" si="21"/>
        <v>3.2054160573452339E-2</v>
      </c>
      <c r="AH79" s="238">
        <f t="shared" si="19"/>
        <v>3.6016075202824238E-2</v>
      </c>
    </row>
    <row r="80" spans="2:34" x14ac:dyDescent="0.25">
      <c r="B80" s="310">
        <v>77</v>
      </c>
      <c r="C80" s="311">
        <v>66213.600000000006</v>
      </c>
      <c r="D80" s="312">
        <v>4.0036000000000002E-2</v>
      </c>
      <c r="E80" s="313">
        <v>10.01</v>
      </c>
      <c r="F80" s="314">
        <v>76265.899999999994</v>
      </c>
      <c r="G80" s="315">
        <v>2.7838999999999999E-2</v>
      </c>
      <c r="H80" s="316">
        <v>11.58</v>
      </c>
      <c r="W80" s="328">
        <v>75</v>
      </c>
      <c r="X80" s="324">
        <f t="shared" si="14"/>
        <v>4.29767E-2</v>
      </c>
      <c r="Y80" s="324">
        <f t="shared" si="15"/>
        <v>3.4775800000000003E-2</v>
      </c>
      <c r="Z80" s="238">
        <f t="shared" si="16"/>
        <v>3.8876250000000001E-2</v>
      </c>
      <c r="AC80" s="232">
        <v>75</v>
      </c>
      <c r="AD80" s="238">
        <f t="shared" si="17"/>
        <v>4.4516822308335598E-2</v>
      </c>
      <c r="AE80" s="238">
        <f t="shared" si="18"/>
        <v>3.5984154421963434E-2</v>
      </c>
      <c r="AF80" s="238">
        <f t="shared" si="20"/>
        <v>4.3540489898503676E-2</v>
      </c>
      <c r="AG80" s="238">
        <f t="shared" si="21"/>
        <v>3.5344421112726621E-2</v>
      </c>
      <c r="AH80" s="238">
        <f t="shared" si="19"/>
        <v>3.9442455505615148E-2</v>
      </c>
    </row>
    <row r="81" spans="2:34" x14ac:dyDescent="0.25">
      <c r="B81" s="310">
        <v>78</v>
      </c>
      <c r="C81" s="311">
        <v>63562.6</v>
      </c>
      <c r="D81" s="312">
        <v>4.4790999999999997E-2</v>
      </c>
      <c r="E81" s="313">
        <v>9.4</v>
      </c>
      <c r="F81" s="314">
        <v>74142.7</v>
      </c>
      <c r="G81" s="315">
        <v>3.0915999999999999E-2</v>
      </c>
      <c r="H81" s="316">
        <v>10.9</v>
      </c>
      <c r="W81" s="328">
        <v>76</v>
      </c>
      <c r="X81" s="324">
        <f t="shared" si="14"/>
        <v>4.7330400000000009E-2</v>
      </c>
      <c r="Y81" s="324">
        <f t="shared" si="15"/>
        <v>3.886005E-2</v>
      </c>
      <c r="Z81" s="238">
        <f t="shared" si="16"/>
        <v>4.3095225000000001E-2</v>
      </c>
      <c r="AC81" s="232">
        <v>76</v>
      </c>
      <c r="AD81" s="238">
        <f t="shared" si="17"/>
        <v>4.9076411489119065E-2</v>
      </c>
      <c r="AE81" s="238">
        <f t="shared" si="18"/>
        <v>4.0224532462470881E-2</v>
      </c>
      <c r="AF81" s="238">
        <f t="shared" si="20"/>
        <v>4.7891625099839796E-2</v>
      </c>
      <c r="AG81" s="238">
        <f t="shared" si="21"/>
        <v>3.9426265049161691E-2</v>
      </c>
      <c r="AH81" s="238">
        <f t="shared" si="19"/>
        <v>4.3658945074500743E-2</v>
      </c>
    </row>
    <row r="82" spans="2:34" x14ac:dyDescent="0.25">
      <c r="B82" s="310">
        <v>79</v>
      </c>
      <c r="C82" s="311">
        <v>60715.6</v>
      </c>
      <c r="D82" s="312">
        <v>4.9452000000000003E-2</v>
      </c>
      <c r="E82" s="313">
        <v>8.82</v>
      </c>
      <c r="F82" s="314">
        <v>71850.5</v>
      </c>
      <c r="G82" s="315">
        <v>3.5424999999999998E-2</v>
      </c>
      <c r="H82" s="316">
        <v>10.23</v>
      </c>
      <c r="W82" s="328">
        <v>77</v>
      </c>
      <c r="X82" s="324">
        <f t="shared" si="14"/>
        <v>5.2046800000000004E-2</v>
      </c>
      <c r="Y82" s="324">
        <f t="shared" si="15"/>
        <v>4.315045E-2</v>
      </c>
      <c r="Z82" s="238">
        <f t="shared" si="16"/>
        <v>4.7598625000000006E-2</v>
      </c>
      <c r="AC82" s="232">
        <v>77</v>
      </c>
      <c r="AD82" s="238">
        <f t="shared" si="17"/>
        <v>5.4039426434539538E-2</v>
      </c>
      <c r="AE82" s="238">
        <f t="shared" si="18"/>
        <v>4.469839131954479E-2</v>
      </c>
      <c r="AF82" s="238">
        <f t="shared" si="20"/>
        <v>5.2605246631774127E-2</v>
      </c>
      <c r="AG82" s="238">
        <f t="shared" si="21"/>
        <v>4.3714137541022047E-2</v>
      </c>
      <c r="AH82" s="238">
        <f t="shared" si="19"/>
        <v>4.8159692086398087E-2</v>
      </c>
    </row>
    <row r="83" spans="2:34" x14ac:dyDescent="0.25">
      <c r="B83" s="310">
        <v>80</v>
      </c>
      <c r="C83" s="311">
        <v>57713.1</v>
      </c>
      <c r="D83" s="312">
        <v>5.6455999999999999E-2</v>
      </c>
      <c r="E83" s="313">
        <v>8.25</v>
      </c>
      <c r="F83" s="314">
        <v>69305.2</v>
      </c>
      <c r="G83" s="315">
        <v>4.0552999999999999E-2</v>
      </c>
      <c r="H83" s="316">
        <v>9.59</v>
      </c>
      <c r="W83" s="328">
        <v>78</v>
      </c>
      <c r="X83" s="324">
        <f t="shared" si="14"/>
        <v>5.8228299999999997E-2</v>
      </c>
      <c r="Y83" s="324">
        <f t="shared" si="15"/>
        <v>4.7919799999999999E-2</v>
      </c>
      <c r="Z83" s="238">
        <f t="shared" si="16"/>
        <v>5.3074049999999998E-2</v>
      </c>
      <c r="AC83" s="232">
        <v>78</v>
      </c>
      <c r="AD83" s="238">
        <f t="shared" si="17"/>
        <v>6.0581671867021937E-2</v>
      </c>
      <c r="AE83" s="238">
        <f t="shared" si="18"/>
        <v>4.9695285441815513E-2</v>
      </c>
      <c r="AF83" s="238">
        <f t="shared" si="20"/>
        <v>5.8783105061858687E-2</v>
      </c>
      <c r="AG83" s="238">
        <f t="shared" si="21"/>
        <v>4.8480677879697787E-2</v>
      </c>
      <c r="AH83" s="238">
        <f t="shared" si="19"/>
        <v>5.3631891470778237E-2</v>
      </c>
    </row>
    <row r="84" spans="2:34" x14ac:dyDescent="0.25">
      <c r="B84" s="310">
        <v>81</v>
      </c>
      <c r="C84" s="311">
        <v>54454.9</v>
      </c>
      <c r="D84" s="312">
        <v>6.2516000000000002E-2</v>
      </c>
      <c r="E84" s="313">
        <v>7.72</v>
      </c>
      <c r="F84" s="314">
        <v>66494.7</v>
      </c>
      <c r="G84" s="315">
        <v>4.564E-2</v>
      </c>
      <c r="H84" s="316">
        <v>8.9700000000000006</v>
      </c>
      <c r="W84" s="328">
        <v>79</v>
      </c>
      <c r="X84" s="324">
        <f t="shared" si="14"/>
        <v>6.42876E-2</v>
      </c>
      <c r="Y84" s="324">
        <f t="shared" si="15"/>
        <v>5.4908749999999999E-2</v>
      </c>
      <c r="Z84" s="238">
        <f t="shared" si="16"/>
        <v>5.9598175000000003E-2</v>
      </c>
      <c r="AC84" s="232">
        <v>79</v>
      </c>
      <c r="AD84" s="238">
        <f t="shared" si="17"/>
        <v>6.7036396077580787E-2</v>
      </c>
      <c r="AE84" s="238">
        <f t="shared" si="18"/>
        <v>5.7063076703753664E-2</v>
      </c>
      <c r="AF84" s="238">
        <f t="shared" si="20"/>
        <v>6.4838835480917401E-2</v>
      </c>
      <c r="AG84" s="238">
        <f t="shared" si="21"/>
        <v>5.5465510634682746E-2</v>
      </c>
      <c r="AH84" s="238">
        <f t="shared" si="19"/>
        <v>6.0152173057800074E-2</v>
      </c>
    </row>
    <row r="85" spans="2:34" x14ac:dyDescent="0.25">
      <c r="B85" s="310">
        <v>82</v>
      </c>
      <c r="C85" s="311">
        <v>51050.5</v>
      </c>
      <c r="D85" s="312">
        <v>7.1221000000000007E-2</v>
      </c>
      <c r="E85" s="313">
        <v>7.2</v>
      </c>
      <c r="F85" s="314">
        <v>63459.9</v>
      </c>
      <c r="G85" s="315">
        <v>5.1958999999999998E-2</v>
      </c>
      <c r="H85" s="316">
        <v>8.3800000000000008</v>
      </c>
      <c r="W85" s="328">
        <v>80</v>
      </c>
      <c r="X85" s="324">
        <f t="shared" si="14"/>
        <v>7.3392800000000008E-2</v>
      </c>
      <c r="Y85" s="324">
        <f t="shared" si="15"/>
        <v>6.2857150000000001E-2</v>
      </c>
      <c r="Z85" s="238">
        <f t="shared" si="16"/>
        <v>6.8124975000000004E-2</v>
      </c>
      <c r="AC85" s="232">
        <v>80</v>
      </c>
      <c r="AD85" s="238">
        <f t="shared" si="17"/>
        <v>7.6814817086809706E-2</v>
      </c>
      <c r="AE85" s="238">
        <f t="shared" si="18"/>
        <v>6.5508835121488723E-2</v>
      </c>
      <c r="AF85" s="238">
        <f t="shared" si="20"/>
        <v>7.3938671536503686E-2</v>
      </c>
      <c r="AG85" s="238">
        <f t="shared" si="21"/>
        <v>6.3409228170181464E-2</v>
      </c>
      <c r="AH85" s="238">
        <f t="shared" si="19"/>
        <v>6.8673949853342575E-2</v>
      </c>
    </row>
    <row r="86" spans="2:34" x14ac:dyDescent="0.25">
      <c r="B86" s="310">
        <v>83</v>
      </c>
      <c r="C86" s="311">
        <v>47414.6</v>
      </c>
      <c r="D86" s="312">
        <v>7.9520999999999994E-2</v>
      </c>
      <c r="E86" s="313">
        <v>6.71</v>
      </c>
      <c r="F86" s="314">
        <v>60162.6</v>
      </c>
      <c r="G86" s="315">
        <v>5.8719E-2</v>
      </c>
      <c r="H86" s="316">
        <v>7.81</v>
      </c>
      <c r="W86" s="328">
        <v>81</v>
      </c>
      <c r="X86" s="324">
        <f t="shared" si="14"/>
        <v>8.1270800000000004E-2</v>
      </c>
      <c r="Y86" s="324">
        <f t="shared" si="15"/>
        <v>7.0741999999999999E-2</v>
      </c>
      <c r="Z86" s="238">
        <f t="shared" si="16"/>
        <v>7.6006400000000002E-2</v>
      </c>
      <c r="AC86" s="232">
        <v>81</v>
      </c>
      <c r="AD86" s="238">
        <f t="shared" si="17"/>
        <v>8.535314956737107E-2</v>
      </c>
      <c r="AE86" s="238">
        <f t="shared" si="18"/>
        <v>7.3958142148700487E-2</v>
      </c>
      <c r="AF86" s="238">
        <f t="shared" si="20"/>
        <v>8.1812030545191927E-2</v>
      </c>
      <c r="AG86" s="238">
        <f t="shared" si="21"/>
        <v>7.1289433143481129E-2</v>
      </c>
      <c r="AH86" s="238">
        <f t="shared" si="19"/>
        <v>7.6550731844336528E-2</v>
      </c>
    </row>
    <row r="87" spans="2:34" x14ac:dyDescent="0.25">
      <c r="B87" s="310">
        <v>84</v>
      </c>
      <c r="C87" s="311">
        <v>43644.2</v>
      </c>
      <c r="D87" s="312">
        <v>8.8508000000000003E-2</v>
      </c>
      <c r="E87" s="313">
        <v>6.25</v>
      </c>
      <c r="F87" s="314">
        <v>56629.9</v>
      </c>
      <c r="G87" s="315">
        <v>6.7530999999999994E-2</v>
      </c>
      <c r="H87" s="316">
        <v>7.27</v>
      </c>
      <c r="W87" s="328">
        <v>82</v>
      </c>
      <c r="X87" s="324">
        <f t="shared" si="14"/>
        <v>9.2587300000000011E-2</v>
      </c>
      <c r="Y87" s="324">
        <f t="shared" si="15"/>
        <v>8.0536449999999996E-2</v>
      </c>
      <c r="Z87" s="238">
        <f t="shared" si="16"/>
        <v>8.656187500000001E-2</v>
      </c>
      <c r="AC87" s="232">
        <v>82</v>
      </c>
      <c r="AD87" s="238">
        <f t="shared" si="17"/>
        <v>9.7747197217818257E-2</v>
      </c>
      <c r="AE87" s="238">
        <f t="shared" si="18"/>
        <v>8.4554158233011129E-2</v>
      </c>
      <c r="AF87" s="238">
        <f t="shared" si="20"/>
        <v>9.3121863906682312E-2</v>
      </c>
      <c r="AG87" s="238">
        <f t="shared" si="21"/>
        <v>8.10781131565107E-2</v>
      </c>
      <c r="AH87" s="238">
        <f t="shared" si="19"/>
        <v>8.7099988531596506E-2</v>
      </c>
    </row>
    <row r="88" spans="2:34" x14ac:dyDescent="0.25">
      <c r="B88" s="310">
        <v>85</v>
      </c>
      <c r="C88" s="311">
        <v>39781.4</v>
      </c>
      <c r="D88" s="312">
        <v>0.10037699999999999</v>
      </c>
      <c r="E88" s="313">
        <v>5.81</v>
      </c>
      <c r="F88" s="314">
        <v>52805.7</v>
      </c>
      <c r="G88" s="315">
        <v>7.6003000000000001E-2</v>
      </c>
      <c r="H88" s="316">
        <v>6.76</v>
      </c>
      <c r="W88" s="328">
        <v>83</v>
      </c>
      <c r="X88" s="324">
        <f t="shared" si="14"/>
        <v>0.10337729999999999</v>
      </c>
      <c r="Y88" s="324">
        <f t="shared" si="15"/>
        <v>9.1014449999999997E-2</v>
      </c>
      <c r="Z88" s="238">
        <f t="shared" si="16"/>
        <v>9.7195874999999987E-2</v>
      </c>
      <c r="AC88" s="232">
        <v>83</v>
      </c>
      <c r="AD88" s="238">
        <f t="shared" si="17"/>
        <v>0.1097094111140121</v>
      </c>
      <c r="AE88" s="238">
        <f t="shared" si="18"/>
        <v>9.6015362920891079E-2</v>
      </c>
      <c r="AF88" s="238">
        <f t="shared" si="20"/>
        <v>0.10390550743343352</v>
      </c>
      <c r="AG88" s="238">
        <f t="shared" si="21"/>
        <v>9.1549940484898062E-2</v>
      </c>
      <c r="AH88" s="238">
        <f t="shared" si="19"/>
        <v>9.7727723959165791E-2</v>
      </c>
    </row>
    <row r="89" spans="2:34" x14ac:dyDescent="0.25">
      <c r="B89" s="310">
        <v>86</v>
      </c>
      <c r="C89" s="311">
        <v>35788.199999999997</v>
      </c>
      <c r="D89" s="312">
        <v>0.111092</v>
      </c>
      <c r="E89" s="313">
        <v>5.4</v>
      </c>
      <c r="F89" s="314">
        <v>48792.3</v>
      </c>
      <c r="G89" s="315">
        <v>8.5464999999999999E-2</v>
      </c>
      <c r="H89" s="316">
        <v>6.27</v>
      </c>
      <c r="W89" s="328">
        <v>84</v>
      </c>
      <c r="X89" s="324">
        <f t="shared" si="14"/>
        <v>0.11506040000000001</v>
      </c>
      <c r="Y89" s="324">
        <f t="shared" si="15"/>
        <v>0.10467304999999999</v>
      </c>
      <c r="Z89" s="238">
        <f t="shared" si="16"/>
        <v>0.109866725</v>
      </c>
      <c r="AC89" s="232">
        <v>84</v>
      </c>
      <c r="AD89" s="238">
        <f t="shared" si="17"/>
        <v>0.12282516629104073</v>
      </c>
      <c r="AE89" s="238">
        <f t="shared" si="18"/>
        <v>0.11115560155338607</v>
      </c>
      <c r="AF89" s="238">
        <f t="shared" si="20"/>
        <v>0.11558172482800144</v>
      </c>
      <c r="AG89" s="238">
        <f t="shared" si="21"/>
        <v>0.10520049409699117</v>
      </c>
      <c r="AH89" s="238">
        <f t="shared" si="19"/>
        <v>0.11039110946249631</v>
      </c>
    </row>
    <row r="90" spans="2:34" x14ac:dyDescent="0.25">
      <c r="B90" s="310">
        <v>87</v>
      </c>
      <c r="C90" s="311">
        <v>31812.400000000001</v>
      </c>
      <c r="D90" s="312">
        <v>0.123569</v>
      </c>
      <c r="E90" s="313">
        <v>5.01</v>
      </c>
      <c r="F90" s="314">
        <v>44622.3</v>
      </c>
      <c r="G90" s="315">
        <v>9.7278000000000003E-2</v>
      </c>
      <c r="H90" s="316">
        <v>5.81</v>
      </c>
      <c r="W90" s="328">
        <v>85</v>
      </c>
      <c r="X90" s="324">
        <f t="shared" si="14"/>
        <v>0.1304901</v>
      </c>
      <c r="Y90" s="324">
        <f t="shared" si="15"/>
        <v>0.11780465000000001</v>
      </c>
      <c r="Z90" s="238">
        <f t="shared" si="16"/>
        <v>0.124147375</v>
      </c>
      <c r="AC90" s="232">
        <v>85</v>
      </c>
      <c r="AD90" s="238">
        <f t="shared" si="17"/>
        <v>0.14041484079890049</v>
      </c>
      <c r="AE90" s="238">
        <f t="shared" si="18"/>
        <v>0.1259310436390359</v>
      </c>
      <c r="AF90" s="238">
        <f t="shared" si="20"/>
        <v>0.1310023350712558</v>
      </c>
      <c r="AG90" s="238">
        <f t="shared" si="21"/>
        <v>0.1183243581688993</v>
      </c>
      <c r="AH90" s="238">
        <f t="shared" si="19"/>
        <v>0.12466334662007755</v>
      </c>
    </row>
    <row r="91" spans="2:34" x14ac:dyDescent="0.25">
      <c r="B91" s="310">
        <v>88</v>
      </c>
      <c r="C91" s="311">
        <v>27881.4</v>
      </c>
      <c r="D91" s="312">
        <v>0.13836599999999999</v>
      </c>
      <c r="E91" s="313">
        <v>4.6500000000000004</v>
      </c>
      <c r="F91" s="314">
        <v>40281.5</v>
      </c>
      <c r="G91" s="315">
        <v>0.108463</v>
      </c>
      <c r="H91" s="316">
        <v>5.38</v>
      </c>
      <c r="W91" s="328">
        <v>86</v>
      </c>
      <c r="X91" s="324">
        <f t="shared" si="14"/>
        <v>0.14441960000000001</v>
      </c>
      <c r="Y91" s="324">
        <f t="shared" si="15"/>
        <v>0.13247075</v>
      </c>
      <c r="Z91" s="238">
        <f t="shared" si="16"/>
        <v>0.138445175</v>
      </c>
      <c r="AC91" s="232">
        <v>86</v>
      </c>
      <c r="AD91" s="238">
        <f t="shared" si="17"/>
        <v>0.15656449133738651</v>
      </c>
      <c r="AE91" s="238">
        <f t="shared" si="18"/>
        <v>0.14269533155051864</v>
      </c>
      <c r="AF91" s="238">
        <f t="shared" si="20"/>
        <v>0.14492362909404377</v>
      </c>
      <c r="AG91" s="238">
        <f t="shared" si="21"/>
        <v>0.13298181825487576</v>
      </c>
      <c r="AH91" s="238">
        <f t="shared" si="19"/>
        <v>0.13895272367445977</v>
      </c>
    </row>
    <row r="92" spans="2:34" x14ac:dyDescent="0.25">
      <c r="B92" s="310">
        <v>89</v>
      </c>
      <c r="C92" s="311">
        <v>24023.5</v>
      </c>
      <c r="D92" s="312">
        <v>0.15251300000000001</v>
      </c>
      <c r="E92" s="313">
        <v>4.32</v>
      </c>
      <c r="F92" s="314">
        <v>35912.400000000001</v>
      </c>
      <c r="G92" s="315">
        <v>0.12286999999999999</v>
      </c>
      <c r="H92" s="316">
        <v>4.9800000000000004</v>
      </c>
      <c r="W92" s="328">
        <v>87</v>
      </c>
      <c r="X92" s="324">
        <f t="shared" si="14"/>
        <v>0.1606397</v>
      </c>
      <c r="Y92" s="324">
        <f t="shared" si="15"/>
        <v>0.15078090000000002</v>
      </c>
      <c r="Z92" s="238">
        <f t="shared" si="16"/>
        <v>0.15571030000000002</v>
      </c>
      <c r="AC92" s="232">
        <v>87</v>
      </c>
      <c r="AD92" s="238">
        <f t="shared" si="17"/>
        <v>0.17570450628874035</v>
      </c>
      <c r="AE92" s="238">
        <f t="shared" si="18"/>
        <v>0.16402733904924588</v>
      </c>
      <c r="AF92" s="238">
        <f t="shared" si="20"/>
        <v>0.16113417370648653</v>
      </c>
      <c r="AG92" s="238">
        <f t="shared" si="21"/>
        <v>0.15128118160254445</v>
      </c>
      <c r="AH92" s="238">
        <f t="shared" si="19"/>
        <v>0.15620767765451549</v>
      </c>
    </row>
    <row r="93" spans="2:34" x14ac:dyDescent="0.25">
      <c r="B93" s="310">
        <v>90</v>
      </c>
      <c r="C93" s="311">
        <v>20359.599999999999</v>
      </c>
      <c r="D93" s="312">
        <v>0.16824</v>
      </c>
      <c r="E93" s="313">
        <v>4</v>
      </c>
      <c r="F93" s="314">
        <v>31499.9</v>
      </c>
      <c r="G93" s="315">
        <v>0.13845099999999999</v>
      </c>
      <c r="H93" s="316">
        <v>4.5999999999999996</v>
      </c>
      <c r="W93" s="328">
        <v>88</v>
      </c>
      <c r="X93" s="324">
        <f t="shared" si="14"/>
        <v>0.1798758</v>
      </c>
      <c r="Y93" s="324">
        <f t="shared" si="15"/>
        <v>0.16811765000000001</v>
      </c>
      <c r="Z93" s="238">
        <f t="shared" si="16"/>
        <v>0.17399672500000002</v>
      </c>
      <c r="AC93" s="232">
        <v>88</v>
      </c>
      <c r="AD93" s="238">
        <f t="shared" si="17"/>
        <v>0.19888876817885082</v>
      </c>
      <c r="AE93" s="238">
        <f t="shared" si="18"/>
        <v>0.18465353580995664</v>
      </c>
      <c r="AF93" s="238">
        <f t="shared" si="20"/>
        <v>0.18035894156978038</v>
      </c>
      <c r="AG93" s="238">
        <f t="shared" si="21"/>
        <v>0.16860771838775346</v>
      </c>
      <c r="AH93" s="238">
        <f t="shared" si="19"/>
        <v>0.17448332997876692</v>
      </c>
    </row>
    <row r="94" spans="2:34" x14ac:dyDescent="0.25">
      <c r="B94" s="310">
        <v>91</v>
      </c>
      <c r="C94" s="311">
        <v>16934.3</v>
      </c>
      <c r="D94" s="312">
        <v>0.183834</v>
      </c>
      <c r="E94" s="313">
        <v>3.71</v>
      </c>
      <c r="F94" s="314">
        <v>27138.7</v>
      </c>
      <c r="G94" s="315">
        <v>0.15232399999999999</v>
      </c>
      <c r="H94" s="316">
        <v>4.26</v>
      </c>
      <c r="W94" s="328">
        <v>89</v>
      </c>
      <c r="X94" s="324">
        <f t="shared" si="14"/>
        <v>0.19826690000000002</v>
      </c>
      <c r="Y94" s="324">
        <f t="shared" si="15"/>
        <v>0.19044849999999999</v>
      </c>
      <c r="Z94" s="238">
        <f t="shared" si="16"/>
        <v>0.19435770000000002</v>
      </c>
      <c r="AC94" s="232">
        <v>89</v>
      </c>
      <c r="AD94" s="238">
        <f t="shared" si="17"/>
        <v>0.22156880092118578</v>
      </c>
      <c r="AE94" s="238">
        <f t="shared" si="18"/>
        <v>0.21186416977008365</v>
      </c>
      <c r="AF94" s="238">
        <f t="shared" si="20"/>
        <v>0.19873920722917204</v>
      </c>
      <c r="AG94" s="238">
        <f t="shared" si="21"/>
        <v>0.19092541310965838</v>
      </c>
      <c r="AH94" s="238">
        <f t="shared" si="19"/>
        <v>0.19483231016941521</v>
      </c>
    </row>
    <row r="95" spans="2:34" x14ac:dyDescent="0.25">
      <c r="B95" s="310">
        <v>92</v>
      </c>
      <c r="C95" s="311">
        <v>13821.2</v>
      </c>
      <c r="D95" s="312">
        <v>0.205371</v>
      </c>
      <c r="E95" s="313">
        <v>3.43</v>
      </c>
      <c r="F95" s="314">
        <v>23004.799999999999</v>
      </c>
      <c r="G95" s="315">
        <v>0.17041300000000001</v>
      </c>
      <c r="H95" s="316">
        <v>3.94</v>
      </c>
      <c r="W95" s="328">
        <v>90</v>
      </c>
      <c r="X95" s="324">
        <f t="shared" si="14"/>
        <v>0.21871200000000002</v>
      </c>
      <c r="Y95" s="324">
        <f t="shared" si="15"/>
        <v>0.21459904999999999</v>
      </c>
      <c r="Z95" s="238">
        <f t="shared" si="16"/>
        <v>0.21665552500000002</v>
      </c>
      <c r="AC95" s="232">
        <v>90</v>
      </c>
      <c r="AD95" s="238">
        <f t="shared" si="17"/>
        <v>0.24740072051463405</v>
      </c>
      <c r="AE95" s="238">
        <f t="shared" si="18"/>
        <v>0.24215020866444217</v>
      </c>
      <c r="AF95" s="238">
        <f t="shared" si="20"/>
        <v>0.2191722628611259</v>
      </c>
      <c r="AG95" s="238">
        <f t="shared" si="21"/>
        <v>0.21506173583208499</v>
      </c>
      <c r="AH95" s="238">
        <f t="shared" si="19"/>
        <v>0.21711699934660544</v>
      </c>
    </row>
    <row r="96" spans="2:34" x14ac:dyDescent="0.25">
      <c r="B96" s="310">
        <v>93</v>
      </c>
      <c r="C96" s="311">
        <v>10982.7</v>
      </c>
      <c r="D96" s="312">
        <v>0.22769200000000001</v>
      </c>
      <c r="E96" s="313">
        <v>3.19</v>
      </c>
      <c r="F96" s="314">
        <v>19084.5</v>
      </c>
      <c r="G96" s="315">
        <v>0.191161</v>
      </c>
      <c r="H96" s="316">
        <v>3.64</v>
      </c>
      <c r="W96" s="328">
        <v>91</v>
      </c>
      <c r="X96" s="324">
        <f t="shared" si="14"/>
        <v>0.23898420000000001</v>
      </c>
      <c r="Y96" s="324">
        <f t="shared" si="15"/>
        <v>0.23610219999999998</v>
      </c>
      <c r="Z96" s="238">
        <f t="shared" si="16"/>
        <v>0.23754320000000001</v>
      </c>
      <c r="AC96" s="232">
        <v>91</v>
      </c>
      <c r="AD96" s="238">
        <f t="shared" si="17"/>
        <v>0.27369044058114439</v>
      </c>
      <c r="AE96" s="238">
        <f t="shared" si="18"/>
        <v>0.2699105497973015</v>
      </c>
      <c r="AF96" s="238">
        <f t="shared" si="20"/>
        <v>0.23943252034981977</v>
      </c>
      <c r="AG96" s="238">
        <f t="shared" si="21"/>
        <v>0.23655221815852245</v>
      </c>
      <c r="AH96" s="238">
        <f t="shared" si="19"/>
        <v>0.23799236925417111</v>
      </c>
    </row>
    <row r="97" spans="2:34" x14ac:dyDescent="0.25">
      <c r="B97" s="310">
        <v>94</v>
      </c>
      <c r="C97" s="311">
        <v>8482.1</v>
      </c>
      <c r="D97" s="312">
        <v>0.24166499999999999</v>
      </c>
      <c r="E97" s="313">
        <v>2.98</v>
      </c>
      <c r="F97" s="314">
        <v>15436.3</v>
      </c>
      <c r="G97" s="315">
        <v>0.209367</v>
      </c>
      <c r="H97" s="316">
        <v>3.39</v>
      </c>
      <c r="W97" s="328">
        <v>92</v>
      </c>
      <c r="X97" s="324">
        <f t="shared" si="14"/>
        <v>0.26698230000000001</v>
      </c>
      <c r="Y97" s="324">
        <f t="shared" si="15"/>
        <v>0.26414015000000002</v>
      </c>
      <c r="Z97" s="238">
        <f t="shared" si="16"/>
        <v>0.26556122500000001</v>
      </c>
      <c r="AC97" s="232">
        <v>92</v>
      </c>
      <c r="AD97" s="238">
        <f t="shared" si="17"/>
        <v>0.31117471144754982</v>
      </c>
      <c r="AE97" s="238">
        <f t="shared" si="18"/>
        <v>0.30730488098155256</v>
      </c>
      <c r="AF97" s="238">
        <f t="shared" si="20"/>
        <v>0.26741412645049956</v>
      </c>
      <c r="AG97" s="238">
        <f t="shared" si="21"/>
        <v>0.26457365078325623</v>
      </c>
      <c r="AH97" s="238">
        <f t="shared" si="19"/>
        <v>0.26599388861687789</v>
      </c>
    </row>
    <row r="98" spans="2:34" x14ac:dyDescent="0.25">
      <c r="B98" s="310">
        <v>95</v>
      </c>
      <c r="C98" s="311">
        <v>6432.2</v>
      </c>
      <c r="D98" s="312">
        <v>0.26427099999999998</v>
      </c>
      <c r="E98" s="313">
        <v>2.78</v>
      </c>
      <c r="F98" s="314">
        <v>12204.4</v>
      </c>
      <c r="G98" s="315">
        <v>0.22633900000000001</v>
      </c>
      <c r="H98" s="316">
        <v>3.15</v>
      </c>
      <c r="W98" s="328">
        <v>93</v>
      </c>
      <c r="X98" s="324">
        <f t="shared" si="14"/>
        <v>0.29599960000000003</v>
      </c>
      <c r="Y98" s="324">
        <f t="shared" si="15"/>
        <v>0.29629955000000002</v>
      </c>
      <c r="Z98" s="238">
        <f t="shared" si="16"/>
        <v>0.29614957500000005</v>
      </c>
      <c r="AC98" s="232">
        <v>93</v>
      </c>
      <c r="AD98" s="238">
        <f t="shared" si="17"/>
        <v>0.35156563604265972</v>
      </c>
      <c r="AE98" s="238">
        <f t="shared" si="18"/>
        <v>0.35199179193301033</v>
      </c>
      <c r="AF98" s="238">
        <f t="shared" si="20"/>
        <v>0.29641433213250146</v>
      </c>
      <c r="AG98" s="238">
        <f t="shared" si="21"/>
        <v>0.29671410542961452</v>
      </c>
      <c r="AH98" s="238">
        <f t="shared" si="19"/>
        <v>0.29656421878105799</v>
      </c>
    </row>
    <row r="99" spans="2:34" x14ac:dyDescent="0.25">
      <c r="B99" s="310">
        <v>96</v>
      </c>
      <c r="C99" s="311">
        <v>4732.3999999999996</v>
      </c>
      <c r="D99" s="312">
        <v>0.27860499999999999</v>
      </c>
      <c r="E99" s="313">
        <v>2.59</v>
      </c>
      <c r="F99" s="314">
        <v>9442.1</v>
      </c>
      <c r="G99" s="315">
        <v>0.24435499999999999</v>
      </c>
      <c r="H99" s="316">
        <v>2.93</v>
      </c>
      <c r="W99" s="328">
        <v>94</v>
      </c>
      <c r="X99" s="324">
        <f t="shared" si="14"/>
        <v>0.31416450000000001</v>
      </c>
      <c r="Y99" s="324">
        <f t="shared" si="15"/>
        <v>0.32451885000000003</v>
      </c>
      <c r="Z99" s="238">
        <f t="shared" si="16"/>
        <v>0.31934167499999999</v>
      </c>
      <c r="AC99" s="232">
        <v>94</v>
      </c>
      <c r="AD99" s="238">
        <f t="shared" si="17"/>
        <v>0.3777067573304792</v>
      </c>
      <c r="AE99" s="238">
        <f t="shared" si="18"/>
        <v>0.39291930862683061</v>
      </c>
      <c r="AF99" s="238">
        <f t="shared" si="20"/>
        <v>0.31456853104807914</v>
      </c>
      <c r="AG99" s="238">
        <f t="shared" si="21"/>
        <v>0.32491678121964707</v>
      </c>
      <c r="AH99" s="238">
        <f t="shared" si="19"/>
        <v>0.3197426561338631</v>
      </c>
    </row>
    <row r="100" spans="2:34" x14ac:dyDescent="0.25">
      <c r="B100" s="310">
        <v>97</v>
      </c>
      <c r="C100" s="311">
        <v>3413.9</v>
      </c>
      <c r="D100" s="312">
        <v>0.30580000000000002</v>
      </c>
      <c r="E100" s="313">
        <v>2.4</v>
      </c>
      <c r="F100" s="314">
        <v>7134.9</v>
      </c>
      <c r="G100" s="315">
        <v>0.26846199999999998</v>
      </c>
      <c r="H100" s="316">
        <v>2.71</v>
      </c>
      <c r="W100" s="328">
        <v>95</v>
      </c>
      <c r="X100" s="324">
        <f t="shared" si="14"/>
        <v>0.34355229999999998</v>
      </c>
      <c r="Y100" s="324">
        <f t="shared" si="15"/>
        <v>0.35082545000000004</v>
      </c>
      <c r="Z100" s="238">
        <f t="shared" si="16"/>
        <v>0.34718887500000001</v>
      </c>
      <c r="AC100" s="232">
        <v>95</v>
      </c>
      <c r="AD100" s="238">
        <f t="shared" si="17"/>
        <v>0.42150153470248974</v>
      </c>
      <c r="AE100" s="238">
        <f t="shared" si="18"/>
        <v>0.43264292760523104</v>
      </c>
      <c r="AF100" s="238">
        <f t="shared" si="20"/>
        <v>0.34393901846563824</v>
      </c>
      <c r="AG100" s="238">
        <f t="shared" si="21"/>
        <v>0.35120788379618417</v>
      </c>
      <c r="AH100" s="238">
        <f t="shared" si="19"/>
        <v>0.3475734511309112</v>
      </c>
    </row>
    <row r="101" spans="2:34" x14ac:dyDescent="0.25">
      <c r="B101" s="310">
        <v>98</v>
      </c>
      <c r="C101" s="311">
        <v>2369.9</v>
      </c>
      <c r="D101" s="312">
        <v>0.33413999999999999</v>
      </c>
      <c r="E101" s="313">
        <v>2.2400000000000002</v>
      </c>
      <c r="F101" s="314">
        <v>5219.3999999999996</v>
      </c>
      <c r="G101" s="315">
        <v>0.29207899999999998</v>
      </c>
      <c r="H101" s="316">
        <v>2.52</v>
      </c>
      <c r="W101" s="328">
        <v>96</v>
      </c>
      <c r="X101" s="324">
        <f t="shared" ref="X101:X105" si="22">D99*(1-(1-mCVDmort)*pCVD)</f>
        <v>0.36218650000000002</v>
      </c>
      <c r="Y101" s="324">
        <f t="shared" ref="Y101:Y105" si="23">G99*(1-(1-fCVDmort)*pCVD)</f>
        <v>0.37875025000000001</v>
      </c>
      <c r="Z101" s="238">
        <f t="shared" ref="Z101:Z105" si="24">pMale*X101+(1-pMale)*Y101</f>
        <v>0.37046837500000002</v>
      </c>
      <c r="AC101" s="232">
        <v>96</v>
      </c>
      <c r="AD101" s="238">
        <f t="shared" ref="AD101:AD106" si="25">IF( AND(AC101 - 0.5 &gt;= Ageyr, (AC101 - Ageyr - 0.5) &lt; maxtime, maxtime &gt; 0), (-1*(LN(1-X101)))+(AC101 - Ageyr - 0.5)/maxtime*QOFrate, (-1*(LN(1-X101)))+QOFrate)</f>
        <v>0.45029863952053123</v>
      </c>
      <c r="AE101" s="238">
        <f t="shared" ref="AE101:AE106" si="26">IF( AND(AC101 - 0.5&gt;=Ageyr, (AC101 - Ageyr -0.5) &lt; maxtime, maxtime &gt; 0), (-1*(LN(1-Y101)))+(AC101-Ageyr-0.5)/maxtime*QOFrate, (-1*(LN(1-Y101)))+QOFrate)</f>
        <v>0.47661138538608816</v>
      </c>
      <c r="AF101" s="238">
        <f t="shared" si="20"/>
        <v>0.36256224091292155</v>
      </c>
      <c r="AG101" s="238">
        <f t="shared" si="21"/>
        <v>0.3791162330784662</v>
      </c>
      <c r="AH101" s="238">
        <f t="shared" ref="AH101:AH106" si="27">pMale*AF101+(1-pMale)*AG101</f>
        <v>0.37083923699569388</v>
      </c>
    </row>
    <row r="102" spans="2:34" x14ac:dyDescent="0.25">
      <c r="B102" s="310">
        <v>99</v>
      </c>
      <c r="C102" s="311">
        <v>1578.1</v>
      </c>
      <c r="D102" s="312">
        <v>0.35137499999999999</v>
      </c>
      <c r="E102" s="313">
        <v>2.12</v>
      </c>
      <c r="F102" s="314">
        <v>3694.9</v>
      </c>
      <c r="G102" s="315">
        <v>0.31757999999999997</v>
      </c>
      <c r="H102" s="316">
        <v>2.36</v>
      </c>
      <c r="W102" s="328">
        <v>97</v>
      </c>
      <c r="X102" s="324">
        <f t="shared" si="22"/>
        <v>0.39754000000000006</v>
      </c>
      <c r="Y102" s="324">
        <f t="shared" si="23"/>
        <v>0.41611609999999999</v>
      </c>
      <c r="Z102" s="238">
        <f t="shared" si="24"/>
        <v>0.40682805</v>
      </c>
      <c r="AC102" s="232">
        <v>97</v>
      </c>
      <c r="AD102" s="238">
        <f t="shared" si="25"/>
        <v>0.50732328726295894</v>
      </c>
      <c r="AE102" s="238">
        <f t="shared" si="26"/>
        <v>0.53864239868760655</v>
      </c>
      <c r="AF102" s="238">
        <f t="shared" si="20"/>
        <v>0.39789491389003018</v>
      </c>
      <c r="AG102" s="238">
        <f t="shared" si="21"/>
        <v>0.41646007056447731</v>
      </c>
      <c r="AH102" s="238">
        <f t="shared" si="27"/>
        <v>0.40717749222725375</v>
      </c>
    </row>
    <row r="103" spans="2:34" x14ac:dyDescent="0.25">
      <c r="B103" s="317">
        <v>100</v>
      </c>
      <c r="C103" s="318">
        <v>1023.6</v>
      </c>
      <c r="D103" s="319">
        <v>0.38111800000000001</v>
      </c>
      <c r="E103" s="320">
        <v>1.99</v>
      </c>
      <c r="F103" s="321">
        <v>2521.5</v>
      </c>
      <c r="G103" s="322">
        <v>0.33549699999999999</v>
      </c>
      <c r="H103" s="323">
        <v>2.2200000000000002</v>
      </c>
      <c r="W103" s="328">
        <v>98</v>
      </c>
      <c r="X103" s="324">
        <f t="shared" si="22"/>
        <v>0.43438199999999999</v>
      </c>
      <c r="Y103" s="324">
        <f t="shared" si="23"/>
        <v>0.45272245</v>
      </c>
      <c r="Z103" s="238">
        <f t="shared" si="24"/>
        <v>0.44355222500000002</v>
      </c>
      <c r="AC103" s="232">
        <v>98</v>
      </c>
      <c r="AD103" s="238">
        <f t="shared" si="25"/>
        <v>0.5704256216953556</v>
      </c>
      <c r="AE103" s="238">
        <f t="shared" si="26"/>
        <v>0.60338848262433198</v>
      </c>
      <c r="AF103" s="238">
        <f t="shared" si="20"/>
        <v>0.43471520998016655</v>
      </c>
      <c r="AG103" s="238">
        <f t="shared" si="21"/>
        <v>0.45304485547786866</v>
      </c>
      <c r="AH103" s="238">
        <f t="shared" si="27"/>
        <v>0.4438800327290176</v>
      </c>
    </row>
    <row r="104" spans="2:34" x14ac:dyDescent="0.25">
      <c r="W104" s="328">
        <v>99</v>
      </c>
      <c r="X104" s="324">
        <f t="shared" si="22"/>
        <v>0.45678750000000001</v>
      </c>
      <c r="Y104" s="324">
        <f t="shared" si="23"/>
        <v>0.49224899999999999</v>
      </c>
      <c r="Z104" s="238">
        <f t="shared" si="24"/>
        <v>0.47451825000000003</v>
      </c>
      <c r="AC104" s="232">
        <v>99</v>
      </c>
      <c r="AD104" s="238">
        <f t="shared" si="25"/>
        <v>0.61084397262060719</v>
      </c>
      <c r="AE104" s="238">
        <f t="shared" si="26"/>
        <v>0.67835339045063825</v>
      </c>
      <c r="AF104" s="238">
        <f t="shared" si="20"/>
        <v>0.45710751072517353</v>
      </c>
      <c r="AG104" s="238">
        <f t="shared" si="21"/>
        <v>0.4925481200786388</v>
      </c>
      <c r="AH104" s="238">
        <f t="shared" si="27"/>
        <v>0.47482781540190616</v>
      </c>
    </row>
    <row r="105" spans="2:34" x14ac:dyDescent="0.25">
      <c r="W105" s="328">
        <v>100</v>
      </c>
      <c r="X105" s="324">
        <f t="shared" si="22"/>
        <v>0.49545340000000004</v>
      </c>
      <c r="Y105" s="324">
        <f t="shared" si="23"/>
        <v>0.52002035000000002</v>
      </c>
      <c r="Z105" s="238">
        <f t="shared" si="24"/>
        <v>0.50773687499999998</v>
      </c>
      <c r="AC105" s="232">
        <v>100</v>
      </c>
      <c r="AD105" s="238">
        <f t="shared" si="25"/>
        <v>0.68468435617255619</v>
      </c>
      <c r="AE105" s="238">
        <f t="shared" si="26"/>
        <v>0.73460085321248436</v>
      </c>
      <c r="AF105" s="238">
        <f t="shared" si="20"/>
        <v>0.49575063234157879</v>
      </c>
      <c r="AG105" s="238">
        <f t="shared" si="21"/>
        <v>0.5203031097595141</v>
      </c>
      <c r="AH105" s="238">
        <f t="shared" si="27"/>
        <v>0.50802687105054645</v>
      </c>
    </row>
    <row r="106" spans="2:34" x14ac:dyDescent="0.25">
      <c r="W106" s="332">
        <v>101</v>
      </c>
      <c r="X106" s="325">
        <v>1</v>
      </c>
      <c r="Y106" s="326">
        <v>1</v>
      </c>
      <c r="Z106" s="239">
        <v>1</v>
      </c>
      <c r="AC106" s="96">
        <v>101</v>
      </c>
      <c r="AD106" s="238" t="e">
        <f t="shared" si="25"/>
        <v>#NUM!</v>
      </c>
      <c r="AE106" s="238" t="e">
        <f t="shared" si="26"/>
        <v>#NUM!</v>
      </c>
      <c r="AF106" s="239">
        <v>1</v>
      </c>
      <c r="AG106" s="239">
        <v>1</v>
      </c>
      <c r="AH106" s="239">
        <f t="shared" si="27"/>
        <v>1</v>
      </c>
    </row>
  </sheetData>
  <mergeCells count="3">
    <mergeCell ref="X3:Z3"/>
    <mergeCell ref="AD3:AH3"/>
    <mergeCell ref="B1:B2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3:L16"/>
  <sheetViews>
    <sheetView zoomScaleNormal="100" workbookViewId="0">
      <selection activeCell="C17" sqref="C17"/>
    </sheetView>
  </sheetViews>
  <sheetFormatPr defaultColWidth="8.85546875" defaultRowHeight="15" x14ac:dyDescent="0.25"/>
  <cols>
    <col min="1" max="1" width="8.85546875" style="5"/>
    <col min="2" max="2" width="9.85546875" style="5" customWidth="1"/>
    <col min="3" max="3" width="19.85546875" style="5" customWidth="1"/>
    <col min="4" max="4" width="18.140625" style="5" customWidth="1"/>
    <col min="5" max="5" width="17.28515625" style="5" customWidth="1"/>
    <col min="6" max="6" width="16.28515625" style="5" customWidth="1"/>
    <col min="7" max="7" width="16.85546875" style="5" customWidth="1"/>
    <col min="8" max="8" width="18.28515625" style="5" customWidth="1"/>
    <col min="9" max="9" width="14" style="5" customWidth="1"/>
    <col min="10" max="10" width="13.5703125" style="5" customWidth="1"/>
    <col min="11" max="11" width="8.85546875" style="5"/>
    <col min="12" max="12" width="14.28515625" style="5" bestFit="1" customWidth="1"/>
    <col min="13" max="16384" width="8.85546875" style="5"/>
  </cols>
  <sheetData>
    <row r="3" spans="2:12" x14ac:dyDescent="0.25">
      <c r="B3" s="255"/>
      <c r="C3" s="256" t="s">
        <v>40</v>
      </c>
      <c r="D3" s="256" t="s">
        <v>15</v>
      </c>
      <c r="E3" s="256" t="s">
        <v>41</v>
      </c>
      <c r="F3" s="256" t="s">
        <v>42</v>
      </c>
      <c r="G3" s="256" t="s">
        <v>43</v>
      </c>
      <c r="H3" s="256" t="s">
        <v>44</v>
      </c>
      <c r="I3" s="256" t="s">
        <v>45</v>
      </c>
      <c r="J3" s="256" t="s">
        <v>353</v>
      </c>
      <c r="L3" s="5" t="s">
        <v>355</v>
      </c>
    </row>
    <row r="4" spans="2:12" ht="15.75" thickBot="1" x14ac:dyDescent="0.3">
      <c r="B4" s="253" t="s">
        <v>37</v>
      </c>
      <c r="C4" s="248">
        <f>cells!D4</f>
        <v>78805931.197819114</v>
      </c>
      <c r="D4" s="248">
        <f>cells!E4</f>
        <v>59562301.313592792</v>
      </c>
      <c r="E4" s="248">
        <f>cells!F4</f>
        <v>0</v>
      </c>
      <c r="F4" s="248">
        <f>cells!G4</f>
        <v>52426797.464991793</v>
      </c>
      <c r="G4" s="248">
        <f>cells!H4</f>
        <v>39966375.299194217</v>
      </c>
      <c r="H4" s="248">
        <f>cells!I4</f>
        <v>0</v>
      </c>
      <c r="I4" s="249" t="s">
        <v>46</v>
      </c>
      <c r="J4" s="373" t="s">
        <v>46</v>
      </c>
      <c r="L4" s="86">
        <f>G4-H4/WTP</f>
        <v>39966375.299194217</v>
      </c>
    </row>
    <row r="5" spans="2:12" ht="15.75" thickBot="1" x14ac:dyDescent="0.3">
      <c r="B5" s="253" t="s">
        <v>38</v>
      </c>
      <c r="C5" s="248">
        <f>cells!D5</f>
        <v>79433681.344704553</v>
      </c>
      <c r="D5" s="248">
        <f>cells!E5</f>
        <v>60237415.691842586</v>
      </c>
      <c r="E5" s="248">
        <f>cells!F5</f>
        <v>25881916783.639214</v>
      </c>
      <c r="F5" s="248">
        <f>cells!G5</f>
        <v>52750331.189939044</v>
      </c>
      <c r="G5" s="248">
        <f>cells!H5</f>
        <v>40316707.486213535</v>
      </c>
      <c r="H5" s="248">
        <f>cells!I5</f>
        <v>17293239871.894897</v>
      </c>
      <c r="I5" s="87">
        <f>H6/G6</f>
        <v>49362.406631912752</v>
      </c>
      <c r="J5" s="87">
        <f>G6-(H6/WTP)</f>
        <v>-226109.14204384491</v>
      </c>
      <c r="L5" s="370">
        <f>G5-H5/WTP</f>
        <v>39740266.157150373</v>
      </c>
    </row>
    <row r="6" spans="2:12" x14ac:dyDescent="0.25">
      <c r="B6" s="254" t="s">
        <v>39</v>
      </c>
      <c r="C6" s="251">
        <f>C5-C4</f>
        <v>627750.14688543975</v>
      </c>
      <c r="D6" s="251">
        <f t="shared" ref="D6:H6" si="0">D5-D4</f>
        <v>675114.37824979424</v>
      </c>
      <c r="E6" s="251">
        <f>E5-E4</f>
        <v>25881916783.639214</v>
      </c>
      <c r="F6" s="251">
        <f>F5-F4</f>
        <v>323533.72494725138</v>
      </c>
      <c r="G6" s="251">
        <f t="shared" si="0"/>
        <v>350332.18701931834</v>
      </c>
      <c r="H6" s="251">
        <f t="shared" si="0"/>
        <v>17293239871.894897</v>
      </c>
      <c r="I6" s="252" t="s">
        <v>46</v>
      </c>
      <c r="J6" s="373" t="s">
        <v>46</v>
      </c>
      <c r="L6" s="374">
        <f>L5-L4</f>
        <v>-226109.14204384387</v>
      </c>
    </row>
    <row r="10" spans="2:12" x14ac:dyDescent="0.25">
      <c r="C10" s="5" t="s">
        <v>170</v>
      </c>
      <c r="D10" s="370">
        <f>G6*WTP-H6</f>
        <v>-6783274261.3153477</v>
      </c>
    </row>
    <row r="15" spans="2:12" ht="15.75" thickBot="1" x14ac:dyDescent="0.3">
      <c r="D15" s="5" t="s">
        <v>344</v>
      </c>
      <c r="E15" s="5" t="s">
        <v>343</v>
      </c>
      <c r="F15" s="5" t="s">
        <v>342</v>
      </c>
    </row>
    <row r="16" spans="2:12" ht="15.75" thickBot="1" x14ac:dyDescent="0.3">
      <c r="D16" s="87">
        <v>-226109</v>
      </c>
      <c r="E16" s="87">
        <v>-514330</v>
      </c>
      <c r="F16" s="87">
        <v>-979917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T154"/>
  <sheetViews>
    <sheetView topLeftCell="A7" workbookViewId="0">
      <selection activeCell="C30" sqref="C30:C49"/>
    </sheetView>
  </sheetViews>
  <sheetFormatPr defaultColWidth="8.85546875" defaultRowHeight="15" x14ac:dyDescent="0.25"/>
  <cols>
    <col min="1" max="1" width="8.85546875" style="5"/>
    <col min="2" max="2" width="14.140625" style="5" customWidth="1"/>
    <col min="3" max="3" width="23.28515625" style="5" customWidth="1"/>
    <col min="4" max="4" width="14.7109375" style="5" customWidth="1"/>
    <col min="5" max="5" width="8.85546875" style="5"/>
    <col min="6" max="6" width="11.85546875" style="5" customWidth="1"/>
    <col min="7" max="8" width="15.28515625" style="5" customWidth="1"/>
    <col min="9" max="10" width="10.28515625" style="5" customWidth="1"/>
    <col min="11" max="11" width="10.7109375" style="5" customWidth="1"/>
    <col min="12" max="12" width="8.85546875" style="5"/>
    <col min="13" max="13" width="15" style="5" customWidth="1"/>
    <col min="14" max="14" width="15.28515625" style="5" customWidth="1"/>
    <col min="15" max="16" width="8.85546875" style="5"/>
    <col min="17" max="17" width="13.28515625" style="5" bestFit="1" customWidth="1"/>
    <col min="18" max="18" width="16" style="5" customWidth="1"/>
    <col min="19" max="23" width="13.28515625" style="5" bestFit="1" customWidth="1"/>
    <col min="24" max="24" width="11.7109375" style="5" bestFit="1" customWidth="1"/>
    <col min="25" max="30" width="11.28515625" style="5" bestFit="1" customWidth="1"/>
    <col min="31" max="16384" width="8.85546875" style="5"/>
  </cols>
  <sheetData>
    <row r="1" spans="2:18" x14ac:dyDescent="0.25">
      <c r="B1" s="303"/>
    </row>
    <row r="2" spans="2:18" x14ac:dyDescent="0.25">
      <c r="B2" s="306"/>
    </row>
    <row r="3" spans="2:18" x14ac:dyDescent="0.25"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</row>
    <row r="4" spans="2:18" ht="12.95" customHeight="1" x14ac:dyDescent="0.25">
      <c r="B4" s="243" t="s">
        <v>83</v>
      </c>
      <c r="C4" s="243" t="s">
        <v>84</v>
      </c>
      <c r="D4" s="243" t="s">
        <v>85</v>
      </c>
      <c r="F4" s="309"/>
      <c r="G4" s="307" t="s">
        <v>22</v>
      </c>
      <c r="H4" s="308"/>
      <c r="I4" s="309"/>
      <c r="J4" s="307" t="s">
        <v>23</v>
      </c>
      <c r="K4" s="308"/>
      <c r="L4" s="308"/>
      <c r="O4" s="5" t="s">
        <v>128</v>
      </c>
      <c r="P4" s="5" t="s">
        <v>129</v>
      </c>
    </row>
    <row r="5" spans="2:18" x14ac:dyDescent="0.25">
      <c r="B5" s="89" t="s">
        <v>86</v>
      </c>
      <c r="C5" s="6"/>
      <c r="D5" s="6"/>
      <c r="F5" s="241"/>
      <c r="G5" s="245" t="s">
        <v>103</v>
      </c>
      <c r="H5" s="245" t="s">
        <v>104</v>
      </c>
      <c r="I5" s="241" t="s">
        <v>105</v>
      </c>
      <c r="J5" s="245" t="s">
        <v>103</v>
      </c>
      <c r="K5" s="245" t="s">
        <v>104</v>
      </c>
      <c r="L5" s="245" t="s">
        <v>105</v>
      </c>
      <c r="M5" s="5" t="s">
        <v>18</v>
      </c>
      <c r="N5" s="5" t="s">
        <v>31</v>
      </c>
      <c r="O5" s="5" t="s">
        <v>57</v>
      </c>
      <c r="P5" s="5" t="s">
        <v>57</v>
      </c>
      <c r="Q5" s="5" t="s">
        <v>108</v>
      </c>
      <c r="R5" s="5" t="s">
        <v>109</v>
      </c>
    </row>
    <row r="6" spans="2:18" ht="15.75" thickBot="1" x14ac:dyDescent="0.3">
      <c r="B6" s="89" t="s">
        <v>87</v>
      </c>
      <c r="C6" s="6">
        <v>1964097</v>
      </c>
      <c r="D6" s="6">
        <v>1579</v>
      </c>
      <c r="F6" s="232" t="s">
        <v>106</v>
      </c>
      <c r="G6" s="226">
        <f>SUM(C7,C10,C13,C16,C19,C22,C25,C28)</f>
        <v>16361198</v>
      </c>
      <c r="H6" s="227">
        <f>100000*((SUM(D7,D10,D13,D16,D19,D22,D25,D28)/G6))</f>
        <v>58.803762413974816</v>
      </c>
      <c r="I6" s="233">
        <f t="shared" ref="I6:I13" si="0">G6/SUM(G$6:G$13)</f>
        <v>0.5520925644313347</v>
      </c>
      <c r="J6" s="226">
        <f>SUM(C6,C9,C12,C15,C18,C21,C24,C27)</f>
        <v>15953281</v>
      </c>
      <c r="K6" s="227">
        <f>100000*((SUM(D6,D9,D12,D15,D18,D21,D24,D27))/J6)</f>
        <v>35.616497947976974</v>
      </c>
      <c r="L6" s="228">
        <f t="shared" ref="L6:L13" si="1">J6/SUM(J$6:J$13)</f>
        <v>0.53623646613317799</v>
      </c>
      <c r="M6" s="91" t="s">
        <v>106</v>
      </c>
      <c r="N6" s="92">
        <f>G6/(G6+J6)</f>
        <v>0.50631167533290578</v>
      </c>
      <c r="O6" s="97" t="s">
        <v>46</v>
      </c>
      <c r="P6" s="97" t="s">
        <v>46</v>
      </c>
      <c r="Q6" s="97" t="s">
        <v>46</v>
      </c>
      <c r="R6" s="97" t="s">
        <v>46</v>
      </c>
    </row>
    <row r="7" spans="2:18" x14ac:dyDescent="0.25">
      <c r="B7" s="89" t="s">
        <v>88</v>
      </c>
      <c r="C7" s="6">
        <v>2062546</v>
      </c>
      <c r="D7" s="6">
        <v>1946</v>
      </c>
      <c r="F7" s="232" t="s">
        <v>96</v>
      </c>
      <c r="G7" s="226">
        <f>C31</f>
        <v>2171211</v>
      </c>
      <c r="H7" s="227">
        <f>100000*(D31/G7)</f>
        <v>177.55068484822527</v>
      </c>
      <c r="I7" s="233">
        <f t="shared" si="0"/>
        <v>7.326538367859875E-2</v>
      </c>
      <c r="J7" s="226">
        <f>C30</f>
        <v>2219295</v>
      </c>
      <c r="K7" s="227">
        <f>100000*(D30/J7)</f>
        <v>111.38672416240293</v>
      </c>
      <c r="L7" s="228">
        <f t="shared" si="1"/>
        <v>7.459700033535617E-2</v>
      </c>
      <c r="M7" s="104" t="s">
        <v>96</v>
      </c>
      <c r="N7" s="101">
        <f t="shared" ref="N7:N13" si="2">G7/(G7+J7)</f>
        <v>0.49452409357828003</v>
      </c>
      <c r="O7" s="98">
        <f t="shared" ref="O7:P11" si="3">O$17</f>
        <v>0.14599999999999999</v>
      </c>
      <c r="P7" s="98">
        <f t="shared" si="3"/>
        <v>8.4000000000000005E-2</v>
      </c>
      <c r="Q7" s="107">
        <f>O7*G7+P7*J7</f>
        <v>503417.58600000001</v>
      </c>
      <c r="R7" s="112">
        <f>(G7+J7)-Q7</f>
        <v>3887088.4139999999</v>
      </c>
    </row>
    <row r="8" spans="2:18" x14ac:dyDescent="0.25">
      <c r="B8" s="89" t="s">
        <v>89</v>
      </c>
      <c r="C8" s="6"/>
      <c r="D8" s="6"/>
      <c r="F8" s="232" t="s">
        <v>97</v>
      </c>
      <c r="G8" s="226">
        <f>C34</f>
        <v>2302640</v>
      </c>
      <c r="H8" s="227">
        <f>100000*(D34/G8)</f>
        <v>257.61734357085777</v>
      </c>
      <c r="I8" s="233">
        <f t="shared" si="0"/>
        <v>7.7700326257415159E-2</v>
      </c>
      <c r="J8" s="226">
        <f>C33</f>
        <v>2369887</v>
      </c>
      <c r="K8" s="227">
        <f>100000*(D33/J8)</f>
        <v>161.4422966158302</v>
      </c>
      <c r="L8" s="228">
        <f t="shared" si="1"/>
        <v>7.9658838204815591E-2</v>
      </c>
      <c r="M8" s="105" t="s">
        <v>97</v>
      </c>
      <c r="N8" s="102">
        <f t="shared" si="2"/>
        <v>0.49280400091856075</v>
      </c>
      <c r="O8" s="99">
        <f t="shared" si="3"/>
        <v>0.14599999999999999</v>
      </c>
      <c r="P8" s="99">
        <f t="shared" si="3"/>
        <v>8.4000000000000005E-2</v>
      </c>
      <c r="Q8" s="108">
        <f t="shared" ref="Q8:Q13" si="4">O8*G8+P8*J8</f>
        <v>535255.94799999997</v>
      </c>
      <c r="R8" s="109">
        <f t="shared" ref="R8:R13" si="5">(G8+J8)-Q8</f>
        <v>4137271.0520000001</v>
      </c>
    </row>
    <row r="9" spans="2:18" x14ac:dyDescent="0.25">
      <c r="B9" s="89" t="s">
        <v>87</v>
      </c>
      <c r="C9" s="6">
        <v>1883885</v>
      </c>
      <c r="D9" s="6">
        <v>143</v>
      </c>
      <c r="F9" s="232" t="s">
        <v>98</v>
      </c>
      <c r="G9" s="226">
        <f>C37</f>
        <v>2202455</v>
      </c>
      <c r="H9" s="227">
        <f>100000*(D37/G9)</f>
        <v>372.62963374961123</v>
      </c>
      <c r="I9" s="233">
        <f t="shared" si="0"/>
        <v>7.4319681785809028E-2</v>
      </c>
      <c r="J9" s="226">
        <f>C36</f>
        <v>2255562</v>
      </c>
      <c r="K9" s="227">
        <f>100000*(D36/J9)</f>
        <v>251.33425727158024</v>
      </c>
      <c r="L9" s="228">
        <f t="shared" si="1"/>
        <v>7.5816040350839622E-2</v>
      </c>
      <c r="M9" s="105" t="s">
        <v>98</v>
      </c>
      <c r="N9" s="102">
        <f t="shared" si="2"/>
        <v>0.49404365214399137</v>
      </c>
      <c r="O9" s="99">
        <f t="shared" si="3"/>
        <v>0.14599999999999999</v>
      </c>
      <c r="P9" s="99">
        <f t="shared" si="3"/>
        <v>8.4000000000000005E-2</v>
      </c>
      <c r="Q9" s="108">
        <f t="shared" si="4"/>
        <v>511025.63800000004</v>
      </c>
      <c r="R9" s="109">
        <f t="shared" si="5"/>
        <v>3946991.3619999997</v>
      </c>
    </row>
    <row r="10" spans="2:18" x14ac:dyDescent="0.25">
      <c r="B10" s="89" t="s">
        <v>88</v>
      </c>
      <c r="C10" s="6">
        <v>1975239</v>
      </c>
      <c r="D10" s="6">
        <v>184</v>
      </c>
      <c r="F10" s="232" t="s">
        <v>99</v>
      </c>
      <c r="G10" s="226">
        <f>C40</f>
        <v>1897557</v>
      </c>
      <c r="H10" s="227">
        <f>100000*(D40/G10)</f>
        <v>592.81486669438652</v>
      </c>
      <c r="I10" s="233">
        <f t="shared" si="0"/>
        <v>6.4031198099590875E-2</v>
      </c>
      <c r="J10" s="226">
        <f>C39</f>
        <v>1945317</v>
      </c>
      <c r="K10" s="227">
        <f>100000*(D39/J10)</f>
        <v>393.14929134943043</v>
      </c>
      <c r="L10" s="228">
        <f t="shared" si="1"/>
        <v>6.538779788237889E-2</v>
      </c>
      <c r="M10" s="105" t="s">
        <v>99</v>
      </c>
      <c r="N10" s="102">
        <f t="shared" si="2"/>
        <v>0.49378590086482149</v>
      </c>
      <c r="O10" s="99">
        <f t="shared" si="3"/>
        <v>0.14599999999999999</v>
      </c>
      <c r="P10" s="99">
        <f t="shared" si="3"/>
        <v>8.4000000000000005E-2</v>
      </c>
      <c r="Q10" s="108">
        <f t="shared" si="4"/>
        <v>440449.94999999995</v>
      </c>
      <c r="R10" s="109">
        <f t="shared" si="5"/>
        <v>3402424.05</v>
      </c>
    </row>
    <row r="11" spans="2:18" x14ac:dyDescent="0.25">
      <c r="B11" s="89" t="s">
        <v>90</v>
      </c>
      <c r="C11" s="6"/>
      <c r="D11" s="6"/>
      <c r="F11" s="232" t="s">
        <v>100</v>
      </c>
      <c r="G11" s="226">
        <f>C43</f>
        <v>1718792</v>
      </c>
      <c r="H11" s="227">
        <f>100000*(D43/G11)</f>
        <v>959.10383571717819</v>
      </c>
      <c r="I11" s="233">
        <f t="shared" si="0"/>
        <v>5.7998948671366402E-2</v>
      </c>
      <c r="J11" s="226">
        <f>C42</f>
        <v>1792797</v>
      </c>
      <c r="K11" s="227">
        <f>100000*(D42/J11)</f>
        <v>626.00506359615724</v>
      </c>
      <c r="L11" s="228">
        <f t="shared" si="1"/>
        <v>6.0261154290090116E-2</v>
      </c>
      <c r="M11" s="105" t="s">
        <v>100</v>
      </c>
      <c r="N11" s="102">
        <f t="shared" si="2"/>
        <v>0.48946274749123547</v>
      </c>
      <c r="O11" s="99">
        <f t="shared" si="3"/>
        <v>0.14599999999999999</v>
      </c>
      <c r="P11" s="99">
        <f t="shared" si="3"/>
        <v>8.4000000000000005E-2</v>
      </c>
      <c r="Q11" s="108">
        <f t="shared" si="4"/>
        <v>401538.57999999996</v>
      </c>
      <c r="R11" s="109">
        <f t="shared" si="5"/>
        <v>3110050.42</v>
      </c>
    </row>
    <row r="12" spans="2:18" x14ac:dyDescent="0.25">
      <c r="B12" s="89" t="s">
        <v>87</v>
      </c>
      <c r="C12" s="6">
        <v>1718946</v>
      </c>
      <c r="D12" s="6">
        <v>137</v>
      </c>
      <c r="F12" s="232" t="s">
        <v>101</v>
      </c>
      <c r="G12" s="226">
        <f>C46</f>
        <v>1730893</v>
      </c>
      <c r="H12" s="227">
        <f>100000*(D46/G12)</f>
        <v>1454.9137352799971</v>
      </c>
      <c r="I12" s="233">
        <f t="shared" si="0"/>
        <v>5.8407285036599775E-2</v>
      </c>
      <c r="J12" s="226">
        <f>C45</f>
        <v>1830895</v>
      </c>
      <c r="K12" s="227">
        <f>100000*(D45/J12)</f>
        <v>942.76296565340999</v>
      </c>
      <c r="L12" s="228">
        <f t="shared" si="1"/>
        <v>6.1541739574505386E-2</v>
      </c>
      <c r="M12" s="105" t="s">
        <v>101</v>
      </c>
      <c r="N12" s="102">
        <f t="shared" si="2"/>
        <v>0.48596182591440029</v>
      </c>
      <c r="O12" s="99">
        <f>O$18</f>
        <v>0.28499999999999998</v>
      </c>
      <c r="P12" s="99">
        <f>P$18</f>
        <v>0.22500000000000001</v>
      </c>
      <c r="Q12" s="108">
        <f>O12*G12+P12*J12</f>
        <v>905255.87999999989</v>
      </c>
      <c r="R12" s="109">
        <f t="shared" si="5"/>
        <v>2656532.12</v>
      </c>
    </row>
    <row r="13" spans="2:18" ht="15.75" thickBot="1" x14ac:dyDescent="0.3">
      <c r="B13" s="89" t="s">
        <v>88</v>
      </c>
      <c r="C13" s="6">
        <v>1803011</v>
      </c>
      <c r="D13" s="6">
        <v>201</v>
      </c>
      <c r="F13" s="232" t="s">
        <v>102</v>
      </c>
      <c r="G13" s="226">
        <f>C49</f>
        <v>1250136</v>
      </c>
      <c r="H13" s="227">
        <f>100000*(D49/G13)</f>
        <v>2423.8162887877797</v>
      </c>
      <c r="I13" s="233">
        <f t="shared" si="0"/>
        <v>4.2184612039285328E-2</v>
      </c>
      <c r="J13" s="226">
        <f>C48</f>
        <v>1383425</v>
      </c>
      <c r="K13" s="227">
        <f>100000*(D48/J13)</f>
        <v>1609.8451307443484</v>
      </c>
      <c r="L13" s="228">
        <f t="shared" si="1"/>
        <v>4.6500963228836234E-2</v>
      </c>
      <c r="M13" s="106" t="s">
        <v>102</v>
      </c>
      <c r="N13" s="103">
        <f t="shared" si="2"/>
        <v>0.4746941498602083</v>
      </c>
      <c r="O13" s="100">
        <f>O$18</f>
        <v>0.28499999999999998</v>
      </c>
      <c r="P13" s="100">
        <f>P$18</f>
        <v>0.22500000000000001</v>
      </c>
      <c r="Q13" s="110">
        <f t="shared" si="4"/>
        <v>667559.38500000001</v>
      </c>
      <c r="R13" s="111">
        <f t="shared" si="5"/>
        <v>1966001.615</v>
      </c>
    </row>
    <row r="14" spans="2:18" x14ac:dyDescent="0.25">
      <c r="B14" s="89" t="s">
        <v>91</v>
      </c>
      <c r="C14" s="6"/>
      <c r="D14" s="6"/>
      <c r="F14" s="232"/>
      <c r="G14" s="225"/>
      <c r="H14" s="225"/>
      <c r="I14" s="232"/>
      <c r="J14" s="225"/>
      <c r="K14" s="225"/>
      <c r="L14" s="229"/>
    </row>
    <row r="15" spans="2:18" x14ac:dyDescent="0.25">
      <c r="B15" s="89" t="s">
        <v>87</v>
      </c>
      <c r="C15" s="6">
        <v>1874761</v>
      </c>
      <c r="D15" s="6">
        <v>338</v>
      </c>
      <c r="F15" s="96"/>
      <c r="G15" s="9" t="s">
        <v>107</v>
      </c>
      <c r="H15" s="234">
        <f>SUMPRODUCT(H6:H13,I6:I13)</f>
        <v>373.99507782754119</v>
      </c>
      <c r="I15" s="96"/>
      <c r="J15" s="9"/>
      <c r="K15" s="9" t="s">
        <v>107</v>
      </c>
      <c r="L15" s="230">
        <f>SUMPRODUCT(K6:K13,L6:L13)</f>
        <v>255.63303073744174</v>
      </c>
      <c r="N15" s="5" t="s">
        <v>130</v>
      </c>
    </row>
    <row r="16" spans="2:18" x14ac:dyDescent="0.25">
      <c r="B16" s="89" t="s">
        <v>88</v>
      </c>
      <c r="C16" s="6">
        <v>1977501</v>
      </c>
      <c r="D16" s="6">
        <v>615</v>
      </c>
      <c r="N16" s="96"/>
      <c r="O16" s="4" t="s">
        <v>128</v>
      </c>
      <c r="P16" s="4" t="s">
        <v>129</v>
      </c>
    </row>
    <row r="17" spans="2:20" x14ac:dyDescent="0.25">
      <c r="B17" s="89" t="s">
        <v>92</v>
      </c>
      <c r="C17" s="6"/>
      <c r="D17" s="6"/>
      <c r="N17" s="4" t="s">
        <v>115</v>
      </c>
      <c r="O17" s="4">
        <f>'CVD prev and nonfatal effects'!T21/100</f>
        <v>0.14599999999999999</v>
      </c>
      <c r="P17" s="4">
        <f>'CVD prev and nonfatal effects'!T52/100</f>
        <v>8.4000000000000005E-2</v>
      </c>
    </row>
    <row r="18" spans="2:20" x14ac:dyDescent="0.25">
      <c r="B18" s="89" t="s">
        <v>87</v>
      </c>
      <c r="C18" s="6">
        <v>2118899</v>
      </c>
      <c r="D18" s="6">
        <v>484</v>
      </c>
      <c r="N18" s="4" t="s">
        <v>116</v>
      </c>
      <c r="O18" s="4">
        <f>'CVD prev and nonfatal effects'!T22/100</f>
        <v>0.28499999999999998</v>
      </c>
      <c r="P18" s="4">
        <f>'CVD prev and nonfatal effects'!T53/100</f>
        <v>0.22500000000000001</v>
      </c>
    </row>
    <row r="19" spans="2:20" x14ac:dyDescent="0.25">
      <c r="B19" s="89" t="s">
        <v>88</v>
      </c>
      <c r="C19" s="6">
        <v>2194260</v>
      </c>
      <c r="D19" s="6">
        <v>1121</v>
      </c>
    </row>
    <row r="20" spans="2:20" x14ac:dyDescent="0.25">
      <c r="B20" s="89" t="s">
        <v>93</v>
      </c>
      <c r="C20" s="6"/>
      <c r="D20" s="6"/>
    </row>
    <row r="21" spans="2:20" x14ac:dyDescent="0.25">
      <c r="B21" s="89" t="s">
        <v>87</v>
      </c>
      <c r="C21" s="6">
        <v>2194269</v>
      </c>
      <c r="D21" s="6">
        <v>639</v>
      </c>
    </row>
    <row r="22" spans="2:20" x14ac:dyDescent="0.25">
      <c r="B22" s="89" t="s">
        <v>88</v>
      </c>
      <c r="C22" s="6">
        <v>2196758</v>
      </c>
      <c r="D22" s="6">
        <v>1398</v>
      </c>
    </row>
    <row r="23" spans="2:20" x14ac:dyDescent="0.25">
      <c r="B23" s="89" t="s">
        <v>94</v>
      </c>
      <c r="C23" s="6"/>
      <c r="D23" s="6"/>
      <c r="F23" s="344" t="s">
        <v>283</v>
      </c>
      <c r="G23" s="345"/>
      <c r="H23" s="345"/>
      <c r="I23" s="345"/>
      <c r="J23" s="345"/>
      <c r="K23" s="345"/>
      <c r="L23" s="345"/>
      <c r="M23" s="345"/>
      <c r="N23" s="345"/>
      <c r="O23" s="345"/>
      <c r="P23" s="345"/>
      <c r="Q23" s="345"/>
      <c r="R23" s="345"/>
      <c r="S23" s="345"/>
      <c r="T23" s="346"/>
    </row>
    <row r="24" spans="2:20" x14ac:dyDescent="0.25">
      <c r="B24" s="89" t="s">
        <v>87</v>
      </c>
      <c r="C24" s="6">
        <v>2193054</v>
      </c>
      <c r="D24" s="6">
        <v>995</v>
      </c>
      <c r="F24" s="144" t="s">
        <v>131</v>
      </c>
      <c r="G24" s="145">
        <v>1</v>
      </c>
      <c r="H24" s="145">
        <v>2</v>
      </c>
      <c r="I24" s="145">
        <v>3</v>
      </c>
      <c r="J24" s="145">
        <v>4</v>
      </c>
      <c r="K24" s="145">
        <v>5</v>
      </c>
      <c r="L24" s="145">
        <v>6</v>
      </c>
      <c r="M24" s="145">
        <v>7</v>
      </c>
      <c r="N24" s="145">
        <v>8</v>
      </c>
      <c r="O24" s="145">
        <v>9</v>
      </c>
      <c r="P24" s="145">
        <v>10</v>
      </c>
      <c r="Q24" s="145">
        <v>11</v>
      </c>
      <c r="R24" s="145">
        <v>12</v>
      </c>
      <c r="S24" s="145">
        <v>13</v>
      </c>
      <c r="T24" s="146">
        <v>14</v>
      </c>
    </row>
    <row r="25" spans="2:20" x14ac:dyDescent="0.25">
      <c r="B25" s="89" t="s">
        <v>88</v>
      </c>
      <c r="C25" s="6">
        <v>2163141</v>
      </c>
      <c r="D25" s="6">
        <v>1767</v>
      </c>
      <c r="F25" s="127" t="s">
        <v>55</v>
      </c>
      <c r="G25" s="128">
        <v>5</v>
      </c>
      <c r="H25" s="128">
        <v>12</v>
      </c>
      <c r="I25" s="128">
        <v>17</v>
      </c>
      <c r="J25" s="128">
        <v>22</v>
      </c>
      <c r="K25" s="128">
        <v>27</v>
      </c>
      <c r="L25" s="128">
        <v>32</v>
      </c>
      <c r="M25" s="128">
        <v>37</v>
      </c>
      <c r="N25" s="128">
        <v>42</v>
      </c>
      <c r="O25" s="128">
        <v>47</v>
      </c>
      <c r="P25" s="128">
        <v>52</v>
      </c>
      <c r="Q25" s="128">
        <v>57</v>
      </c>
      <c r="R25" s="128">
        <v>62</v>
      </c>
      <c r="S25" s="128">
        <v>67</v>
      </c>
      <c r="T25" s="129">
        <v>72</v>
      </c>
    </row>
    <row r="26" spans="2:20" x14ac:dyDescent="0.25">
      <c r="B26" s="89" t="s">
        <v>95</v>
      </c>
      <c r="C26" s="6"/>
      <c r="D26" s="6"/>
      <c r="F26" s="127" t="s">
        <v>56</v>
      </c>
      <c r="G26" s="149">
        <f>(SUM(C7,C10))/G29</f>
        <v>0.5120345300590291</v>
      </c>
      <c r="H26" s="149">
        <f>C13/H29</f>
        <v>0.51193441600791834</v>
      </c>
      <c r="I26" s="149">
        <f>C16/I29</f>
        <v>0.51333502238425111</v>
      </c>
      <c r="J26" s="149">
        <f>C19/J29</f>
        <v>0.50873617225796686</v>
      </c>
      <c r="K26" s="149">
        <f>C22/K29</f>
        <v>0.50028341889038719</v>
      </c>
      <c r="L26" s="149">
        <f>C25/L29</f>
        <v>0.49656661375351652</v>
      </c>
      <c r="M26" s="149">
        <f>C28/M29</f>
        <v>0.4979184359377003</v>
      </c>
      <c r="N26" s="149">
        <f>C31/N29</f>
        <v>0.49452409357828003</v>
      </c>
      <c r="O26" s="149">
        <f>C34/O29</f>
        <v>0.49280400091856075</v>
      </c>
      <c r="P26" s="149">
        <f>C37/P29</f>
        <v>0.49404365214399137</v>
      </c>
      <c r="Q26" s="149">
        <f>C40/Q29</f>
        <v>0.49378590086482149</v>
      </c>
      <c r="R26" s="149">
        <f>C43/R29</f>
        <v>0.48946274749123547</v>
      </c>
      <c r="S26" s="149">
        <f>C46/S29</f>
        <v>0.48596182591440029</v>
      </c>
      <c r="T26" s="150">
        <f>C49/T29</f>
        <v>0.4746941498602083</v>
      </c>
    </row>
    <row r="27" spans="2:20" x14ac:dyDescent="0.25">
      <c r="B27" s="89" t="s">
        <v>87</v>
      </c>
      <c r="C27" s="6">
        <v>2005370</v>
      </c>
      <c r="D27" s="6">
        <v>1367</v>
      </c>
      <c r="F27" s="127" t="s">
        <v>57</v>
      </c>
      <c r="G27" s="128">
        <v>0</v>
      </c>
      <c r="H27" s="128">
        <v>0</v>
      </c>
      <c r="I27" s="128">
        <v>0</v>
      </c>
      <c r="J27" s="128">
        <v>0</v>
      </c>
      <c r="K27" s="128">
        <v>0</v>
      </c>
      <c r="L27" s="128">
        <v>0</v>
      </c>
      <c r="M27" s="128">
        <v>0</v>
      </c>
      <c r="N27" s="128">
        <v>0</v>
      </c>
      <c r="O27" s="128">
        <v>0</v>
      </c>
      <c r="P27" s="128">
        <v>0</v>
      </c>
      <c r="Q27" s="128">
        <v>0</v>
      </c>
      <c r="R27" s="128">
        <v>0</v>
      </c>
      <c r="S27" s="128">
        <v>0</v>
      </c>
      <c r="T27" s="129">
        <v>0</v>
      </c>
    </row>
    <row r="28" spans="2:20" x14ac:dyDescent="0.25">
      <c r="B28" s="89" t="s">
        <v>88</v>
      </c>
      <c r="C28" s="6">
        <v>1988742</v>
      </c>
      <c r="D28" s="6">
        <v>2389</v>
      </c>
      <c r="F28" s="127" t="s">
        <v>66</v>
      </c>
      <c r="G28" s="128">
        <v>1</v>
      </c>
      <c r="H28" s="128">
        <v>1</v>
      </c>
      <c r="I28" s="128">
        <v>1</v>
      </c>
      <c r="J28" s="128">
        <v>1</v>
      </c>
      <c r="K28" s="128">
        <v>1</v>
      </c>
      <c r="L28" s="128">
        <v>1</v>
      </c>
      <c r="M28" s="128">
        <v>1</v>
      </c>
      <c r="N28" s="128">
        <v>1</v>
      </c>
      <c r="O28" s="128">
        <v>1</v>
      </c>
      <c r="P28" s="128">
        <v>1</v>
      </c>
      <c r="Q28" s="128">
        <v>1</v>
      </c>
      <c r="R28" s="128">
        <v>1</v>
      </c>
      <c r="S28" s="128">
        <v>1</v>
      </c>
      <c r="T28" s="129">
        <v>1</v>
      </c>
    </row>
    <row r="29" spans="2:20" x14ac:dyDescent="0.25">
      <c r="B29" s="89" t="s">
        <v>96</v>
      </c>
      <c r="C29" s="6"/>
      <c r="D29" s="6"/>
      <c r="F29" s="130" t="s">
        <v>132</v>
      </c>
      <c r="G29" s="147">
        <f>SUM(C6:C7,C9:C10)</f>
        <v>7885767</v>
      </c>
      <c r="H29" s="147">
        <f>SUM(C12:C13)</f>
        <v>3521957</v>
      </c>
      <c r="I29" s="147">
        <f>SUM(C15:C16)</f>
        <v>3852262</v>
      </c>
      <c r="J29" s="147">
        <f>SUM(C18:C19)</f>
        <v>4313159</v>
      </c>
      <c r="K29" s="147">
        <f>SUM(C21:C22)</f>
        <v>4391027</v>
      </c>
      <c r="L29" s="147">
        <f>SUM(C24:C25)</f>
        <v>4356195</v>
      </c>
      <c r="M29" s="147">
        <f>SUM(C27:C28)</f>
        <v>3994112</v>
      </c>
      <c r="N29" s="147">
        <f>SUM(C30:C31)</f>
        <v>4390506</v>
      </c>
      <c r="O29" s="147">
        <f>SUM(C33:C34)</f>
        <v>4672527</v>
      </c>
      <c r="P29" s="147">
        <f>SUM(C36:C37)</f>
        <v>4458017</v>
      </c>
      <c r="Q29" s="147">
        <f>SUM(C39:C40)</f>
        <v>3842874</v>
      </c>
      <c r="R29" s="147">
        <f>SUM(C42:C43)</f>
        <v>3511589</v>
      </c>
      <c r="S29" s="147">
        <f>SUM(C45:C46)</f>
        <v>3561788</v>
      </c>
      <c r="T29" s="148">
        <f>SUM(C48:C49)</f>
        <v>2633561</v>
      </c>
    </row>
    <row r="30" spans="2:20" x14ac:dyDescent="0.25">
      <c r="B30" s="89" t="s">
        <v>87</v>
      </c>
      <c r="C30" s="6">
        <v>2219295</v>
      </c>
      <c r="D30" s="6">
        <v>2472</v>
      </c>
    </row>
    <row r="31" spans="2:20" x14ac:dyDescent="0.25">
      <c r="B31" s="89" t="s">
        <v>88</v>
      </c>
      <c r="C31" s="6">
        <v>2171211</v>
      </c>
      <c r="D31" s="6">
        <v>3855</v>
      </c>
      <c r="F31" s="347" t="s">
        <v>273</v>
      </c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8"/>
      <c r="T31" s="349"/>
    </row>
    <row r="32" spans="2:20" x14ac:dyDescent="0.25">
      <c r="B32" s="89" t="s">
        <v>97</v>
      </c>
      <c r="C32" s="6"/>
      <c r="D32" s="6"/>
      <c r="F32" s="141" t="s">
        <v>131</v>
      </c>
      <c r="G32" s="142">
        <v>1</v>
      </c>
      <c r="H32" s="142">
        <v>2</v>
      </c>
      <c r="I32" s="142">
        <v>3</v>
      </c>
      <c r="J32" s="142">
        <v>4</v>
      </c>
      <c r="K32" s="142">
        <v>5</v>
      </c>
      <c r="L32" s="142">
        <v>6</v>
      </c>
      <c r="M32" s="142">
        <v>7</v>
      </c>
      <c r="N32" s="142">
        <v>8</v>
      </c>
      <c r="O32" s="142">
        <v>9</v>
      </c>
      <c r="P32" s="142">
        <v>10</v>
      </c>
      <c r="Q32" s="142">
        <v>11</v>
      </c>
      <c r="R32" s="142">
        <v>12</v>
      </c>
      <c r="S32" s="142">
        <v>13</v>
      </c>
      <c r="T32" s="143">
        <v>14</v>
      </c>
    </row>
    <row r="33" spans="2:20" x14ac:dyDescent="0.25">
      <c r="B33" s="89" t="s">
        <v>87</v>
      </c>
      <c r="C33" s="6">
        <v>2369887</v>
      </c>
      <c r="D33" s="6">
        <v>3826</v>
      </c>
      <c r="F33" s="216" t="s">
        <v>55</v>
      </c>
      <c r="G33" s="217">
        <v>42</v>
      </c>
      <c r="H33" s="217">
        <v>47</v>
      </c>
      <c r="I33" s="217">
        <v>52</v>
      </c>
      <c r="J33" s="217">
        <v>57</v>
      </c>
      <c r="K33" s="217">
        <v>62</v>
      </c>
      <c r="L33" s="217">
        <v>67</v>
      </c>
      <c r="M33" s="217">
        <v>72</v>
      </c>
      <c r="N33" s="217">
        <v>42</v>
      </c>
      <c r="O33" s="217">
        <v>47</v>
      </c>
      <c r="P33" s="217">
        <v>52</v>
      </c>
      <c r="Q33" s="217">
        <v>57</v>
      </c>
      <c r="R33" s="217">
        <v>62</v>
      </c>
      <c r="S33" s="217">
        <v>67</v>
      </c>
      <c r="T33" s="218">
        <v>72</v>
      </c>
    </row>
    <row r="34" spans="2:20" x14ac:dyDescent="0.25">
      <c r="B34" s="89" t="s">
        <v>88</v>
      </c>
      <c r="C34" s="6">
        <v>2302640</v>
      </c>
      <c r="D34" s="6">
        <v>5932</v>
      </c>
      <c r="F34" s="131" t="s">
        <v>56</v>
      </c>
      <c r="G34" s="139">
        <f t="shared" ref="G34:T34" si="6">G60</f>
        <v>0.4770187854029091</v>
      </c>
      <c r="H34" s="139">
        <f t="shared" si="6"/>
        <v>0.47530232737576994</v>
      </c>
      <c r="I34" s="139">
        <f t="shared" si="6"/>
        <v>0.47653931754411583</v>
      </c>
      <c r="J34" s="139">
        <f t="shared" si="6"/>
        <v>0.4762821018738097</v>
      </c>
      <c r="K34" s="139">
        <f t="shared" si="6"/>
        <v>0.47196931553283306</v>
      </c>
      <c r="L34" s="139">
        <f t="shared" si="6"/>
        <v>0.46586618911274452</v>
      </c>
      <c r="M34" s="139">
        <f t="shared" si="6"/>
        <v>0.45465234269403182</v>
      </c>
      <c r="N34" s="139">
        <f t="shared" si="6"/>
        <v>0.62968957544522486</v>
      </c>
      <c r="O34" s="139">
        <f t="shared" si="6"/>
        <v>0.62808352014800972</v>
      </c>
      <c r="P34" s="139">
        <f t="shared" si="6"/>
        <v>0.62924128671602964</v>
      </c>
      <c r="Q34" s="139">
        <f t="shared" si="6"/>
        <v>0.62900068895455663</v>
      </c>
      <c r="R34" s="139">
        <f t="shared" si="6"/>
        <v>0.62495522099022216</v>
      </c>
      <c r="S34" s="139">
        <f t="shared" si="6"/>
        <v>0.54493377607224158</v>
      </c>
      <c r="T34" s="140">
        <f t="shared" si="6"/>
        <v>0.53371844963276183</v>
      </c>
    </row>
    <row r="35" spans="2:20" x14ac:dyDescent="0.25">
      <c r="B35" s="89" t="s">
        <v>98</v>
      </c>
      <c r="C35" s="6"/>
      <c r="D35" s="6"/>
      <c r="F35" s="131" t="s">
        <v>57</v>
      </c>
      <c r="G35" s="132">
        <v>0</v>
      </c>
      <c r="H35" s="132">
        <v>0</v>
      </c>
      <c r="I35" s="132">
        <v>0</v>
      </c>
      <c r="J35" s="132">
        <v>0</v>
      </c>
      <c r="K35" s="132">
        <v>0</v>
      </c>
      <c r="L35" s="132">
        <v>0</v>
      </c>
      <c r="M35" s="132">
        <v>0</v>
      </c>
      <c r="N35" s="132">
        <v>1</v>
      </c>
      <c r="O35" s="132">
        <v>1</v>
      </c>
      <c r="P35" s="132">
        <v>1</v>
      </c>
      <c r="Q35" s="132">
        <v>1</v>
      </c>
      <c r="R35" s="132">
        <v>1</v>
      </c>
      <c r="S35" s="132">
        <v>1</v>
      </c>
      <c r="T35" s="133">
        <v>1</v>
      </c>
    </row>
    <row r="36" spans="2:20" x14ac:dyDescent="0.25">
      <c r="B36" s="89" t="s">
        <v>87</v>
      </c>
      <c r="C36" s="6">
        <v>2255562</v>
      </c>
      <c r="D36" s="6">
        <v>5669</v>
      </c>
      <c r="F36" s="131" t="s">
        <v>66</v>
      </c>
      <c r="G36" s="132">
        <f t="shared" ref="G36:M36" si="7">util</f>
        <v>1</v>
      </c>
      <c r="H36" s="132">
        <f t="shared" si="7"/>
        <v>1</v>
      </c>
      <c r="I36" s="132">
        <f t="shared" si="7"/>
        <v>1</v>
      </c>
      <c r="J36" s="132">
        <f t="shared" si="7"/>
        <v>1</v>
      </c>
      <c r="K36" s="132">
        <f t="shared" si="7"/>
        <v>1</v>
      </c>
      <c r="L36" s="132">
        <f t="shared" si="7"/>
        <v>1</v>
      </c>
      <c r="M36" s="132">
        <f t="shared" si="7"/>
        <v>1</v>
      </c>
      <c r="N36" s="132">
        <f t="shared" ref="N36:T36" si="8">uCVD</f>
        <v>0.79600000000000004</v>
      </c>
      <c r="O36" s="132">
        <f t="shared" si="8"/>
        <v>0.79600000000000004</v>
      </c>
      <c r="P36" s="132">
        <f t="shared" si="8"/>
        <v>0.79600000000000004</v>
      </c>
      <c r="Q36" s="132">
        <f t="shared" si="8"/>
        <v>0.79600000000000004</v>
      </c>
      <c r="R36" s="132">
        <f t="shared" si="8"/>
        <v>0.79600000000000004</v>
      </c>
      <c r="S36" s="132">
        <f t="shared" si="8"/>
        <v>0.79600000000000004</v>
      </c>
      <c r="T36" s="133">
        <f t="shared" si="8"/>
        <v>0.79600000000000004</v>
      </c>
    </row>
    <row r="37" spans="2:20" x14ac:dyDescent="0.25">
      <c r="B37" s="89" t="s">
        <v>88</v>
      </c>
      <c r="C37" s="6">
        <v>2202455</v>
      </c>
      <c r="D37" s="6">
        <v>8207</v>
      </c>
      <c r="F37" s="134" t="s">
        <v>132</v>
      </c>
      <c r="G37" s="137">
        <f t="shared" ref="G37:M37" si="9">IF(PrimaryPrev=1,SUM(G56,G58),0)</f>
        <v>0</v>
      </c>
      <c r="H37" s="137">
        <f t="shared" si="9"/>
        <v>0</v>
      </c>
      <c r="I37" s="137">
        <f t="shared" si="9"/>
        <v>0</v>
      </c>
      <c r="J37" s="137">
        <f t="shared" si="9"/>
        <v>0</v>
      </c>
      <c r="K37" s="137">
        <f t="shared" si="9"/>
        <v>0</v>
      </c>
      <c r="L37" s="137">
        <f t="shared" si="9"/>
        <v>0</v>
      </c>
      <c r="M37" s="137">
        <f t="shared" si="9"/>
        <v>0</v>
      </c>
      <c r="N37" s="137">
        <f t="shared" ref="N37:T37" si="10">SUM(N56,N58)</f>
        <v>503417.58600000001</v>
      </c>
      <c r="O37" s="137">
        <f t="shared" si="10"/>
        <v>535255.94799999997</v>
      </c>
      <c r="P37" s="137">
        <f t="shared" si="10"/>
        <v>511025.63800000004</v>
      </c>
      <c r="Q37" s="137">
        <f t="shared" si="10"/>
        <v>440449.94999999995</v>
      </c>
      <c r="R37" s="137">
        <f t="shared" si="10"/>
        <v>401538.57999999996</v>
      </c>
      <c r="S37" s="137">
        <f t="shared" si="10"/>
        <v>905255.87999999989</v>
      </c>
      <c r="T37" s="138">
        <f t="shared" si="10"/>
        <v>667559.38500000001</v>
      </c>
    </row>
    <row r="38" spans="2:20" x14ac:dyDescent="0.25">
      <c r="B38" s="89" t="s">
        <v>99</v>
      </c>
      <c r="C38" s="6"/>
      <c r="D38" s="6"/>
    </row>
    <row r="39" spans="2:20" x14ac:dyDescent="0.25">
      <c r="B39" s="89" t="s">
        <v>87</v>
      </c>
      <c r="C39" s="6">
        <v>1945317</v>
      </c>
      <c r="D39" s="6">
        <v>7648</v>
      </c>
      <c r="G39" s="5" t="s">
        <v>274</v>
      </c>
      <c r="H39" s="86">
        <f>popsize</f>
        <v>3964502.9670000002</v>
      </c>
    </row>
    <row r="40" spans="2:20" x14ac:dyDescent="0.25">
      <c r="B40" s="89" t="s">
        <v>88</v>
      </c>
      <c r="C40" s="6">
        <v>1897557</v>
      </c>
      <c r="D40" s="6">
        <v>11249</v>
      </c>
    </row>
    <row r="41" spans="2:20" x14ac:dyDescent="0.25">
      <c r="B41" s="89" t="s">
        <v>100</v>
      </c>
      <c r="C41" s="6"/>
      <c r="D41" s="6"/>
    </row>
    <row r="42" spans="2:20" x14ac:dyDescent="0.25">
      <c r="B42" s="89" t="s">
        <v>87</v>
      </c>
      <c r="C42" s="6">
        <v>1792797</v>
      </c>
      <c r="D42" s="6">
        <v>11223</v>
      </c>
      <c r="G42" s="135">
        <v>1</v>
      </c>
      <c r="H42" s="246" t="s">
        <v>171</v>
      </c>
      <c r="J42" s="4">
        <v>1</v>
      </c>
      <c r="L42" s="214">
        <v>1</v>
      </c>
      <c r="M42" s="246" t="s">
        <v>270</v>
      </c>
      <c r="P42" s="4">
        <v>2</v>
      </c>
    </row>
    <row r="43" spans="2:20" x14ac:dyDescent="0.25">
      <c r="B43" s="89" t="s">
        <v>88</v>
      </c>
      <c r="C43" s="6">
        <v>1718792</v>
      </c>
      <c r="D43" s="6">
        <v>16485</v>
      </c>
      <c r="G43" s="136">
        <v>2</v>
      </c>
      <c r="H43" s="246" t="s">
        <v>172</v>
      </c>
      <c r="L43" s="215">
        <v>2</v>
      </c>
      <c r="M43" s="246" t="s">
        <v>271</v>
      </c>
    </row>
    <row r="44" spans="2:20" x14ac:dyDescent="0.25">
      <c r="B44" s="89" t="s">
        <v>101</v>
      </c>
      <c r="C44" s="6"/>
      <c r="D44" s="6"/>
    </row>
    <row r="45" spans="2:20" x14ac:dyDescent="0.25">
      <c r="B45" s="89" t="s">
        <v>87</v>
      </c>
      <c r="C45" s="6">
        <v>1830895</v>
      </c>
      <c r="D45" s="6">
        <v>17261</v>
      </c>
    </row>
    <row r="46" spans="2:20" x14ac:dyDescent="0.25">
      <c r="B46" s="89" t="s">
        <v>88</v>
      </c>
      <c r="C46" s="6">
        <v>1730893</v>
      </c>
      <c r="D46" s="6">
        <v>25183</v>
      </c>
    </row>
    <row r="47" spans="2:20" x14ac:dyDescent="0.25">
      <c r="B47" s="89" t="s">
        <v>102</v>
      </c>
      <c r="C47" s="6"/>
      <c r="D47" s="6"/>
      <c r="F47" s="350" t="s">
        <v>173</v>
      </c>
      <c r="G47" s="350"/>
      <c r="H47" s="350"/>
      <c r="I47" s="350"/>
      <c r="J47" s="350"/>
      <c r="K47" s="350"/>
      <c r="L47" s="350"/>
      <c r="M47" s="350"/>
      <c r="N47" s="350"/>
      <c r="O47" s="350"/>
      <c r="P47" s="350"/>
      <c r="Q47" s="350"/>
      <c r="R47" s="350"/>
      <c r="S47" s="350"/>
      <c r="T47" s="350"/>
    </row>
    <row r="48" spans="2:20" x14ac:dyDescent="0.25">
      <c r="B48" s="89" t="s">
        <v>87</v>
      </c>
      <c r="C48" s="6">
        <v>1383425</v>
      </c>
      <c r="D48" s="6">
        <v>22271</v>
      </c>
      <c r="F48" s="293" t="s">
        <v>131</v>
      </c>
      <c r="G48" s="288">
        <v>1</v>
      </c>
      <c r="H48" s="288">
        <v>2</v>
      </c>
      <c r="I48" s="288">
        <v>3</v>
      </c>
      <c r="J48" s="288">
        <v>4</v>
      </c>
      <c r="K48" s="288">
        <v>5</v>
      </c>
      <c r="L48" s="288">
        <v>6</v>
      </c>
      <c r="M48" s="288">
        <v>7</v>
      </c>
      <c r="N48" s="288">
        <v>8</v>
      </c>
      <c r="O48" s="288">
        <v>9</v>
      </c>
      <c r="P48" s="288">
        <v>10</v>
      </c>
      <c r="Q48" s="288">
        <v>11</v>
      </c>
      <c r="R48" s="288">
        <v>12</v>
      </c>
      <c r="S48" s="288">
        <v>13</v>
      </c>
      <c r="T48" s="288">
        <v>14</v>
      </c>
    </row>
    <row r="49" spans="1:20" x14ac:dyDescent="0.25">
      <c r="B49" s="89" t="s">
        <v>88</v>
      </c>
      <c r="C49" s="6">
        <v>1250136</v>
      </c>
      <c r="D49" s="6">
        <v>30301</v>
      </c>
      <c r="F49" s="294" t="s">
        <v>55</v>
      </c>
      <c r="G49" s="290">
        <f t="shared" ref="G49:T49" si="11">IF(over40=1,G33,G25)</f>
        <v>42</v>
      </c>
      <c r="H49" s="290">
        <f t="shared" si="11"/>
        <v>47</v>
      </c>
      <c r="I49" s="290">
        <f t="shared" si="11"/>
        <v>52</v>
      </c>
      <c r="J49" s="290">
        <f t="shared" si="11"/>
        <v>57</v>
      </c>
      <c r="K49" s="290">
        <f t="shared" si="11"/>
        <v>62</v>
      </c>
      <c r="L49" s="290">
        <f t="shared" si="11"/>
        <v>67</v>
      </c>
      <c r="M49" s="290">
        <f t="shared" si="11"/>
        <v>72</v>
      </c>
      <c r="N49" s="290">
        <f t="shared" si="11"/>
        <v>42</v>
      </c>
      <c r="O49" s="290">
        <f t="shared" si="11"/>
        <v>47</v>
      </c>
      <c r="P49" s="290">
        <f t="shared" si="11"/>
        <v>52</v>
      </c>
      <c r="Q49" s="290">
        <f t="shared" si="11"/>
        <v>57</v>
      </c>
      <c r="R49" s="290">
        <f t="shared" si="11"/>
        <v>62</v>
      </c>
      <c r="S49" s="290">
        <f t="shared" si="11"/>
        <v>67</v>
      </c>
      <c r="T49" s="290">
        <f t="shared" si="11"/>
        <v>72</v>
      </c>
    </row>
    <row r="50" spans="1:20" x14ac:dyDescent="0.25">
      <c r="B50" s="89"/>
      <c r="C50" s="6"/>
      <c r="D50" s="6"/>
      <c r="F50" s="295" t="s">
        <v>56</v>
      </c>
      <c r="G50" s="287">
        <f t="shared" ref="G50:T50" si="12">IF(over40=1,G34,G26)</f>
        <v>0.4770187854029091</v>
      </c>
      <c r="H50" s="287">
        <f t="shared" si="12"/>
        <v>0.47530232737576994</v>
      </c>
      <c r="I50" s="287">
        <f t="shared" si="12"/>
        <v>0.47653931754411583</v>
      </c>
      <c r="J50" s="287">
        <f t="shared" si="12"/>
        <v>0.4762821018738097</v>
      </c>
      <c r="K50" s="287">
        <f t="shared" si="12"/>
        <v>0.47196931553283306</v>
      </c>
      <c r="L50" s="287">
        <f t="shared" si="12"/>
        <v>0.46586618911274452</v>
      </c>
      <c r="M50" s="287">
        <f t="shared" si="12"/>
        <v>0.45465234269403182</v>
      </c>
      <c r="N50" s="287">
        <f t="shared" si="12"/>
        <v>0.62968957544522486</v>
      </c>
      <c r="O50" s="287">
        <f t="shared" si="12"/>
        <v>0.62808352014800972</v>
      </c>
      <c r="P50" s="287">
        <f t="shared" si="12"/>
        <v>0.62924128671602964</v>
      </c>
      <c r="Q50" s="287">
        <f t="shared" si="12"/>
        <v>0.62900068895455663</v>
      </c>
      <c r="R50" s="287">
        <f t="shared" si="12"/>
        <v>0.62495522099022216</v>
      </c>
      <c r="S50" s="287">
        <f t="shared" si="12"/>
        <v>0.54493377607224158</v>
      </c>
      <c r="T50" s="287">
        <f t="shared" si="12"/>
        <v>0.53371844963276183</v>
      </c>
    </row>
    <row r="51" spans="1:20" x14ac:dyDescent="0.25">
      <c r="B51" s="222" t="s">
        <v>306</v>
      </c>
      <c r="C51" s="343">
        <v>59385341</v>
      </c>
      <c r="D51" s="343">
        <v>186885</v>
      </c>
      <c r="E51" s="89"/>
      <c r="F51" s="289" t="s">
        <v>57</v>
      </c>
      <c r="G51" s="290">
        <f t="shared" ref="G51:T51" si="13">IF(over40=1,G35,G27)</f>
        <v>0</v>
      </c>
      <c r="H51" s="290">
        <f t="shared" si="13"/>
        <v>0</v>
      </c>
      <c r="I51" s="290">
        <f t="shared" si="13"/>
        <v>0</v>
      </c>
      <c r="J51" s="290">
        <f t="shared" si="13"/>
        <v>0</v>
      </c>
      <c r="K51" s="290">
        <f t="shared" si="13"/>
        <v>0</v>
      </c>
      <c r="L51" s="290">
        <f t="shared" si="13"/>
        <v>0</v>
      </c>
      <c r="M51" s="290">
        <f t="shared" si="13"/>
        <v>0</v>
      </c>
      <c r="N51" s="290">
        <f t="shared" si="13"/>
        <v>1</v>
      </c>
      <c r="O51" s="290">
        <f t="shared" si="13"/>
        <v>1</v>
      </c>
      <c r="P51" s="290">
        <f t="shared" si="13"/>
        <v>1</v>
      </c>
      <c r="Q51" s="290">
        <f t="shared" si="13"/>
        <v>1</v>
      </c>
      <c r="R51" s="290">
        <f t="shared" si="13"/>
        <v>1</v>
      </c>
      <c r="S51" s="290">
        <f t="shared" si="13"/>
        <v>1</v>
      </c>
      <c r="T51" s="290">
        <f t="shared" si="13"/>
        <v>1</v>
      </c>
    </row>
    <row r="52" spans="1:20" x14ac:dyDescent="0.25">
      <c r="B52" s="89"/>
      <c r="C52" s="89"/>
      <c r="D52" s="89"/>
      <c r="E52" s="89"/>
      <c r="F52" s="289" t="s">
        <v>66</v>
      </c>
      <c r="G52" s="290">
        <f t="shared" ref="G52:T52" si="14">IF(over40=1,G36,G28)</f>
        <v>1</v>
      </c>
      <c r="H52" s="290">
        <f t="shared" si="14"/>
        <v>1</v>
      </c>
      <c r="I52" s="290">
        <f t="shared" si="14"/>
        <v>1</v>
      </c>
      <c r="J52" s="290">
        <f t="shared" si="14"/>
        <v>1</v>
      </c>
      <c r="K52" s="290">
        <f t="shared" si="14"/>
        <v>1</v>
      </c>
      <c r="L52" s="290">
        <f t="shared" si="14"/>
        <v>1</v>
      </c>
      <c r="M52" s="290">
        <f t="shared" si="14"/>
        <v>1</v>
      </c>
      <c r="N52" s="290">
        <f t="shared" si="14"/>
        <v>0.79600000000000004</v>
      </c>
      <c r="O52" s="290">
        <f t="shared" si="14"/>
        <v>0.79600000000000004</v>
      </c>
      <c r="P52" s="290">
        <f t="shared" si="14"/>
        <v>0.79600000000000004</v>
      </c>
      <c r="Q52" s="290">
        <f t="shared" si="14"/>
        <v>0.79600000000000004</v>
      </c>
      <c r="R52" s="290">
        <f t="shared" si="14"/>
        <v>0.79600000000000004</v>
      </c>
      <c r="S52" s="290">
        <f t="shared" si="14"/>
        <v>0.79600000000000004</v>
      </c>
      <c r="T52" s="290">
        <f t="shared" si="14"/>
        <v>0.79600000000000004</v>
      </c>
    </row>
    <row r="53" spans="1:20" x14ac:dyDescent="0.25">
      <c r="A53" s="394"/>
      <c r="B53" s="89"/>
      <c r="C53" s="89"/>
      <c r="D53" s="89"/>
      <c r="E53" s="89"/>
      <c r="F53" s="291" t="s">
        <v>132</v>
      </c>
      <c r="G53" s="292">
        <f t="shared" ref="G53:T53" si="15">IF(over40=1,G37,G29)</f>
        <v>0</v>
      </c>
      <c r="H53" s="292">
        <f t="shared" si="15"/>
        <v>0</v>
      </c>
      <c r="I53" s="292">
        <f t="shared" si="15"/>
        <v>0</v>
      </c>
      <c r="J53" s="292">
        <f t="shared" si="15"/>
        <v>0</v>
      </c>
      <c r="K53" s="292">
        <f t="shared" si="15"/>
        <v>0</v>
      </c>
      <c r="L53" s="292">
        <f t="shared" si="15"/>
        <v>0</v>
      </c>
      <c r="M53" s="292">
        <f t="shared" si="15"/>
        <v>0</v>
      </c>
      <c r="N53" s="292">
        <f t="shared" si="15"/>
        <v>503417.58600000001</v>
      </c>
      <c r="O53" s="292">
        <f t="shared" si="15"/>
        <v>535255.94799999997</v>
      </c>
      <c r="P53" s="292">
        <f t="shared" si="15"/>
        <v>511025.63800000004</v>
      </c>
      <c r="Q53" s="292">
        <f t="shared" si="15"/>
        <v>440449.94999999995</v>
      </c>
      <c r="R53" s="292">
        <f t="shared" si="15"/>
        <v>401538.57999999996</v>
      </c>
      <c r="S53" s="292">
        <f t="shared" si="15"/>
        <v>905255.87999999989</v>
      </c>
      <c r="T53" s="292">
        <f t="shared" si="15"/>
        <v>667559.38500000001</v>
      </c>
    </row>
    <row r="54" spans="1:20" x14ac:dyDescent="0.25">
      <c r="A54" s="394"/>
    </row>
    <row r="55" spans="1:20" x14ac:dyDescent="0.25">
      <c r="A55" s="394"/>
      <c r="F55" s="224"/>
      <c r="G55" s="235" t="s">
        <v>136</v>
      </c>
      <c r="H55" s="224"/>
      <c r="I55" s="224"/>
      <c r="J55" s="224"/>
      <c r="K55" s="224"/>
      <c r="L55" s="224"/>
      <c r="M55" s="231"/>
      <c r="N55" s="224" t="s">
        <v>135</v>
      </c>
      <c r="O55" s="224"/>
      <c r="P55" s="224"/>
      <c r="Q55" s="224"/>
      <c r="R55" s="224"/>
      <c r="S55" s="224"/>
      <c r="T55" s="224"/>
    </row>
    <row r="56" spans="1:20" x14ac:dyDescent="0.25">
      <c r="A56" s="394"/>
      <c r="F56" s="224" t="s">
        <v>128</v>
      </c>
      <c r="G56" s="297">
        <f>G7-N56</f>
        <v>1854214.1940000001</v>
      </c>
      <c r="H56" s="296">
        <f>G8-O56</f>
        <v>1966454.56</v>
      </c>
      <c r="I56" s="296">
        <f>G9-P56</f>
        <v>1880896.57</v>
      </c>
      <c r="J56" s="296">
        <f>G10-Q56</f>
        <v>1620513.6780000001</v>
      </c>
      <c r="K56" s="296">
        <f>G11-R56</f>
        <v>1467848.368</v>
      </c>
      <c r="L56" s="296">
        <f>G12-S56</f>
        <v>1237588.4950000001</v>
      </c>
      <c r="M56" s="300">
        <f>G13-T56</f>
        <v>893847.24</v>
      </c>
      <c r="N56" s="224">
        <f>G7*O7</f>
        <v>316996.80599999998</v>
      </c>
      <c r="O56" s="224">
        <f>O8*G8</f>
        <v>336185.44</v>
      </c>
      <c r="P56" s="224">
        <f>O9*G9</f>
        <v>321558.43</v>
      </c>
      <c r="Q56" s="224">
        <f>O10*G10</f>
        <v>277043.32199999999</v>
      </c>
      <c r="R56" s="224">
        <f>O11*G11</f>
        <v>250943.63199999998</v>
      </c>
      <c r="S56" s="224">
        <f>O12*G12</f>
        <v>493304.50499999995</v>
      </c>
      <c r="T56" s="224">
        <f>O13*G13</f>
        <v>356288.75999999995</v>
      </c>
    </row>
    <row r="57" spans="1:20" x14ac:dyDescent="0.25">
      <c r="A57" s="394"/>
      <c r="F57" s="225"/>
      <c r="G57" s="298"/>
      <c r="H57" s="225"/>
      <c r="I57" s="225"/>
      <c r="J57" s="225"/>
      <c r="K57" s="225"/>
      <c r="L57" s="225"/>
      <c r="M57" s="232"/>
      <c r="N57" s="225"/>
      <c r="O57" s="225"/>
      <c r="P57" s="225"/>
      <c r="Q57" s="225"/>
      <c r="R57" s="225"/>
      <c r="S57" s="225"/>
      <c r="T57" s="225"/>
    </row>
    <row r="58" spans="1:20" x14ac:dyDescent="0.25">
      <c r="A58" s="394"/>
      <c r="F58" s="225" t="s">
        <v>129</v>
      </c>
      <c r="G58" s="237">
        <f>J7-N58</f>
        <v>2032874.22</v>
      </c>
      <c r="H58" s="226">
        <f>J8-O58</f>
        <v>2170816.4920000001</v>
      </c>
      <c r="I58" s="226">
        <f>J9-P58</f>
        <v>2066094.7919999999</v>
      </c>
      <c r="J58" s="226">
        <f>J10-Q58</f>
        <v>1781910.372</v>
      </c>
      <c r="K58" s="226">
        <f>J11-R58</f>
        <v>1642202.0519999999</v>
      </c>
      <c r="L58" s="226">
        <f>J12-S58</f>
        <v>1418943.625</v>
      </c>
      <c r="M58" s="301">
        <f>J13-T58</f>
        <v>1072154.375</v>
      </c>
      <c r="N58" s="225">
        <f>P7*J7</f>
        <v>186420.78</v>
      </c>
      <c r="O58" s="225">
        <f>P8*J8</f>
        <v>199070.508</v>
      </c>
      <c r="P58" s="225">
        <f>P9*J9</f>
        <v>189467.20800000001</v>
      </c>
      <c r="Q58" s="225">
        <f>P10*J10</f>
        <v>163406.628</v>
      </c>
      <c r="R58" s="225">
        <f>P11*J11</f>
        <v>150594.948</v>
      </c>
      <c r="S58" s="225">
        <f>P12*J12</f>
        <v>411951.375</v>
      </c>
      <c r="T58" s="225">
        <f>P13*J13</f>
        <v>311270.625</v>
      </c>
    </row>
    <row r="59" spans="1:20" x14ac:dyDescent="0.25">
      <c r="A59" s="394"/>
      <c r="F59" s="232"/>
      <c r="H59" s="225"/>
      <c r="I59" s="225"/>
      <c r="J59" s="225"/>
      <c r="K59" s="225"/>
      <c r="L59" s="225"/>
      <c r="M59" s="232"/>
      <c r="N59" s="225"/>
      <c r="O59" s="225"/>
      <c r="P59" s="225"/>
      <c r="Q59" s="225"/>
      <c r="R59" s="225"/>
      <c r="S59" s="225"/>
      <c r="T59" s="225"/>
    </row>
    <row r="60" spans="1:20" x14ac:dyDescent="0.25">
      <c r="A60" s="394"/>
      <c r="F60" s="225" t="s">
        <v>31</v>
      </c>
      <c r="G60" s="299">
        <f>G56/(G56+G58)</f>
        <v>0.4770187854029091</v>
      </c>
      <c r="H60" s="286">
        <f t="shared" ref="H60:M60" si="16">H56/(H56+H58)</f>
        <v>0.47530232737576994</v>
      </c>
      <c r="I60" s="286">
        <f t="shared" si="16"/>
        <v>0.47653931754411583</v>
      </c>
      <c r="J60" s="286">
        <f t="shared" si="16"/>
        <v>0.4762821018738097</v>
      </c>
      <c r="K60" s="286">
        <f t="shared" si="16"/>
        <v>0.47196931553283306</v>
      </c>
      <c r="L60" s="286">
        <f t="shared" si="16"/>
        <v>0.46586618911274452</v>
      </c>
      <c r="M60" s="233">
        <f t="shared" si="16"/>
        <v>0.45465234269403182</v>
      </c>
      <c r="N60" s="286">
        <f>N56/(N56+N58)</f>
        <v>0.62968957544522486</v>
      </c>
      <c r="O60" s="286">
        <f t="shared" ref="O60:T60" si="17">O56/(O56+O58)</f>
        <v>0.62808352014800972</v>
      </c>
      <c r="P60" s="286">
        <f t="shared" si="17"/>
        <v>0.62924128671602964</v>
      </c>
      <c r="Q60" s="286">
        <f t="shared" si="17"/>
        <v>0.62900068895455663</v>
      </c>
      <c r="R60" s="286">
        <f t="shared" si="17"/>
        <v>0.62495522099022216</v>
      </c>
      <c r="S60" s="286">
        <f t="shared" si="17"/>
        <v>0.54493377607224158</v>
      </c>
      <c r="T60" s="286">
        <f t="shared" si="17"/>
        <v>0.53371844963276183</v>
      </c>
    </row>
    <row r="61" spans="1:20" x14ac:dyDescent="0.25">
      <c r="A61" s="394"/>
      <c r="F61" s="9"/>
      <c r="G61" s="236"/>
      <c r="H61" s="9"/>
      <c r="I61" s="9"/>
      <c r="J61" s="9"/>
      <c r="K61" s="9"/>
      <c r="L61" s="9"/>
      <c r="M61" s="96"/>
      <c r="N61" s="9"/>
      <c r="O61" s="9"/>
      <c r="P61" s="9"/>
      <c r="Q61" s="9"/>
      <c r="R61" s="9"/>
      <c r="S61" s="9"/>
      <c r="T61" s="9"/>
    </row>
    <row r="63" spans="1:20" ht="30" x14ac:dyDescent="0.25">
      <c r="G63" s="302" t="s">
        <v>285</v>
      </c>
      <c r="H63" s="285">
        <f>SUM(G53:T53)</f>
        <v>3964502.9670000002</v>
      </c>
    </row>
    <row r="64" spans="1:20" x14ac:dyDescent="0.25">
      <c r="G64" s="5" t="s">
        <v>137</v>
      </c>
      <c r="H64" s="6">
        <f>SUM(G7:G13,J7:J13)</f>
        <v>27070862</v>
      </c>
    </row>
    <row r="85" ht="29.1" customHeight="1" x14ac:dyDescent="0.25"/>
    <row r="113" spans="4:8" x14ac:dyDescent="0.25">
      <c r="D113" s="90"/>
      <c r="E113" s="90"/>
      <c r="F113" s="90"/>
      <c r="G113" s="90"/>
      <c r="H113" s="90"/>
    </row>
    <row r="153" spans="4:7" x14ac:dyDescent="0.25">
      <c r="D153" s="213"/>
      <c r="G153" s="213"/>
    </row>
    <row r="154" spans="4:7" x14ac:dyDescent="0.25">
      <c r="D154" s="213"/>
      <c r="G154" s="213"/>
    </row>
  </sheetData>
  <mergeCells count="1">
    <mergeCell ref="A53:A61"/>
  </mergeCells>
  <pageMargins left="0.7" right="0.7" top="0.75" bottom="0.75" header="0.3" footer="0.3"/>
  <pageSetup orientation="portrait" horizontalDpi="0" verticalDpi="0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B1:K88"/>
  <sheetViews>
    <sheetView workbookViewId="0">
      <selection activeCell="D57" sqref="D57"/>
    </sheetView>
  </sheetViews>
  <sheetFormatPr defaultColWidth="10.85546875" defaultRowHeight="15" x14ac:dyDescent="0.25"/>
  <cols>
    <col min="1" max="1" width="10.85546875" style="1"/>
    <col min="2" max="2" width="14.140625" style="5" customWidth="1"/>
    <col min="3" max="3" width="23.28515625" style="5" customWidth="1"/>
    <col min="4" max="4" width="10.85546875" style="5"/>
    <col min="5" max="5" width="10.85546875" style="1"/>
    <col min="6" max="11" width="19.7109375" customWidth="1"/>
    <col min="12" max="16384" width="10.85546875" style="1"/>
  </cols>
  <sheetData>
    <row r="1" spans="2:11" x14ac:dyDescent="0.25">
      <c r="B1" s="1" t="s">
        <v>287</v>
      </c>
      <c r="C1" s="306" t="s">
        <v>317</v>
      </c>
      <c r="F1" s="5"/>
      <c r="G1" s="5"/>
      <c r="H1" s="5"/>
      <c r="I1" s="5"/>
      <c r="J1" s="5"/>
      <c r="K1" s="5"/>
    </row>
    <row r="2" spans="2:11" x14ac:dyDescent="0.25">
      <c r="F2" s="284" t="s">
        <v>296</v>
      </c>
      <c r="G2" s="5"/>
      <c r="H2" s="5"/>
      <c r="I2" s="5"/>
      <c r="J2" s="5"/>
      <c r="K2" s="5"/>
    </row>
    <row r="3" spans="2:11" x14ac:dyDescent="0.25">
      <c r="B3" s="89"/>
      <c r="C3" s="89"/>
      <c r="D3" s="89"/>
      <c r="F3" s="395" t="s">
        <v>88</v>
      </c>
      <c r="G3" s="396"/>
      <c r="H3" s="397"/>
      <c r="I3" s="396" t="s">
        <v>87</v>
      </c>
      <c r="J3" s="396"/>
      <c r="K3" s="397"/>
    </row>
    <row r="4" spans="2:11" ht="30" x14ac:dyDescent="0.25">
      <c r="B4" s="243" t="s">
        <v>83</v>
      </c>
      <c r="C4" s="243" t="s">
        <v>84</v>
      </c>
      <c r="D4" s="243" t="s">
        <v>85</v>
      </c>
      <c r="F4" s="351" t="s">
        <v>55</v>
      </c>
      <c r="G4" s="245" t="s">
        <v>103</v>
      </c>
      <c r="H4" s="241" t="s">
        <v>294</v>
      </c>
      <c r="I4" s="245" t="s">
        <v>55</v>
      </c>
      <c r="J4" s="245" t="s">
        <v>103</v>
      </c>
      <c r="K4" s="241" t="s">
        <v>294</v>
      </c>
    </row>
    <row r="5" spans="2:11" x14ac:dyDescent="0.25">
      <c r="B5" s="89" t="s">
        <v>86</v>
      </c>
      <c r="C5" s="6"/>
      <c r="D5" s="6"/>
      <c r="F5" s="338" t="s">
        <v>293</v>
      </c>
      <c r="G5" s="99">
        <v>31793606</v>
      </c>
      <c r="H5" s="339"/>
      <c r="I5" s="99" t="s">
        <v>293</v>
      </c>
      <c r="J5" s="99">
        <v>32803146</v>
      </c>
      <c r="K5" s="339"/>
    </row>
    <row r="6" spans="2:11" x14ac:dyDescent="0.25">
      <c r="B6" s="89" t="s">
        <v>87</v>
      </c>
      <c r="C6" s="6">
        <f>SUM(J6:J10)</f>
        <v>1964097</v>
      </c>
      <c r="D6" s="6">
        <f>SUM(K6:K10)</f>
        <v>1579</v>
      </c>
      <c r="F6" s="340">
        <v>0</v>
      </c>
      <c r="G6" s="341">
        <v>398997</v>
      </c>
      <c r="H6" s="342">
        <v>1646</v>
      </c>
      <c r="I6" s="341">
        <v>0</v>
      </c>
      <c r="J6" s="341">
        <v>379368</v>
      </c>
      <c r="K6" s="342">
        <v>1368</v>
      </c>
    </row>
    <row r="7" spans="2:11" x14ac:dyDescent="0.25">
      <c r="B7" s="89" t="s">
        <v>88</v>
      </c>
      <c r="C7" s="6">
        <f>SUM(G6:G10)</f>
        <v>2062546</v>
      </c>
      <c r="D7" s="6">
        <f>SUM(H6:H10)</f>
        <v>1946</v>
      </c>
      <c r="F7" s="298">
        <v>1</v>
      </c>
      <c r="G7" s="225">
        <v>410138</v>
      </c>
      <c r="H7" s="232">
        <v>142</v>
      </c>
      <c r="I7" s="225">
        <v>1</v>
      </c>
      <c r="J7" s="225">
        <v>389551</v>
      </c>
      <c r="K7" s="232">
        <v>82</v>
      </c>
    </row>
    <row r="8" spans="2:11" x14ac:dyDescent="0.25">
      <c r="B8" s="89" t="s">
        <v>89</v>
      </c>
      <c r="C8" s="6"/>
      <c r="D8" s="6"/>
      <c r="F8" s="298">
        <v>2</v>
      </c>
      <c r="G8" s="225">
        <v>424084</v>
      </c>
      <c r="H8" s="232">
        <v>72</v>
      </c>
      <c r="I8" s="225">
        <v>2</v>
      </c>
      <c r="J8" s="225">
        <v>403951</v>
      </c>
      <c r="K8" s="232">
        <v>55</v>
      </c>
    </row>
    <row r="9" spans="2:11" x14ac:dyDescent="0.25">
      <c r="B9" s="89" t="s">
        <v>87</v>
      </c>
      <c r="C9" s="6">
        <f>SUM(J11:J15)</f>
        <v>1883885</v>
      </c>
      <c r="D9" s="6">
        <f>SUM(K11:K15)</f>
        <v>143</v>
      </c>
      <c r="F9" s="298">
        <v>3</v>
      </c>
      <c r="G9" s="225">
        <v>418717</v>
      </c>
      <c r="H9" s="232">
        <v>56</v>
      </c>
      <c r="I9" s="225">
        <v>3</v>
      </c>
      <c r="J9" s="225">
        <v>398986</v>
      </c>
      <c r="K9" s="232">
        <v>45</v>
      </c>
    </row>
    <row r="10" spans="2:11" x14ac:dyDescent="0.25">
      <c r="B10" s="89" t="s">
        <v>88</v>
      </c>
      <c r="C10" s="6">
        <f>SUM(G11:G15)</f>
        <v>1975239</v>
      </c>
      <c r="D10" s="6">
        <f>SUM(H11:H15)</f>
        <v>184</v>
      </c>
      <c r="F10" s="298">
        <v>4</v>
      </c>
      <c r="G10" s="225">
        <v>410610</v>
      </c>
      <c r="H10" s="232">
        <v>30</v>
      </c>
      <c r="I10" s="225">
        <v>4</v>
      </c>
      <c r="J10" s="225">
        <v>392241</v>
      </c>
      <c r="K10" s="232">
        <v>29</v>
      </c>
    </row>
    <row r="11" spans="2:11" x14ac:dyDescent="0.25">
      <c r="B11" s="89" t="s">
        <v>90</v>
      </c>
      <c r="C11" s="6"/>
      <c r="D11" s="6"/>
      <c r="F11" s="340">
        <v>5</v>
      </c>
      <c r="G11" s="341">
        <v>406814</v>
      </c>
      <c r="H11" s="342">
        <v>39</v>
      </c>
      <c r="I11" s="341">
        <v>5</v>
      </c>
      <c r="J11" s="341">
        <v>388490</v>
      </c>
      <c r="K11" s="342">
        <v>28</v>
      </c>
    </row>
    <row r="12" spans="2:11" x14ac:dyDescent="0.25">
      <c r="B12" s="89" t="s">
        <v>87</v>
      </c>
      <c r="C12" s="6">
        <f>SUM(J16:J20)</f>
        <v>1718946</v>
      </c>
      <c r="D12" s="6">
        <f>SUM(K16:K20)</f>
        <v>137</v>
      </c>
      <c r="F12" s="298">
        <v>6</v>
      </c>
      <c r="G12" s="225">
        <v>410302</v>
      </c>
      <c r="H12" s="232">
        <v>46</v>
      </c>
      <c r="I12" s="225">
        <v>6</v>
      </c>
      <c r="J12" s="225">
        <v>391280</v>
      </c>
      <c r="K12" s="232">
        <v>32</v>
      </c>
    </row>
    <row r="13" spans="2:11" x14ac:dyDescent="0.25">
      <c r="B13" s="89" t="s">
        <v>88</v>
      </c>
      <c r="C13" s="6">
        <f>SUM(G16:G20)</f>
        <v>1803011</v>
      </c>
      <c r="D13" s="6">
        <f>SUM(H16:H20)</f>
        <v>201</v>
      </c>
      <c r="F13" s="298">
        <v>7</v>
      </c>
      <c r="G13" s="225">
        <v>397054</v>
      </c>
      <c r="H13" s="232">
        <v>34</v>
      </c>
      <c r="I13" s="225">
        <v>7</v>
      </c>
      <c r="J13" s="225">
        <v>377729</v>
      </c>
      <c r="K13" s="232">
        <v>33</v>
      </c>
    </row>
    <row r="14" spans="2:11" x14ac:dyDescent="0.25">
      <c r="B14" s="89" t="s">
        <v>91</v>
      </c>
      <c r="C14" s="6"/>
      <c r="D14" s="6"/>
      <c r="F14" s="298">
        <v>8</v>
      </c>
      <c r="G14" s="225">
        <v>388063</v>
      </c>
      <c r="H14" s="232">
        <v>26</v>
      </c>
      <c r="I14" s="225">
        <v>8</v>
      </c>
      <c r="J14" s="225">
        <v>370572</v>
      </c>
      <c r="K14" s="232">
        <v>25</v>
      </c>
    </row>
    <row r="15" spans="2:11" x14ac:dyDescent="0.25">
      <c r="B15" s="89" t="s">
        <v>87</v>
      </c>
      <c r="C15" s="6">
        <f>SUM(J21:J25)</f>
        <v>1874761</v>
      </c>
      <c r="D15" s="6">
        <f>SUM(K21:K25)</f>
        <v>338</v>
      </c>
      <c r="F15" s="298">
        <v>9</v>
      </c>
      <c r="G15" s="225">
        <v>373006</v>
      </c>
      <c r="H15" s="232">
        <v>39</v>
      </c>
      <c r="I15" s="225">
        <v>9</v>
      </c>
      <c r="J15" s="225">
        <v>355814</v>
      </c>
      <c r="K15" s="232">
        <v>25</v>
      </c>
    </row>
    <row r="16" spans="2:11" x14ac:dyDescent="0.25">
      <c r="B16" s="89" t="s">
        <v>88</v>
      </c>
      <c r="C16" s="6">
        <f>SUM(G21:G25)</f>
        <v>1977501</v>
      </c>
      <c r="D16" s="6">
        <f>SUM(H21:H25)</f>
        <v>615</v>
      </c>
      <c r="F16" s="340">
        <v>10</v>
      </c>
      <c r="G16" s="341">
        <v>366463</v>
      </c>
      <c r="H16" s="342">
        <v>40</v>
      </c>
      <c r="I16" s="341">
        <v>10</v>
      </c>
      <c r="J16" s="341">
        <v>349411</v>
      </c>
      <c r="K16" s="342">
        <v>23</v>
      </c>
    </row>
    <row r="17" spans="2:11" x14ac:dyDescent="0.25">
      <c r="B17" s="89" t="s">
        <v>92</v>
      </c>
      <c r="C17" s="6"/>
      <c r="D17" s="6"/>
      <c r="F17" s="298">
        <v>11</v>
      </c>
      <c r="G17" s="225">
        <v>356301</v>
      </c>
      <c r="H17" s="232">
        <v>36</v>
      </c>
      <c r="I17" s="225">
        <v>11</v>
      </c>
      <c r="J17" s="225">
        <v>339211</v>
      </c>
      <c r="K17" s="232">
        <v>17</v>
      </c>
    </row>
    <row r="18" spans="2:11" x14ac:dyDescent="0.25">
      <c r="B18" s="89" t="s">
        <v>87</v>
      </c>
      <c r="C18" s="6">
        <f>SUM(J26:J30)</f>
        <v>2118899</v>
      </c>
      <c r="D18" s="6">
        <f>SUM(K26:K30)</f>
        <v>484</v>
      </c>
      <c r="F18" s="298">
        <v>12</v>
      </c>
      <c r="G18" s="225">
        <v>350571</v>
      </c>
      <c r="H18" s="232">
        <v>37</v>
      </c>
      <c r="I18" s="225">
        <v>12</v>
      </c>
      <c r="J18" s="225">
        <v>334246</v>
      </c>
      <c r="K18" s="232">
        <v>16</v>
      </c>
    </row>
    <row r="19" spans="2:11" x14ac:dyDescent="0.25">
      <c r="B19" s="89" t="s">
        <v>88</v>
      </c>
      <c r="C19" s="6">
        <f>SUM(G26:G30)</f>
        <v>2194260</v>
      </c>
      <c r="D19" s="6">
        <f>SUM(H26:H30)</f>
        <v>1121</v>
      </c>
      <c r="F19" s="298">
        <v>13</v>
      </c>
      <c r="G19" s="225">
        <v>359210</v>
      </c>
      <c r="H19" s="232">
        <v>39</v>
      </c>
      <c r="I19" s="225">
        <v>13</v>
      </c>
      <c r="J19" s="225">
        <v>344292</v>
      </c>
      <c r="K19" s="232">
        <v>40</v>
      </c>
    </row>
    <row r="20" spans="2:11" x14ac:dyDescent="0.25">
      <c r="B20" s="89" t="s">
        <v>93</v>
      </c>
      <c r="C20" s="6"/>
      <c r="D20" s="6"/>
      <c r="F20" s="298">
        <v>14</v>
      </c>
      <c r="G20" s="225">
        <v>370466</v>
      </c>
      <c r="H20" s="232">
        <v>49</v>
      </c>
      <c r="I20" s="225">
        <v>14</v>
      </c>
      <c r="J20" s="225">
        <v>351786</v>
      </c>
      <c r="K20" s="232">
        <v>41</v>
      </c>
    </row>
    <row r="21" spans="2:11" x14ac:dyDescent="0.25">
      <c r="B21" s="89" t="s">
        <v>87</v>
      </c>
      <c r="C21" s="6">
        <f>SUM(J31:J35)</f>
        <v>2194269</v>
      </c>
      <c r="D21" s="6">
        <f>SUM(K31:K35)</f>
        <v>639</v>
      </c>
      <c r="F21" s="340">
        <v>15</v>
      </c>
      <c r="G21" s="341">
        <v>382196</v>
      </c>
      <c r="H21" s="342">
        <v>56</v>
      </c>
      <c r="I21" s="341">
        <v>15</v>
      </c>
      <c r="J21" s="341">
        <v>363542</v>
      </c>
      <c r="K21" s="342">
        <v>48</v>
      </c>
    </row>
    <row r="22" spans="2:11" x14ac:dyDescent="0.25">
      <c r="B22" s="89" t="s">
        <v>88</v>
      </c>
      <c r="C22" s="6">
        <f>SUM(G31:G35)</f>
        <v>2196758</v>
      </c>
      <c r="D22" s="6">
        <f>SUM(H31:H35)</f>
        <v>1398</v>
      </c>
      <c r="F22" s="298">
        <v>16</v>
      </c>
      <c r="G22" s="225">
        <v>387348</v>
      </c>
      <c r="H22" s="232">
        <v>85</v>
      </c>
      <c r="I22" s="225">
        <v>16</v>
      </c>
      <c r="J22" s="225">
        <v>368365</v>
      </c>
      <c r="K22" s="232">
        <v>69</v>
      </c>
    </row>
    <row r="23" spans="2:11" x14ac:dyDescent="0.25">
      <c r="B23" s="89" t="s">
        <v>94</v>
      </c>
      <c r="C23" s="6"/>
      <c r="D23" s="6"/>
      <c r="F23" s="298">
        <v>17</v>
      </c>
      <c r="G23" s="225">
        <v>399339</v>
      </c>
      <c r="H23" s="232">
        <v>117</v>
      </c>
      <c r="I23" s="225">
        <v>17</v>
      </c>
      <c r="J23" s="225">
        <v>379140</v>
      </c>
      <c r="K23" s="232">
        <v>62</v>
      </c>
    </row>
    <row r="24" spans="2:11" x14ac:dyDescent="0.25">
      <c r="B24" s="89" t="s">
        <v>87</v>
      </c>
      <c r="C24" s="6">
        <f>SUM(J36:J40)</f>
        <v>2193054</v>
      </c>
      <c r="D24" s="6">
        <f>SUM(K36:K40)</f>
        <v>995</v>
      </c>
      <c r="F24" s="298">
        <v>18</v>
      </c>
      <c r="G24" s="225">
        <v>403292</v>
      </c>
      <c r="H24" s="232">
        <v>170</v>
      </c>
      <c r="I24" s="225">
        <v>18</v>
      </c>
      <c r="J24" s="225">
        <v>378465</v>
      </c>
      <c r="K24" s="232">
        <v>77</v>
      </c>
    </row>
    <row r="25" spans="2:11" x14ac:dyDescent="0.25">
      <c r="B25" s="89" t="s">
        <v>88</v>
      </c>
      <c r="C25" s="6">
        <f>SUM(G36:G40)</f>
        <v>2163141</v>
      </c>
      <c r="D25" s="6">
        <f>SUM(H36:H40)</f>
        <v>1767</v>
      </c>
      <c r="F25" s="298">
        <v>19</v>
      </c>
      <c r="G25" s="225">
        <v>405326</v>
      </c>
      <c r="H25" s="232">
        <v>187</v>
      </c>
      <c r="I25" s="225">
        <v>19</v>
      </c>
      <c r="J25" s="225">
        <v>385249</v>
      </c>
      <c r="K25" s="232">
        <v>82</v>
      </c>
    </row>
    <row r="26" spans="2:11" x14ac:dyDescent="0.25">
      <c r="B26" s="89" t="s">
        <v>95</v>
      </c>
      <c r="C26" s="6"/>
      <c r="D26" s="6"/>
      <c r="F26" s="340">
        <v>20</v>
      </c>
      <c r="G26" s="341">
        <v>423227</v>
      </c>
      <c r="H26" s="342">
        <v>203</v>
      </c>
      <c r="I26" s="341">
        <v>20</v>
      </c>
      <c r="J26" s="341">
        <v>402761</v>
      </c>
      <c r="K26" s="342">
        <v>77</v>
      </c>
    </row>
    <row r="27" spans="2:11" x14ac:dyDescent="0.25">
      <c r="B27" s="89" t="s">
        <v>87</v>
      </c>
      <c r="C27" s="6">
        <f>SUM(J41:J45)</f>
        <v>2005370</v>
      </c>
      <c r="D27" s="6">
        <f>SUM(K41:K45)</f>
        <v>1367</v>
      </c>
      <c r="F27" s="298">
        <v>21</v>
      </c>
      <c r="G27" s="225">
        <v>425645</v>
      </c>
      <c r="H27" s="232">
        <v>209</v>
      </c>
      <c r="I27" s="225">
        <v>21</v>
      </c>
      <c r="J27" s="225">
        <v>409355</v>
      </c>
      <c r="K27" s="232">
        <v>92</v>
      </c>
    </row>
    <row r="28" spans="2:11" x14ac:dyDescent="0.25">
      <c r="B28" s="89" t="s">
        <v>88</v>
      </c>
      <c r="C28" s="6">
        <f>SUM(G41:G45)</f>
        <v>1988742</v>
      </c>
      <c r="D28" s="6">
        <f>SUM(H41:H45)</f>
        <v>2389</v>
      </c>
      <c r="F28" s="298">
        <v>22</v>
      </c>
      <c r="G28" s="225">
        <v>439175</v>
      </c>
      <c r="H28" s="232">
        <v>210</v>
      </c>
      <c r="I28" s="225">
        <v>22</v>
      </c>
      <c r="J28" s="225">
        <v>431579</v>
      </c>
      <c r="K28" s="232">
        <v>102</v>
      </c>
    </row>
    <row r="29" spans="2:11" x14ac:dyDescent="0.25">
      <c r="B29" s="89" t="s">
        <v>96</v>
      </c>
      <c r="C29" s="6"/>
      <c r="D29" s="6"/>
      <c r="F29" s="298">
        <v>23</v>
      </c>
      <c r="G29" s="225">
        <v>456389</v>
      </c>
      <c r="H29" s="232">
        <v>259</v>
      </c>
      <c r="I29" s="225">
        <v>23</v>
      </c>
      <c r="J29" s="225">
        <v>440935</v>
      </c>
      <c r="K29" s="232">
        <v>109</v>
      </c>
    </row>
    <row r="30" spans="2:11" x14ac:dyDescent="0.25">
      <c r="B30" s="89" t="s">
        <v>87</v>
      </c>
      <c r="C30" s="6">
        <f>SUM(J46:J50)</f>
        <v>2219295</v>
      </c>
      <c r="D30" s="6">
        <f>SUM(K46:K50)</f>
        <v>2472</v>
      </c>
      <c r="F30" s="298">
        <v>24</v>
      </c>
      <c r="G30" s="225">
        <v>449824</v>
      </c>
      <c r="H30" s="232">
        <v>240</v>
      </c>
      <c r="I30" s="225">
        <v>24</v>
      </c>
      <c r="J30" s="225">
        <v>434269</v>
      </c>
      <c r="K30" s="232">
        <v>104</v>
      </c>
    </row>
    <row r="31" spans="2:11" x14ac:dyDescent="0.25">
      <c r="B31" s="89" t="s">
        <v>88</v>
      </c>
      <c r="C31" s="6">
        <f>SUM(G46:G50)</f>
        <v>2171211</v>
      </c>
      <c r="D31" s="6">
        <f>SUM(H46:H50)</f>
        <v>3855</v>
      </c>
      <c r="F31" s="340">
        <v>25</v>
      </c>
      <c r="G31" s="341">
        <v>441752</v>
      </c>
      <c r="H31" s="342">
        <v>212</v>
      </c>
      <c r="I31" s="341">
        <v>25</v>
      </c>
      <c r="J31" s="341">
        <v>435179</v>
      </c>
      <c r="K31" s="342">
        <v>109</v>
      </c>
    </row>
    <row r="32" spans="2:11" x14ac:dyDescent="0.25">
      <c r="B32" s="89" t="s">
        <v>97</v>
      </c>
      <c r="C32" s="6"/>
      <c r="D32" s="6"/>
      <c r="F32" s="298">
        <v>26</v>
      </c>
      <c r="G32" s="225">
        <v>444147</v>
      </c>
      <c r="H32" s="232">
        <v>312</v>
      </c>
      <c r="I32" s="225">
        <v>26</v>
      </c>
      <c r="J32" s="225">
        <v>443113</v>
      </c>
      <c r="K32" s="232">
        <v>121</v>
      </c>
    </row>
    <row r="33" spans="2:11" x14ac:dyDescent="0.25">
      <c r="B33" s="89" t="s">
        <v>87</v>
      </c>
      <c r="C33" s="6">
        <f>SUM(J51:J55)</f>
        <v>2369887</v>
      </c>
      <c r="D33" s="6">
        <f>SUM(K51:K55)</f>
        <v>3826</v>
      </c>
      <c r="F33" s="298">
        <v>27</v>
      </c>
      <c r="G33" s="225">
        <v>430783</v>
      </c>
      <c r="H33" s="232">
        <v>281</v>
      </c>
      <c r="I33" s="225">
        <v>27</v>
      </c>
      <c r="J33" s="225">
        <v>437852</v>
      </c>
      <c r="K33" s="232">
        <v>106</v>
      </c>
    </row>
    <row r="34" spans="2:11" x14ac:dyDescent="0.25">
      <c r="B34" s="89" t="s">
        <v>88</v>
      </c>
      <c r="C34" s="6">
        <f>SUM(G51:G55)</f>
        <v>2302640</v>
      </c>
      <c r="D34" s="6">
        <f>SUM(H51:H55)</f>
        <v>5932</v>
      </c>
      <c r="F34" s="298">
        <v>28</v>
      </c>
      <c r="G34" s="225">
        <v>439328</v>
      </c>
      <c r="H34" s="232">
        <v>281</v>
      </c>
      <c r="I34" s="225">
        <v>28</v>
      </c>
      <c r="J34" s="225">
        <v>437743</v>
      </c>
      <c r="K34" s="232">
        <v>154</v>
      </c>
    </row>
    <row r="35" spans="2:11" x14ac:dyDescent="0.25">
      <c r="B35" s="89" t="s">
        <v>98</v>
      </c>
      <c r="C35" s="6"/>
      <c r="D35" s="6"/>
      <c r="F35" s="298">
        <v>29</v>
      </c>
      <c r="G35" s="225">
        <v>440748</v>
      </c>
      <c r="H35" s="232">
        <v>312</v>
      </c>
      <c r="I35" s="225">
        <v>29</v>
      </c>
      <c r="J35" s="225">
        <v>440382</v>
      </c>
      <c r="K35" s="232">
        <v>149</v>
      </c>
    </row>
    <row r="36" spans="2:11" x14ac:dyDescent="0.25">
      <c r="B36" s="89" t="s">
        <v>87</v>
      </c>
      <c r="C36" s="6">
        <f>SUM(J56:J60)</f>
        <v>2255562</v>
      </c>
      <c r="D36" s="6">
        <f>SUM(K56:K60)</f>
        <v>5669</v>
      </c>
      <c r="F36" s="340">
        <v>30</v>
      </c>
      <c r="G36" s="341">
        <v>428719</v>
      </c>
      <c r="H36" s="342">
        <v>332</v>
      </c>
      <c r="I36" s="341">
        <v>30</v>
      </c>
      <c r="J36" s="341">
        <v>432642</v>
      </c>
      <c r="K36" s="342">
        <v>154</v>
      </c>
    </row>
    <row r="37" spans="2:11" x14ac:dyDescent="0.25">
      <c r="B37" s="89" t="s">
        <v>88</v>
      </c>
      <c r="C37" s="6">
        <f>SUM(G56:G60)</f>
        <v>2202455</v>
      </c>
      <c r="D37" s="6">
        <f>SUM(H56:H60)</f>
        <v>8207</v>
      </c>
      <c r="F37" s="298">
        <v>31</v>
      </c>
      <c r="G37" s="225">
        <v>431951</v>
      </c>
      <c r="H37" s="232">
        <v>328</v>
      </c>
      <c r="I37" s="225">
        <v>31</v>
      </c>
      <c r="J37" s="225">
        <v>437664</v>
      </c>
      <c r="K37" s="232">
        <v>193</v>
      </c>
    </row>
    <row r="38" spans="2:11" x14ac:dyDescent="0.25">
      <c r="B38" s="89" t="s">
        <v>99</v>
      </c>
      <c r="C38" s="6"/>
      <c r="D38" s="6"/>
      <c r="F38" s="298">
        <v>32</v>
      </c>
      <c r="G38" s="225">
        <v>430780</v>
      </c>
      <c r="H38" s="232">
        <v>335</v>
      </c>
      <c r="I38" s="225">
        <v>32</v>
      </c>
      <c r="J38" s="225">
        <v>439217</v>
      </c>
      <c r="K38" s="232">
        <v>184</v>
      </c>
    </row>
    <row r="39" spans="2:11" x14ac:dyDescent="0.25">
      <c r="B39" s="89" t="s">
        <v>87</v>
      </c>
      <c r="C39" s="6">
        <f>SUM(J61:J65)</f>
        <v>1945317</v>
      </c>
      <c r="D39" s="6">
        <f>SUM(K61:K65)</f>
        <v>7648</v>
      </c>
      <c r="F39" s="298">
        <v>33</v>
      </c>
      <c r="G39" s="225">
        <v>435537</v>
      </c>
      <c r="H39" s="232">
        <v>368</v>
      </c>
      <c r="I39" s="225">
        <v>33</v>
      </c>
      <c r="J39" s="225">
        <v>441807</v>
      </c>
      <c r="K39" s="232">
        <v>223</v>
      </c>
    </row>
    <row r="40" spans="2:11" x14ac:dyDescent="0.25">
      <c r="B40" s="89" t="s">
        <v>88</v>
      </c>
      <c r="C40" s="6">
        <f>SUM(G61:G65)</f>
        <v>1897557</v>
      </c>
      <c r="D40" s="6">
        <f>SUM(H61:H65)</f>
        <v>11249</v>
      </c>
      <c r="F40" s="298">
        <v>34</v>
      </c>
      <c r="G40" s="225">
        <v>436154</v>
      </c>
      <c r="H40" s="232">
        <v>404</v>
      </c>
      <c r="I40" s="225">
        <v>34</v>
      </c>
      <c r="J40" s="225">
        <v>441724</v>
      </c>
      <c r="K40" s="232">
        <v>241</v>
      </c>
    </row>
    <row r="41" spans="2:11" x14ac:dyDescent="0.25">
      <c r="B41" s="89" t="s">
        <v>100</v>
      </c>
      <c r="C41" s="6"/>
      <c r="D41" s="6"/>
      <c r="F41" s="340">
        <v>35</v>
      </c>
      <c r="G41" s="341">
        <v>419401</v>
      </c>
      <c r="H41" s="342">
        <v>437</v>
      </c>
      <c r="I41" s="341">
        <v>35</v>
      </c>
      <c r="J41" s="341">
        <v>422382</v>
      </c>
      <c r="K41" s="342">
        <v>248</v>
      </c>
    </row>
    <row r="42" spans="2:11" x14ac:dyDescent="0.25">
      <c r="B42" s="89" t="s">
        <v>87</v>
      </c>
      <c r="C42" s="6">
        <f>SUM(J66:J70)</f>
        <v>1792797</v>
      </c>
      <c r="D42" s="6">
        <f>SUM(K66:K70)</f>
        <v>11223</v>
      </c>
      <c r="F42" s="298">
        <v>36</v>
      </c>
      <c r="G42" s="225">
        <v>391384</v>
      </c>
      <c r="H42" s="232">
        <v>394</v>
      </c>
      <c r="I42" s="225">
        <v>36</v>
      </c>
      <c r="J42" s="225">
        <v>394082</v>
      </c>
      <c r="K42" s="232">
        <v>256</v>
      </c>
    </row>
    <row r="43" spans="2:11" x14ac:dyDescent="0.25">
      <c r="B43" s="89" t="s">
        <v>88</v>
      </c>
      <c r="C43" s="6">
        <f>SUM(G66:G70)</f>
        <v>1718792</v>
      </c>
      <c r="D43" s="6">
        <f>SUM(H66:H70)</f>
        <v>16485</v>
      </c>
      <c r="F43" s="298">
        <v>37</v>
      </c>
      <c r="G43" s="225">
        <v>386312</v>
      </c>
      <c r="H43" s="232">
        <v>436</v>
      </c>
      <c r="I43" s="225">
        <v>37</v>
      </c>
      <c r="J43" s="225">
        <v>387352</v>
      </c>
      <c r="K43" s="232">
        <v>251</v>
      </c>
    </row>
    <row r="44" spans="2:11" x14ac:dyDescent="0.25">
      <c r="B44" s="89" t="s">
        <v>101</v>
      </c>
      <c r="C44" s="6"/>
      <c r="D44" s="6"/>
      <c r="F44" s="298">
        <v>38</v>
      </c>
      <c r="G44" s="225">
        <v>392139</v>
      </c>
      <c r="H44" s="232">
        <v>572</v>
      </c>
      <c r="I44" s="225">
        <v>38</v>
      </c>
      <c r="J44" s="225">
        <v>396798</v>
      </c>
      <c r="K44" s="232">
        <v>308</v>
      </c>
    </row>
    <row r="45" spans="2:11" x14ac:dyDescent="0.25">
      <c r="B45" s="89" t="s">
        <v>87</v>
      </c>
      <c r="C45" s="6">
        <f>SUM(J71:J75)</f>
        <v>1830895</v>
      </c>
      <c r="D45" s="6">
        <f>SUM(K71:K75)</f>
        <v>17261</v>
      </c>
      <c r="F45" s="298">
        <v>39</v>
      </c>
      <c r="G45" s="225">
        <v>399506</v>
      </c>
      <c r="H45" s="232">
        <v>550</v>
      </c>
      <c r="I45" s="225">
        <v>39</v>
      </c>
      <c r="J45" s="225">
        <v>404756</v>
      </c>
      <c r="K45" s="232">
        <v>304</v>
      </c>
    </row>
    <row r="46" spans="2:11" x14ac:dyDescent="0.25">
      <c r="B46" s="89" t="s">
        <v>88</v>
      </c>
      <c r="C46" s="6">
        <f>SUM(G71:G75)</f>
        <v>1730893</v>
      </c>
      <c r="D46" s="6">
        <f>SUM(H71:H75)</f>
        <v>25183</v>
      </c>
      <c r="F46" s="340">
        <v>40</v>
      </c>
      <c r="G46" s="341">
        <v>405724</v>
      </c>
      <c r="H46" s="342">
        <v>663</v>
      </c>
      <c r="I46" s="341">
        <v>40</v>
      </c>
      <c r="J46" s="341">
        <v>412848</v>
      </c>
      <c r="K46" s="342">
        <v>398</v>
      </c>
    </row>
    <row r="47" spans="2:11" x14ac:dyDescent="0.25">
      <c r="B47" s="89" t="s">
        <v>102</v>
      </c>
      <c r="C47" s="6"/>
      <c r="D47" s="6"/>
      <c r="F47" s="298">
        <v>41</v>
      </c>
      <c r="G47" s="225">
        <v>424493</v>
      </c>
      <c r="H47" s="232">
        <v>723</v>
      </c>
      <c r="I47" s="225">
        <v>41</v>
      </c>
      <c r="J47" s="225">
        <v>430838</v>
      </c>
      <c r="K47" s="232">
        <v>431</v>
      </c>
    </row>
    <row r="48" spans="2:11" x14ac:dyDescent="0.25">
      <c r="B48" s="89" t="s">
        <v>87</v>
      </c>
      <c r="C48" s="6">
        <f>SUM(J76:J80)</f>
        <v>1383425</v>
      </c>
      <c r="D48" s="6">
        <f>SUM(K76:K80)</f>
        <v>22271</v>
      </c>
      <c r="F48" s="298">
        <v>42</v>
      </c>
      <c r="G48" s="225">
        <v>442516</v>
      </c>
      <c r="H48" s="232">
        <v>714</v>
      </c>
      <c r="I48" s="225">
        <v>42</v>
      </c>
      <c r="J48" s="225">
        <v>450342</v>
      </c>
      <c r="K48" s="232">
        <v>492</v>
      </c>
    </row>
    <row r="49" spans="2:11" x14ac:dyDescent="0.25">
      <c r="B49" s="89" t="s">
        <v>88</v>
      </c>
      <c r="C49" s="6">
        <f>SUM(G76:G80)</f>
        <v>1250136</v>
      </c>
      <c r="D49" s="6">
        <f>SUM(H76:H80)</f>
        <v>30301</v>
      </c>
      <c r="F49" s="298">
        <v>43</v>
      </c>
      <c r="G49" s="225">
        <v>454033</v>
      </c>
      <c r="H49" s="232">
        <v>834</v>
      </c>
      <c r="I49" s="225">
        <v>43</v>
      </c>
      <c r="J49" s="225">
        <v>468294</v>
      </c>
      <c r="K49" s="232">
        <v>571</v>
      </c>
    </row>
    <row r="50" spans="2:11" x14ac:dyDescent="0.25">
      <c r="B50" s="222" t="s">
        <v>306</v>
      </c>
      <c r="C50" s="223">
        <f>SUM(C5:C49)</f>
        <v>59385341</v>
      </c>
      <c r="D50" s="223">
        <f>SUM(D5:D49)</f>
        <v>186885</v>
      </c>
      <c r="F50" s="298">
        <v>44</v>
      </c>
      <c r="G50" s="225">
        <v>444445</v>
      </c>
      <c r="H50" s="232">
        <v>921</v>
      </c>
      <c r="I50" s="225">
        <v>44</v>
      </c>
      <c r="J50" s="225">
        <v>456973</v>
      </c>
      <c r="K50" s="232">
        <v>580</v>
      </c>
    </row>
    <row r="51" spans="2:11" x14ac:dyDescent="0.25">
      <c r="B51" s="89"/>
      <c r="C51" s="6"/>
      <c r="D51" s="6"/>
      <c r="F51" s="340">
        <v>45</v>
      </c>
      <c r="G51" s="341">
        <v>455317</v>
      </c>
      <c r="H51" s="342">
        <v>1040</v>
      </c>
      <c r="I51" s="341">
        <v>45</v>
      </c>
      <c r="J51" s="341">
        <v>469255</v>
      </c>
      <c r="K51" s="342">
        <v>668</v>
      </c>
    </row>
    <row r="52" spans="2:11" x14ac:dyDescent="0.25">
      <c r="B52" s="89"/>
      <c r="C52" s="6"/>
      <c r="D52" s="6"/>
      <c r="F52" s="298">
        <v>46</v>
      </c>
      <c r="G52" s="225">
        <v>455778</v>
      </c>
      <c r="H52" s="232">
        <v>1100</v>
      </c>
      <c r="I52" s="225">
        <v>46</v>
      </c>
      <c r="J52" s="225">
        <v>469484</v>
      </c>
      <c r="K52" s="232">
        <v>705</v>
      </c>
    </row>
    <row r="53" spans="2:11" x14ac:dyDescent="0.25">
      <c r="B53" s="89"/>
      <c r="C53" s="6"/>
      <c r="D53" s="6"/>
      <c r="F53" s="298">
        <v>47</v>
      </c>
      <c r="G53" s="225">
        <v>464071</v>
      </c>
      <c r="H53" s="232">
        <v>1166</v>
      </c>
      <c r="I53" s="225">
        <v>47</v>
      </c>
      <c r="J53" s="225">
        <v>474129</v>
      </c>
      <c r="K53" s="232">
        <v>755</v>
      </c>
    </row>
    <row r="54" spans="2:11" x14ac:dyDescent="0.25">
      <c r="B54" s="89"/>
      <c r="C54" s="6"/>
      <c r="D54" s="6"/>
      <c r="F54" s="298">
        <v>48</v>
      </c>
      <c r="G54" s="225">
        <v>461610</v>
      </c>
      <c r="H54" s="232">
        <v>1244</v>
      </c>
      <c r="I54" s="225">
        <v>48</v>
      </c>
      <c r="J54" s="225">
        <v>476499</v>
      </c>
      <c r="K54" s="232">
        <v>827</v>
      </c>
    </row>
    <row r="55" spans="2:11" x14ac:dyDescent="0.25">
      <c r="B55" s="89"/>
      <c r="C55" s="6"/>
      <c r="D55" s="6"/>
      <c r="F55" s="298">
        <v>49</v>
      </c>
      <c r="G55" s="225">
        <v>465864</v>
      </c>
      <c r="H55" s="232">
        <v>1382</v>
      </c>
      <c r="I55" s="225">
        <v>49</v>
      </c>
      <c r="J55" s="225">
        <v>480520</v>
      </c>
      <c r="K55" s="232">
        <v>871</v>
      </c>
    </row>
    <row r="56" spans="2:11" x14ac:dyDescent="0.25">
      <c r="B56" s="89"/>
      <c r="C56" s="6"/>
      <c r="D56" s="6"/>
      <c r="F56" s="340">
        <v>50</v>
      </c>
      <c r="G56" s="341">
        <v>461541</v>
      </c>
      <c r="H56" s="342">
        <v>1440</v>
      </c>
      <c r="I56" s="341">
        <v>50</v>
      </c>
      <c r="J56" s="341">
        <v>475802</v>
      </c>
      <c r="K56" s="342">
        <v>1037</v>
      </c>
    </row>
    <row r="57" spans="2:11" x14ac:dyDescent="0.25">
      <c r="B57" s="89"/>
      <c r="C57" s="6"/>
      <c r="D57" s="6"/>
      <c r="F57" s="298">
        <v>51</v>
      </c>
      <c r="G57" s="225">
        <v>453132</v>
      </c>
      <c r="H57" s="232">
        <v>1580</v>
      </c>
      <c r="I57" s="225">
        <v>51</v>
      </c>
      <c r="J57" s="225">
        <v>465288</v>
      </c>
      <c r="K57" s="232">
        <v>1082</v>
      </c>
    </row>
    <row r="58" spans="2:11" x14ac:dyDescent="0.25">
      <c r="B58" s="89"/>
      <c r="C58" s="6"/>
      <c r="D58" s="6"/>
      <c r="F58" s="298">
        <v>52</v>
      </c>
      <c r="G58" s="225">
        <v>444765</v>
      </c>
      <c r="H58" s="232">
        <v>1640</v>
      </c>
      <c r="I58" s="225">
        <v>52</v>
      </c>
      <c r="J58" s="225">
        <v>454042</v>
      </c>
      <c r="K58" s="232">
        <v>1149</v>
      </c>
    </row>
    <row r="59" spans="2:11" x14ac:dyDescent="0.25">
      <c r="B59" s="89"/>
      <c r="C59" s="6"/>
      <c r="D59" s="6"/>
      <c r="F59" s="298">
        <v>53</v>
      </c>
      <c r="G59" s="225">
        <v>430028</v>
      </c>
      <c r="H59" s="232">
        <v>1706</v>
      </c>
      <c r="I59" s="225">
        <v>53</v>
      </c>
      <c r="J59" s="225">
        <v>438923</v>
      </c>
      <c r="K59" s="232">
        <v>1174</v>
      </c>
    </row>
    <row r="60" spans="2:11" x14ac:dyDescent="0.25">
      <c r="B60" s="89"/>
      <c r="C60" s="6"/>
      <c r="D60" s="6"/>
      <c r="F60" s="298">
        <v>54</v>
      </c>
      <c r="G60" s="225">
        <v>412989</v>
      </c>
      <c r="H60" s="232">
        <v>1841</v>
      </c>
      <c r="I60" s="225">
        <v>54</v>
      </c>
      <c r="J60" s="225">
        <v>421507</v>
      </c>
      <c r="K60" s="232">
        <v>1227</v>
      </c>
    </row>
    <row r="61" spans="2:11" x14ac:dyDescent="0.25">
      <c r="B61" s="89"/>
      <c r="C61" s="6"/>
      <c r="D61" s="6"/>
      <c r="F61" s="340">
        <v>55</v>
      </c>
      <c r="G61" s="341">
        <v>403877</v>
      </c>
      <c r="H61" s="342">
        <v>1963</v>
      </c>
      <c r="I61" s="341">
        <v>55</v>
      </c>
      <c r="J61" s="341">
        <v>412983</v>
      </c>
      <c r="K61" s="342">
        <v>1372</v>
      </c>
    </row>
    <row r="62" spans="2:11" x14ac:dyDescent="0.25">
      <c r="F62" s="298">
        <v>56</v>
      </c>
      <c r="G62" s="225">
        <v>394739</v>
      </c>
      <c r="H62" s="232">
        <v>2020</v>
      </c>
      <c r="I62" s="225">
        <v>56</v>
      </c>
      <c r="J62" s="225">
        <v>403713</v>
      </c>
      <c r="K62" s="232">
        <v>1439</v>
      </c>
    </row>
    <row r="63" spans="2:11" x14ac:dyDescent="0.25">
      <c r="F63" s="298">
        <v>57</v>
      </c>
      <c r="G63" s="225">
        <v>380158</v>
      </c>
      <c r="H63" s="232">
        <v>2224</v>
      </c>
      <c r="I63" s="225">
        <v>57</v>
      </c>
      <c r="J63" s="225">
        <v>389635</v>
      </c>
      <c r="K63" s="232">
        <v>1573</v>
      </c>
    </row>
    <row r="64" spans="2:11" x14ac:dyDescent="0.25">
      <c r="F64" s="298">
        <v>58</v>
      </c>
      <c r="G64" s="225">
        <v>366613</v>
      </c>
      <c r="H64" s="232">
        <v>2443</v>
      </c>
      <c r="I64" s="225">
        <v>58</v>
      </c>
      <c r="J64" s="225">
        <v>375852</v>
      </c>
      <c r="K64" s="232">
        <v>1588</v>
      </c>
    </row>
    <row r="65" spans="2:11" x14ac:dyDescent="0.25">
      <c r="F65" s="298">
        <v>59</v>
      </c>
      <c r="G65" s="225">
        <v>352170</v>
      </c>
      <c r="H65" s="232">
        <v>2599</v>
      </c>
      <c r="I65" s="225">
        <v>59</v>
      </c>
      <c r="J65" s="225">
        <v>363134</v>
      </c>
      <c r="K65" s="232">
        <v>1676</v>
      </c>
    </row>
    <row r="66" spans="2:11" x14ac:dyDescent="0.25">
      <c r="F66" s="340">
        <v>60</v>
      </c>
      <c r="G66" s="341">
        <v>351859</v>
      </c>
      <c r="H66" s="342">
        <v>2770</v>
      </c>
      <c r="I66" s="341">
        <v>60</v>
      </c>
      <c r="J66" s="341">
        <v>364896</v>
      </c>
      <c r="K66" s="342">
        <v>1925</v>
      </c>
    </row>
    <row r="67" spans="2:11" x14ac:dyDescent="0.25">
      <c r="F67" s="298">
        <v>61</v>
      </c>
      <c r="G67" s="225">
        <v>347724</v>
      </c>
      <c r="H67" s="232">
        <v>3012</v>
      </c>
      <c r="I67" s="225">
        <v>61</v>
      </c>
      <c r="J67" s="225">
        <v>360037</v>
      </c>
      <c r="K67" s="232">
        <v>2051</v>
      </c>
    </row>
    <row r="68" spans="2:11" x14ac:dyDescent="0.25">
      <c r="B68" s="1"/>
      <c r="C68" s="1"/>
      <c r="D68" s="1"/>
      <c r="F68" s="298">
        <v>62</v>
      </c>
      <c r="G68" s="225">
        <v>336380</v>
      </c>
      <c r="H68" s="232">
        <v>3247</v>
      </c>
      <c r="I68" s="225">
        <v>62</v>
      </c>
      <c r="J68" s="225">
        <v>351210</v>
      </c>
      <c r="K68" s="232">
        <v>2170</v>
      </c>
    </row>
    <row r="69" spans="2:11" x14ac:dyDescent="0.25">
      <c r="B69" s="1"/>
      <c r="C69" s="1"/>
      <c r="D69" s="1"/>
      <c r="F69" s="298">
        <v>63</v>
      </c>
      <c r="G69" s="225">
        <v>338723</v>
      </c>
      <c r="H69" s="232">
        <v>3518</v>
      </c>
      <c r="I69" s="225">
        <v>63</v>
      </c>
      <c r="J69" s="225">
        <v>354230</v>
      </c>
      <c r="K69" s="232">
        <v>2365</v>
      </c>
    </row>
    <row r="70" spans="2:11" x14ac:dyDescent="0.25">
      <c r="B70" s="1"/>
      <c r="C70" s="1"/>
      <c r="D70" s="1"/>
      <c r="F70" s="298">
        <v>64</v>
      </c>
      <c r="G70" s="225">
        <v>344106</v>
      </c>
      <c r="H70" s="232">
        <v>3938</v>
      </c>
      <c r="I70" s="225">
        <v>64</v>
      </c>
      <c r="J70" s="225">
        <v>362424</v>
      </c>
      <c r="K70" s="232">
        <v>2712</v>
      </c>
    </row>
    <row r="71" spans="2:11" x14ac:dyDescent="0.25">
      <c r="B71" s="1"/>
      <c r="C71" s="1"/>
      <c r="D71" s="1"/>
      <c r="F71" s="340">
        <v>65</v>
      </c>
      <c r="G71" s="341">
        <v>353019</v>
      </c>
      <c r="H71" s="342">
        <v>4368</v>
      </c>
      <c r="I71" s="341">
        <v>65</v>
      </c>
      <c r="J71" s="341">
        <v>370569</v>
      </c>
      <c r="K71" s="342">
        <v>2938</v>
      </c>
    </row>
    <row r="72" spans="2:11" x14ac:dyDescent="0.25">
      <c r="B72" s="1"/>
      <c r="C72" s="1"/>
      <c r="D72" s="1"/>
      <c r="F72" s="298">
        <v>66</v>
      </c>
      <c r="G72" s="225">
        <v>370692</v>
      </c>
      <c r="H72" s="232">
        <v>4841</v>
      </c>
      <c r="I72" s="225">
        <v>66</v>
      </c>
      <c r="J72" s="225">
        <v>390854</v>
      </c>
      <c r="K72" s="232">
        <v>3261</v>
      </c>
    </row>
    <row r="73" spans="2:11" x14ac:dyDescent="0.25">
      <c r="B73" s="1"/>
      <c r="C73" s="1"/>
      <c r="D73" s="1"/>
      <c r="F73" s="298">
        <v>67</v>
      </c>
      <c r="G73" s="225">
        <v>401134</v>
      </c>
      <c r="H73" s="232">
        <v>5605</v>
      </c>
      <c r="I73" s="225">
        <v>67</v>
      </c>
      <c r="J73" s="225">
        <v>422532</v>
      </c>
      <c r="K73" s="232">
        <v>3768</v>
      </c>
    </row>
    <row r="74" spans="2:11" x14ac:dyDescent="0.25">
      <c r="B74" s="1"/>
      <c r="C74" s="1"/>
      <c r="D74" s="1"/>
      <c r="F74" s="298">
        <v>68</v>
      </c>
      <c r="G74" s="225">
        <v>308634</v>
      </c>
      <c r="H74" s="232">
        <v>5010</v>
      </c>
      <c r="I74" s="225">
        <v>68</v>
      </c>
      <c r="J74" s="225">
        <v>327926</v>
      </c>
      <c r="K74" s="232">
        <v>3578</v>
      </c>
    </row>
    <row r="75" spans="2:11" x14ac:dyDescent="0.25">
      <c r="B75" s="1"/>
      <c r="C75" s="1"/>
      <c r="D75" s="1"/>
      <c r="F75" s="298">
        <v>69</v>
      </c>
      <c r="G75" s="225">
        <v>297414</v>
      </c>
      <c r="H75" s="232">
        <v>5359</v>
      </c>
      <c r="I75" s="225">
        <v>69</v>
      </c>
      <c r="J75" s="225">
        <v>319014</v>
      </c>
      <c r="K75" s="232">
        <v>3716</v>
      </c>
    </row>
    <row r="76" spans="2:11" x14ac:dyDescent="0.25">
      <c r="B76" s="1"/>
      <c r="C76" s="1"/>
      <c r="D76" s="1"/>
      <c r="F76" s="340">
        <v>70</v>
      </c>
      <c r="G76" s="341">
        <v>296179</v>
      </c>
      <c r="H76" s="342">
        <v>5754</v>
      </c>
      <c r="I76" s="341">
        <v>70</v>
      </c>
      <c r="J76" s="341">
        <v>317850</v>
      </c>
      <c r="K76" s="342">
        <v>4105</v>
      </c>
    </row>
    <row r="77" spans="2:11" x14ac:dyDescent="0.25">
      <c r="B77" s="1"/>
      <c r="C77" s="1"/>
      <c r="D77" s="1"/>
      <c r="F77" s="298">
        <v>71</v>
      </c>
      <c r="G77" s="225">
        <v>273379</v>
      </c>
      <c r="H77" s="232">
        <v>5915</v>
      </c>
      <c r="I77" s="225">
        <v>71</v>
      </c>
      <c r="J77" s="225">
        <v>298903</v>
      </c>
      <c r="K77" s="232">
        <v>4300</v>
      </c>
    </row>
    <row r="78" spans="2:11" x14ac:dyDescent="0.25">
      <c r="B78" s="1"/>
      <c r="C78" s="1"/>
      <c r="D78" s="1"/>
      <c r="F78" s="298">
        <v>72</v>
      </c>
      <c r="G78" s="225">
        <v>242111</v>
      </c>
      <c r="H78" s="232">
        <v>6034</v>
      </c>
      <c r="I78" s="225">
        <v>72</v>
      </c>
      <c r="J78" s="225">
        <v>269362</v>
      </c>
      <c r="K78" s="232">
        <v>4385</v>
      </c>
    </row>
    <row r="79" spans="2:11" x14ac:dyDescent="0.25">
      <c r="B79" s="1"/>
      <c r="C79" s="1"/>
      <c r="D79" s="1"/>
      <c r="F79" s="298">
        <v>73</v>
      </c>
      <c r="G79" s="225">
        <v>216089</v>
      </c>
      <c r="H79" s="232">
        <v>5858</v>
      </c>
      <c r="I79" s="225">
        <v>73</v>
      </c>
      <c r="J79" s="225">
        <v>244678</v>
      </c>
      <c r="K79" s="232">
        <v>4446</v>
      </c>
    </row>
    <row r="80" spans="2:11" x14ac:dyDescent="0.25">
      <c r="B80" s="1"/>
      <c r="C80" s="1"/>
      <c r="D80" s="1"/>
      <c r="F80" s="236">
        <v>74</v>
      </c>
      <c r="G80" s="9">
        <v>222378</v>
      </c>
      <c r="H80" s="96">
        <v>6740</v>
      </c>
      <c r="I80" s="9">
        <v>74</v>
      </c>
      <c r="J80" s="9">
        <v>252632</v>
      </c>
      <c r="K80" s="96">
        <v>5035</v>
      </c>
    </row>
    <row r="81" spans="6:11" x14ac:dyDescent="0.25">
      <c r="F81" s="5" t="s">
        <v>307</v>
      </c>
      <c r="G81" s="5">
        <f>SUM(G6:G80)</f>
        <v>29634882</v>
      </c>
      <c r="H81" s="5">
        <f>SUM(H6:H80)</f>
        <v>110833</v>
      </c>
      <c r="I81" s="5"/>
      <c r="J81" s="5">
        <f t="shared" ref="J81:K81" si="0">SUM(J6:J80)</f>
        <v>29750459</v>
      </c>
      <c r="K81" s="5">
        <f t="shared" si="0"/>
        <v>76052</v>
      </c>
    </row>
    <row r="82" spans="6:11" x14ac:dyDescent="0.25">
      <c r="F82" s="5"/>
      <c r="G82" s="5"/>
      <c r="H82" s="5"/>
      <c r="I82" s="5"/>
      <c r="J82" s="5"/>
      <c r="K82" s="5"/>
    </row>
    <row r="83" spans="6:11" x14ac:dyDescent="0.25">
      <c r="F83" s="5"/>
      <c r="G83" s="5" t="s">
        <v>308</v>
      </c>
      <c r="H83" s="5"/>
      <c r="I83" s="5"/>
      <c r="J83" s="5"/>
      <c r="K83" s="5"/>
    </row>
    <row r="84" spans="6:11" x14ac:dyDescent="0.25">
      <c r="F84" s="5"/>
      <c r="G84" s="5" t="s">
        <v>103</v>
      </c>
      <c r="H84" s="86">
        <f>SUM(G81+J81)</f>
        <v>59385341</v>
      </c>
      <c r="I84" s="5"/>
      <c r="J84" s="5"/>
      <c r="K84" s="5"/>
    </row>
    <row r="85" spans="6:11" x14ac:dyDescent="0.25">
      <c r="F85" s="5"/>
      <c r="G85" s="5" t="s">
        <v>309</v>
      </c>
      <c r="H85" s="5">
        <f>SUM(H81+K81)</f>
        <v>186885</v>
      </c>
      <c r="I85" s="5"/>
      <c r="J85" s="5"/>
      <c r="K85" s="5"/>
    </row>
    <row r="86" spans="6:11" x14ac:dyDescent="0.25">
      <c r="F86" s="5"/>
      <c r="G86" s="5"/>
      <c r="H86" s="5"/>
      <c r="I86" s="5"/>
      <c r="J86" s="5"/>
      <c r="K86" s="5"/>
    </row>
    <row r="87" spans="6:11" x14ac:dyDescent="0.25">
      <c r="F87" s="5"/>
      <c r="G87" s="5"/>
      <c r="H87" s="5"/>
      <c r="I87" s="5"/>
      <c r="J87" s="5"/>
      <c r="K87" s="5"/>
    </row>
    <row r="88" spans="6:11" x14ac:dyDescent="0.25">
      <c r="F88" s="5"/>
      <c r="G88" s="5"/>
      <c r="H88" s="5"/>
      <c r="I88" s="5"/>
      <c r="J88" s="5"/>
      <c r="K88" s="5"/>
    </row>
  </sheetData>
  <mergeCells count="2">
    <mergeCell ref="F3:H3"/>
    <mergeCell ref="I3:K3"/>
  </mergeCells>
  <pageMargins left="0.7" right="0.7" top="0.75" bottom="0.75" header="0.3" footer="0.3"/>
  <pageSetup orientation="portrait" horizontalDpi="0" verticalDpi="0"/>
  <ignoredErrors>
    <ignoredError sqref="C6:D50" formulaRange="1"/>
  </ignoredErrors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AF86"/>
  <sheetViews>
    <sheetView workbookViewId="0">
      <selection activeCell="A9" sqref="A9"/>
    </sheetView>
  </sheetViews>
  <sheetFormatPr defaultColWidth="19.7109375" defaultRowHeight="15" x14ac:dyDescent="0.25"/>
  <cols>
    <col min="1" max="8" width="19.7109375" customWidth="1"/>
    <col min="9" max="9" width="3.28515625" customWidth="1"/>
    <col min="10" max="16" width="19.7109375" customWidth="1"/>
    <col min="17" max="17" width="4.7109375" customWidth="1"/>
    <col min="18" max="18" width="19.7109375" customWidth="1"/>
  </cols>
  <sheetData>
    <row r="1" spans="1:32" s="5" customFormat="1" x14ac:dyDescent="0.25">
      <c r="A1" s="10" t="s">
        <v>287</v>
      </c>
    </row>
    <row r="2" spans="1:32" s="5" customFormat="1" x14ac:dyDescent="0.25">
      <c r="A2" s="5" t="s">
        <v>294</v>
      </c>
      <c r="B2" s="303" t="s">
        <v>318</v>
      </c>
    </row>
    <row r="3" spans="1:32" s="5" customFormat="1" x14ac:dyDescent="0.25">
      <c r="A3" s="5" t="s">
        <v>319</v>
      </c>
      <c r="B3" s="303" t="s">
        <v>317</v>
      </c>
      <c r="D3" s="5" t="s">
        <v>310</v>
      </c>
    </row>
    <row r="4" spans="1:32" s="5" customFormat="1" x14ac:dyDescent="0.25">
      <c r="D4" s="5">
        <f>SUM(D9:D83)</f>
        <v>0.49839077669538612</v>
      </c>
      <c r="F4" s="5">
        <f>SUM(F9:F83)</f>
        <v>0.50160922330461388</v>
      </c>
    </row>
    <row r="5" spans="1:32" s="5" customFormat="1" x14ac:dyDescent="0.25">
      <c r="B5" s="284" t="s">
        <v>292</v>
      </c>
      <c r="J5" s="284" t="s">
        <v>311</v>
      </c>
      <c r="S5" s="9"/>
      <c r="T5" s="9"/>
      <c r="U5" s="9"/>
      <c r="V5" s="9"/>
      <c r="W5" s="352" t="s">
        <v>300</v>
      </c>
      <c r="X5" s="232"/>
      <c r="Y5" s="398" t="s">
        <v>301</v>
      </c>
      <c r="Z5" s="399"/>
      <c r="AA5" s="399"/>
      <c r="AB5" s="399"/>
      <c r="AD5" s="4" t="s">
        <v>303</v>
      </c>
      <c r="AE5" s="4" t="s">
        <v>88</v>
      </c>
      <c r="AF5" s="4" t="s">
        <v>87</v>
      </c>
    </row>
    <row r="6" spans="1:32" s="5" customFormat="1" x14ac:dyDescent="0.25">
      <c r="B6" s="309"/>
      <c r="C6" s="395" t="s">
        <v>88</v>
      </c>
      <c r="D6" s="397"/>
      <c r="E6" s="395" t="s">
        <v>87</v>
      </c>
      <c r="F6" s="397"/>
      <c r="G6" s="396" t="s">
        <v>284</v>
      </c>
      <c r="H6" s="396"/>
      <c r="J6" s="309"/>
      <c r="K6" s="395" t="s">
        <v>88</v>
      </c>
      <c r="L6" s="396"/>
      <c r="M6" s="397"/>
      <c r="N6" s="395" t="s">
        <v>87</v>
      </c>
      <c r="O6" s="396"/>
      <c r="P6" s="396"/>
      <c r="Q6" s="225"/>
      <c r="R6" s="308"/>
      <c r="S6" s="402" t="s">
        <v>299</v>
      </c>
      <c r="T6" s="403"/>
      <c r="U6" s="402" t="s">
        <v>298</v>
      </c>
      <c r="V6" s="403"/>
      <c r="W6" s="400" t="s">
        <v>302</v>
      </c>
      <c r="X6" s="404"/>
      <c r="Y6" s="400" t="s">
        <v>313</v>
      </c>
      <c r="Z6" s="404"/>
      <c r="AA6" s="400" t="s">
        <v>302</v>
      </c>
      <c r="AB6" s="401"/>
      <c r="AD6" s="4" t="s">
        <v>304</v>
      </c>
      <c r="AE6" s="4">
        <f>'CVD prev and nonfatal effects'!T21/100</f>
        <v>0.14599999999999999</v>
      </c>
      <c r="AF6" s="4">
        <f>'CVD prev and nonfatal effects'!T52/100</f>
        <v>8.4000000000000005E-2</v>
      </c>
    </row>
    <row r="7" spans="1:32" s="5" customFormat="1" x14ac:dyDescent="0.25">
      <c r="B7" s="241" t="s">
        <v>55</v>
      </c>
      <c r="C7" s="351" t="s">
        <v>103</v>
      </c>
      <c r="D7" s="241" t="s">
        <v>105</v>
      </c>
      <c r="E7" s="351" t="s">
        <v>103</v>
      </c>
      <c r="F7" s="241" t="s">
        <v>105</v>
      </c>
      <c r="G7" s="245" t="s">
        <v>103</v>
      </c>
      <c r="H7" s="245" t="s">
        <v>105</v>
      </c>
      <c r="J7" s="241" t="s">
        <v>55</v>
      </c>
      <c r="K7" s="351" t="s">
        <v>103</v>
      </c>
      <c r="L7" s="245" t="s">
        <v>294</v>
      </c>
      <c r="M7" s="241" t="s">
        <v>104</v>
      </c>
      <c r="N7" s="351" t="s">
        <v>103</v>
      </c>
      <c r="O7" s="245" t="s">
        <v>294</v>
      </c>
      <c r="P7" s="245" t="s">
        <v>104</v>
      </c>
      <c r="Q7" s="225"/>
      <c r="R7" s="245" t="s">
        <v>55</v>
      </c>
      <c r="S7" s="351" t="s">
        <v>88</v>
      </c>
      <c r="T7" s="241" t="s">
        <v>87</v>
      </c>
      <c r="U7" s="245" t="s">
        <v>88</v>
      </c>
      <c r="V7" s="241" t="s">
        <v>87</v>
      </c>
      <c r="W7" s="245" t="s">
        <v>88</v>
      </c>
      <c r="X7" s="241" t="s">
        <v>87</v>
      </c>
      <c r="Y7" s="245" t="s">
        <v>88</v>
      </c>
      <c r="Z7" s="245" t="s">
        <v>87</v>
      </c>
      <c r="AA7" s="245" t="s">
        <v>88</v>
      </c>
      <c r="AB7" s="245" t="s">
        <v>87</v>
      </c>
      <c r="AD7" s="4" t="s">
        <v>116</v>
      </c>
      <c r="AE7" s="4">
        <f>'CVD prev and nonfatal effects'!T22/100</f>
        <v>0.28499999999999998</v>
      </c>
      <c r="AF7" s="4">
        <f>'CVD prev and nonfatal effects'!T53/100</f>
        <v>0.22500000000000001</v>
      </c>
    </row>
    <row r="8" spans="1:32" s="5" customFormat="1" x14ac:dyDescent="0.25">
      <c r="B8" s="339" t="s">
        <v>295</v>
      </c>
      <c r="C8" s="338">
        <f>SUM(C9:C83)</f>
        <v>27560840</v>
      </c>
      <c r="D8" s="339">
        <f>C8/$G$8</f>
        <v>0.49839077669538612</v>
      </c>
      <c r="E8" s="338">
        <f>SUM(E9:E83)</f>
        <v>27738819</v>
      </c>
      <c r="F8" s="339">
        <f>E8/$G$8</f>
        <v>0.50160922330461388</v>
      </c>
      <c r="G8" s="99">
        <f>SUM(C8,E8)</f>
        <v>55299659</v>
      </c>
      <c r="H8" s="99">
        <f t="shared" ref="H8:H39" si="0">G8/$G$8</f>
        <v>1</v>
      </c>
      <c r="J8" s="339" t="s">
        <v>293</v>
      </c>
      <c r="K8" s="338">
        <v>31793606</v>
      </c>
      <c r="L8" s="99"/>
      <c r="M8" s="339"/>
      <c r="N8" s="338">
        <v>32803146</v>
      </c>
      <c r="O8" s="99"/>
      <c r="P8" s="99"/>
      <c r="Q8" s="225"/>
      <c r="R8" s="99" t="s">
        <v>293</v>
      </c>
      <c r="S8" s="338">
        <f>D8</f>
        <v>0.49839077669538612</v>
      </c>
      <c r="T8" s="339">
        <f>F8</f>
        <v>0.50160922330461388</v>
      </c>
      <c r="U8" s="99"/>
      <c r="V8" s="339"/>
      <c r="W8" s="99"/>
      <c r="X8" s="339"/>
      <c r="Y8" s="99"/>
      <c r="Z8" s="99"/>
      <c r="AA8" s="99"/>
      <c r="AB8" s="99"/>
    </row>
    <row r="9" spans="1:32" s="5" customFormat="1" x14ac:dyDescent="0.25">
      <c r="B9" s="232">
        <v>0</v>
      </c>
      <c r="C9" s="298">
        <v>361709</v>
      </c>
      <c r="D9" s="232">
        <f t="shared" ref="D9:D72" si="1">C9/$G$8</f>
        <v>6.5408902431025838E-3</v>
      </c>
      <c r="E9" s="298">
        <v>342852</v>
      </c>
      <c r="F9" s="232">
        <f t="shared" ref="F9:F72" si="2">E9/$G$8</f>
        <v>6.1998935653473017E-3</v>
      </c>
      <c r="G9" s="225">
        <f t="shared" ref="G9:G72" si="3">SUM(C9,E9)</f>
        <v>704561</v>
      </c>
      <c r="H9" s="225">
        <f t="shared" si="0"/>
        <v>1.2740783808449885E-2</v>
      </c>
      <c r="J9" s="232">
        <v>0</v>
      </c>
      <c r="K9" s="298">
        <v>398997</v>
      </c>
      <c r="L9" s="225">
        <v>1646</v>
      </c>
      <c r="M9" s="232">
        <f>100000*L9/K9</f>
        <v>412.53443008343419</v>
      </c>
      <c r="N9" s="298">
        <v>379368</v>
      </c>
      <c r="O9" s="225">
        <v>1368</v>
      </c>
      <c r="P9" s="225">
        <f>100000*O9/N9</f>
        <v>360.5997342949326</v>
      </c>
      <c r="Q9" s="225"/>
      <c r="R9" s="5">
        <v>0</v>
      </c>
      <c r="S9" s="298">
        <f t="shared" ref="S9:S72" si="4">D9</f>
        <v>6.5408902431025838E-3</v>
      </c>
      <c r="T9" s="5">
        <f t="shared" ref="T9:T72" si="5">F9</f>
        <v>6.1998935653473017E-3</v>
      </c>
      <c r="U9" s="298">
        <f t="shared" ref="U9:U72" si="6">M9</f>
        <v>412.53443008343419</v>
      </c>
      <c r="V9" s="5">
        <f t="shared" ref="V9:V72" si="7">P9</f>
        <v>360.5997342949326</v>
      </c>
      <c r="W9" s="298">
        <f t="shared" ref="W9:W40" si="8">IF(R9&lt;=39, U9, U9 + delta_40_74)</f>
        <v>412.53443008343419</v>
      </c>
      <c r="X9" s="232">
        <f t="shared" ref="X9:X40" si="9">IF(R9&lt;=39, V9, V9+delta_40_74)</f>
        <v>360.5997342949326</v>
      </c>
      <c r="Y9" s="225">
        <f t="shared" ref="Y9:Y40" si="10">IF(R9&lt;=39,  U9,  IF(R9&lt;=64,  U9/((mCVDmort-1)*$AE$6 + 1),   U9/((mCVDmort-1)*$AE$7 +1 )))</f>
        <v>412.53443008343419</v>
      </c>
      <c r="Z9" s="225">
        <f t="shared" ref="Z9:Z40" si="11">IF(R9&lt;=39,  V9,  IF(R9&lt;=64,  V9/((fCVDmort-1)*$AF$6 + 1),   V9/((fCVDmort-1)*$AF$7 + 1)))</f>
        <v>360.5997342949326</v>
      </c>
      <c r="AA9" s="225">
        <f t="shared" ref="AA9:AA40" si="12">IF(R9&lt;=39, U9, IF(R9&lt;=64, $AE$6*(Y9*mCVDmort+delta_CVD)  + (1-$AE$6)*Y9, $AE$7*(Y9*mCVDmort+delta_CVD)  + (1-$AE$7)*Y9))</f>
        <v>412.53443008343419</v>
      </c>
      <c r="AB9" s="225">
        <f t="shared" ref="AB9:AB40" si="13">IF(R9&lt;=39,   V9,   IF(R9&lt;=64, $AF$6*(Z9*fCVDmort+delta_CVD)  + (1-$AF$6)*Z9,    $AF$7*(Z9*fCVDmort+delta_CVD)  + (1-$AF$7)*Z9))</f>
        <v>360.5997342949326</v>
      </c>
    </row>
    <row r="10" spans="1:32" s="5" customFormat="1" x14ac:dyDescent="0.25">
      <c r="B10" s="232">
        <v>1</v>
      </c>
      <c r="C10" s="298">
        <v>349375</v>
      </c>
      <c r="D10" s="232">
        <f t="shared" si="1"/>
        <v>6.317850893076936E-3</v>
      </c>
      <c r="E10" s="298">
        <v>330094</v>
      </c>
      <c r="F10" s="232">
        <f t="shared" si="2"/>
        <v>5.969186898602756E-3</v>
      </c>
      <c r="G10" s="225">
        <f t="shared" si="3"/>
        <v>679469</v>
      </c>
      <c r="H10" s="225">
        <f t="shared" si="0"/>
        <v>1.2287037791679691E-2</v>
      </c>
      <c r="J10" s="232">
        <v>1</v>
      </c>
      <c r="K10" s="298">
        <v>410138</v>
      </c>
      <c r="L10" s="225">
        <v>142</v>
      </c>
      <c r="M10" s="232">
        <f t="shared" ref="M10:M73" si="14">100000*L10/K10</f>
        <v>34.622492917018171</v>
      </c>
      <c r="N10" s="298">
        <v>389551</v>
      </c>
      <c r="O10" s="225">
        <v>82</v>
      </c>
      <c r="P10" s="225">
        <f t="shared" ref="P10:P73" si="15">100000*O10/N10</f>
        <v>21.049875369335467</v>
      </c>
      <c r="Q10" s="225"/>
      <c r="R10" s="5">
        <v>1</v>
      </c>
      <c r="S10" s="298">
        <f t="shared" si="4"/>
        <v>6.317850893076936E-3</v>
      </c>
      <c r="T10" s="5">
        <f t="shared" si="5"/>
        <v>5.969186898602756E-3</v>
      </c>
      <c r="U10" s="298">
        <f t="shared" si="6"/>
        <v>34.622492917018171</v>
      </c>
      <c r="V10" s="5">
        <f t="shared" si="7"/>
        <v>21.049875369335467</v>
      </c>
      <c r="W10" s="298">
        <f t="shared" si="8"/>
        <v>34.622492917018171</v>
      </c>
      <c r="X10" s="232">
        <f t="shared" si="9"/>
        <v>21.049875369335467</v>
      </c>
      <c r="Y10" s="225">
        <f t="shared" si="10"/>
        <v>34.622492917018171</v>
      </c>
      <c r="Z10" s="225">
        <f t="shared" si="11"/>
        <v>21.049875369335467</v>
      </c>
      <c r="AA10" s="225">
        <f t="shared" si="12"/>
        <v>34.622492917018171</v>
      </c>
      <c r="AB10" s="225">
        <f t="shared" si="13"/>
        <v>21.049875369335467</v>
      </c>
    </row>
    <row r="11" spans="1:32" s="5" customFormat="1" x14ac:dyDescent="0.25">
      <c r="B11" s="232">
        <v>2</v>
      </c>
      <c r="C11" s="298">
        <v>338648</v>
      </c>
      <c r="D11" s="232">
        <f t="shared" si="1"/>
        <v>6.1238713967476724E-3</v>
      </c>
      <c r="E11" s="298">
        <v>322718</v>
      </c>
      <c r="F11" s="232">
        <f t="shared" si="2"/>
        <v>5.8358045209645866E-3</v>
      </c>
      <c r="G11" s="225">
        <f t="shared" si="3"/>
        <v>661366</v>
      </c>
      <c r="H11" s="225">
        <f t="shared" si="0"/>
        <v>1.195967591771226E-2</v>
      </c>
      <c r="J11" s="232">
        <v>2</v>
      </c>
      <c r="K11" s="298">
        <v>424084</v>
      </c>
      <c r="L11" s="225">
        <v>72</v>
      </c>
      <c r="M11" s="232">
        <f t="shared" si="14"/>
        <v>16.977768555286218</v>
      </c>
      <c r="N11" s="298">
        <v>403951</v>
      </c>
      <c r="O11" s="225">
        <v>55</v>
      </c>
      <c r="P11" s="225">
        <f t="shared" si="15"/>
        <v>13.615512772588755</v>
      </c>
      <c r="Q11" s="225"/>
      <c r="R11" s="5">
        <v>2</v>
      </c>
      <c r="S11" s="298">
        <f t="shared" si="4"/>
        <v>6.1238713967476724E-3</v>
      </c>
      <c r="T11" s="5">
        <f t="shared" si="5"/>
        <v>5.8358045209645866E-3</v>
      </c>
      <c r="U11" s="298">
        <f t="shared" si="6"/>
        <v>16.977768555286218</v>
      </c>
      <c r="V11" s="5">
        <f t="shared" si="7"/>
        <v>13.615512772588755</v>
      </c>
      <c r="W11" s="298">
        <f t="shared" si="8"/>
        <v>16.977768555286218</v>
      </c>
      <c r="X11" s="232">
        <f t="shared" si="9"/>
        <v>13.615512772588755</v>
      </c>
      <c r="Y11" s="225">
        <f t="shared" si="10"/>
        <v>16.977768555286218</v>
      </c>
      <c r="Z11" s="225">
        <f t="shared" si="11"/>
        <v>13.615512772588755</v>
      </c>
      <c r="AA11" s="225">
        <f t="shared" si="12"/>
        <v>16.977768555286218</v>
      </c>
      <c r="AB11" s="225">
        <f t="shared" si="13"/>
        <v>13.615512772588755</v>
      </c>
      <c r="AD11" s="337" t="s">
        <v>300</v>
      </c>
    </row>
    <row r="12" spans="1:32" s="5" customFormat="1" x14ac:dyDescent="0.25">
      <c r="B12" s="232">
        <v>3</v>
      </c>
      <c r="C12" s="298">
        <v>338616</v>
      </c>
      <c r="D12" s="232">
        <f t="shared" si="1"/>
        <v>6.1232927313349256E-3</v>
      </c>
      <c r="E12" s="298">
        <v>324629</v>
      </c>
      <c r="F12" s="232">
        <f t="shared" si="2"/>
        <v>5.870361696082068E-3</v>
      </c>
      <c r="G12" s="225">
        <f t="shared" si="3"/>
        <v>663245</v>
      </c>
      <c r="H12" s="225">
        <f t="shared" si="0"/>
        <v>1.1993654427416994E-2</v>
      </c>
      <c r="J12" s="232">
        <v>3</v>
      </c>
      <c r="K12" s="298">
        <v>418717</v>
      </c>
      <c r="L12" s="225">
        <v>56</v>
      </c>
      <c r="M12" s="232">
        <f t="shared" si="14"/>
        <v>13.374188294241696</v>
      </c>
      <c r="N12" s="298">
        <v>398986</v>
      </c>
      <c r="O12" s="225">
        <v>45</v>
      </c>
      <c r="P12" s="225">
        <f t="shared" si="15"/>
        <v>11.278591228764919</v>
      </c>
      <c r="Q12" s="225"/>
      <c r="R12" s="5">
        <v>3</v>
      </c>
      <c r="S12" s="298">
        <f t="shared" si="4"/>
        <v>6.1232927313349256E-3</v>
      </c>
      <c r="T12" s="5">
        <f t="shared" si="5"/>
        <v>5.870361696082068E-3</v>
      </c>
      <c r="U12" s="298">
        <f t="shared" si="6"/>
        <v>13.374188294241696</v>
      </c>
      <c r="V12" s="5">
        <f t="shared" si="7"/>
        <v>11.278591228764919</v>
      </c>
      <c r="W12" s="298">
        <f t="shared" si="8"/>
        <v>13.374188294241696</v>
      </c>
      <c r="X12" s="232">
        <f t="shared" si="9"/>
        <v>11.278591228764919</v>
      </c>
      <c r="Y12" s="225">
        <f t="shared" si="10"/>
        <v>13.374188294241696</v>
      </c>
      <c r="Z12" s="225">
        <f t="shared" si="11"/>
        <v>11.278591228764919</v>
      </c>
      <c r="AA12" s="225">
        <f t="shared" si="12"/>
        <v>13.374188294241696</v>
      </c>
      <c r="AB12" s="225">
        <f t="shared" si="13"/>
        <v>11.278591228764919</v>
      </c>
      <c r="AD12" s="298" t="s">
        <v>297</v>
      </c>
      <c r="AE12" s="231"/>
    </row>
    <row r="13" spans="1:32" s="5" customFormat="1" x14ac:dyDescent="0.25">
      <c r="B13" s="232">
        <v>4</v>
      </c>
      <c r="C13" s="298">
        <v>349033</v>
      </c>
      <c r="D13" s="232">
        <f t="shared" si="1"/>
        <v>6.3116664064782023E-3</v>
      </c>
      <c r="E13" s="298">
        <v>331738</v>
      </c>
      <c r="F13" s="232">
        <f t="shared" si="2"/>
        <v>5.9989158341826306E-3</v>
      </c>
      <c r="G13" s="225">
        <f t="shared" si="3"/>
        <v>680771</v>
      </c>
      <c r="H13" s="225">
        <f t="shared" si="0"/>
        <v>1.2310582240660834E-2</v>
      </c>
      <c r="J13" s="232">
        <v>4</v>
      </c>
      <c r="K13" s="298">
        <v>410610</v>
      </c>
      <c r="L13" s="225">
        <v>30</v>
      </c>
      <c r="M13" s="232">
        <f t="shared" si="14"/>
        <v>7.3062029663184047</v>
      </c>
      <c r="N13" s="298">
        <v>392241</v>
      </c>
      <c r="O13" s="225">
        <v>29</v>
      </c>
      <c r="P13" s="225">
        <f t="shared" si="15"/>
        <v>7.393413743081422</v>
      </c>
      <c r="Q13" s="225"/>
      <c r="R13" s="5">
        <v>4</v>
      </c>
      <c r="S13" s="298">
        <f t="shared" si="4"/>
        <v>6.3116664064782023E-3</v>
      </c>
      <c r="T13" s="5">
        <f t="shared" si="5"/>
        <v>5.9989158341826306E-3</v>
      </c>
      <c r="U13" s="298">
        <f t="shared" si="6"/>
        <v>7.3062029663184047</v>
      </c>
      <c r="V13" s="5">
        <f t="shared" si="7"/>
        <v>7.393413743081422</v>
      </c>
      <c r="W13" s="298">
        <f t="shared" si="8"/>
        <v>7.3062029663184047</v>
      </c>
      <c r="X13" s="232">
        <f t="shared" si="9"/>
        <v>7.393413743081422</v>
      </c>
      <c r="Y13" s="225">
        <f t="shared" si="10"/>
        <v>7.3062029663184047</v>
      </c>
      <c r="Z13" s="225">
        <f t="shared" si="11"/>
        <v>7.393413743081422</v>
      </c>
      <c r="AA13" s="225">
        <f t="shared" si="12"/>
        <v>7.3062029663184047</v>
      </c>
      <c r="AB13" s="225">
        <f t="shared" si="13"/>
        <v>7.393413743081422</v>
      </c>
      <c r="AD13" s="298" t="s">
        <v>286</v>
      </c>
      <c r="AE13" s="232">
        <f>SUMPRODUCT(U9:U83, S9:S83) + SUMPRODUCT(V9:V83, T9:T83)</f>
        <v>294.80417712519011</v>
      </c>
    </row>
    <row r="14" spans="1:32" s="5" customFormat="1" x14ac:dyDescent="0.25">
      <c r="B14" s="232">
        <v>5</v>
      </c>
      <c r="C14" s="298">
        <v>358717</v>
      </c>
      <c r="D14" s="232">
        <f t="shared" si="1"/>
        <v>6.4867850270107453E-3</v>
      </c>
      <c r="E14" s="298">
        <v>342209</v>
      </c>
      <c r="F14" s="232">
        <f t="shared" si="2"/>
        <v>6.188266007209918E-3</v>
      </c>
      <c r="G14" s="225">
        <f t="shared" si="3"/>
        <v>700926</v>
      </c>
      <c r="H14" s="225">
        <f t="shared" si="0"/>
        <v>1.2675051034220662E-2</v>
      </c>
      <c r="J14" s="232">
        <v>5</v>
      </c>
      <c r="K14" s="298">
        <v>406814</v>
      </c>
      <c r="L14" s="225">
        <v>39</v>
      </c>
      <c r="M14" s="232">
        <f t="shared" si="14"/>
        <v>9.5866907235247556</v>
      </c>
      <c r="N14" s="298">
        <v>388490</v>
      </c>
      <c r="O14" s="225">
        <v>28</v>
      </c>
      <c r="P14" s="225">
        <f t="shared" si="15"/>
        <v>7.2073927256814851</v>
      </c>
      <c r="Q14" s="225"/>
      <c r="R14" s="5">
        <v>5</v>
      </c>
      <c r="S14" s="298">
        <f t="shared" si="4"/>
        <v>6.4867850270107453E-3</v>
      </c>
      <c r="T14" s="5">
        <f t="shared" si="5"/>
        <v>6.188266007209918E-3</v>
      </c>
      <c r="U14" s="298">
        <f t="shared" si="6"/>
        <v>9.5866907235247556</v>
      </c>
      <c r="V14" s="5">
        <f t="shared" si="7"/>
        <v>7.2073927256814851</v>
      </c>
      <c r="W14" s="298">
        <f t="shared" si="8"/>
        <v>9.5866907235247556</v>
      </c>
      <c r="X14" s="232">
        <f t="shared" si="9"/>
        <v>7.2073927256814851</v>
      </c>
      <c r="Y14" s="225">
        <f t="shared" si="10"/>
        <v>9.5866907235247556</v>
      </c>
      <c r="Z14" s="225">
        <f t="shared" si="11"/>
        <v>7.2073927256814851</v>
      </c>
      <c r="AA14" s="225">
        <f t="shared" si="12"/>
        <v>9.5866907235247556</v>
      </c>
      <c r="AB14" s="225">
        <f t="shared" si="13"/>
        <v>7.2073927256814851</v>
      </c>
      <c r="AD14" s="298" t="s">
        <v>267</v>
      </c>
      <c r="AE14" s="232">
        <f>SUMPRODUCT(W9:W83, S9:S83) + SUMPRODUCT(X9:X83, T9:T83)</f>
        <v>298.48417712519006</v>
      </c>
    </row>
    <row r="15" spans="1:32" s="5" customFormat="1" ht="15.75" thickBot="1" x14ac:dyDescent="0.3">
      <c r="B15" s="232">
        <v>6</v>
      </c>
      <c r="C15" s="298">
        <v>364714</v>
      </c>
      <c r="D15" s="232">
        <f t="shared" si="1"/>
        <v>6.5952305420183517E-3</v>
      </c>
      <c r="E15" s="298">
        <v>349297</v>
      </c>
      <c r="F15" s="232">
        <f t="shared" si="2"/>
        <v>6.3164403961333652E-3</v>
      </c>
      <c r="G15" s="225">
        <f t="shared" si="3"/>
        <v>714011</v>
      </c>
      <c r="H15" s="225">
        <f t="shared" si="0"/>
        <v>1.2911670938151716E-2</v>
      </c>
      <c r="J15" s="232">
        <v>6</v>
      </c>
      <c r="K15" s="298">
        <v>410302</v>
      </c>
      <c r="L15" s="225">
        <v>46</v>
      </c>
      <c r="M15" s="232">
        <f t="shared" si="14"/>
        <v>11.211254149382651</v>
      </c>
      <c r="N15" s="298">
        <v>391280</v>
      </c>
      <c r="O15" s="225">
        <v>32</v>
      </c>
      <c r="P15" s="225">
        <f t="shared" si="15"/>
        <v>8.1782866489470454</v>
      </c>
      <c r="Q15" s="225"/>
      <c r="R15" s="5">
        <v>6</v>
      </c>
      <c r="S15" s="298">
        <f t="shared" si="4"/>
        <v>6.5952305420183517E-3</v>
      </c>
      <c r="T15" s="5">
        <f t="shared" si="5"/>
        <v>6.3164403961333652E-3</v>
      </c>
      <c r="U15" s="298">
        <f t="shared" si="6"/>
        <v>11.211254149382651</v>
      </c>
      <c r="V15" s="5">
        <f t="shared" si="7"/>
        <v>8.1782866489470454</v>
      </c>
      <c r="W15" s="298">
        <f>IF(R15&lt;=39, U15, U15 + delta_40_74)</f>
        <v>11.211254149382651</v>
      </c>
      <c r="X15" s="232">
        <f t="shared" si="9"/>
        <v>8.1782866489470454</v>
      </c>
      <c r="Y15" s="225">
        <f t="shared" si="10"/>
        <v>11.211254149382651</v>
      </c>
      <c r="Z15" s="225">
        <f t="shared" si="11"/>
        <v>8.1782866489470454</v>
      </c>
      <c r="AA15" s="225">
        <f t="shared" si="12"/>
        <v>11.211254149382651</v>
      </c>
      <c r="AB15" s="225">
        <f t="shared" si="13"/>
        <v>8.1782866489470454</v>
      </c>
      <c r="AD15" s="298" t="s">
        <v>268</v>
      </c>
      <c r="AE15" s="232">
        <f>AE14-AE13</f>
        <v>3.67999999999995</v>
      </c>
    </row>
    <row r="16" spans="1:32" s="5" customFormat="1" ht="15.75" thickBot="1" x14ac:dyDescent="0.3">
      <c r="B16" s="232">
        <v>7</v>
      </c>
      <c r="C16" s="298">
        <v>375430</v>
      </c>
      <c r="D16" s="232">
        <f t="shared" si="1"/>
        <v>6.789011122111983E-3</v>
      </c>
      <c r="E16" s="298">
        <v>357748</v>
      </c>
      <c r="F16" s="232">
        <f t="shared" si="2"/>
        <v>6.4692623149810021E-3</v>
      </c>
      <c r="G16" s="225">
        <f t="shared" si="3"/>
        <v>733178</v>
      </c>
      <c r="H16" s="225">
        <f t="shared" si="0"/>
        <v>1.3258273437092984E-2</v>
      </c>
      <c r="J16" s="232">
        <v>7</v>
      </c>
      <c r="K16" s="298">
        <v>397054</v>
      </c>
      <c r="L16" s="225">
        <v>34</v>
      </c>
      <c r="M16" s="232">
        <f t="shared" si="14"/>
        <v>8.5630669883693393</v>
      </c>
      <c r="N16" s="298">
        <v>377729</v>
      </c>
      <c r="O16" s="225">
        <v>33</v>
      </c>
      <c r="P16" s="225">
        <f t="shared" si="15"/>
        <v>8.736422143917995</v>
      </c>
      <c r="Q16" s="225"/>
      <c r="R16" s="5">
        <v>7</v>
      </c>
      <c r="S16" s="298">
        <f t="shared" si="4"/>
        <v>6.789011122111983E-3</v>
      </c>
      <c r="T16" s="5">
        <f t="shared" si="5"/>
        <v>6.4692623149810021E-3</v>
      </c>
      <c r="U16" s="298">
        <f t="shared" si="6"/>
        <v>8.5630669883693393</v>
      </c>
      <c r="V16" s="5">
        <f t="shared" si="7"/>
        <v>8.736422143917995</v>
      </c>
      <c r="W16" s="298">
        <f t="shared" si="8"/>
        <v>8.5630669883693393</v>
      </c>
      <c r="X16" s="232">
        <f t="shared" si="9"/>
        <v>8.736422143917995</v>
      </c>
      <c r="Y16" s="225">
        <f>IF(R16&lt;=39,  U16,  IF(R16&lt;=64,  U16/((mCVDmort-1)*$AE$6 + 1),   U16/((mCVDmort-1)*$AE$7 +1 )))</f>
        <v>8.5630669883693393</v>
      </c>
      <c r="Z16" s="225">
        <f t="shared" si="11"/>
        <v>8.736422143917995</v>
      </c>
      <c r="AA16" s="225">
        <f t="shared" si="12"/>
        <v>8.5630669883693393</v>
      </c>
      <c r="AB16" s="225">
        <f t="shared" si="13"/>
        <v>8.736422143917995</v>
      </c>
      <c r="AD16" s="336" t="s">
        <v>39</v>
      </c>
      <c r="AE16" s="335">
        <v>8.4599753828429805</v>
      </c>
    </row>
    <row r="17" spans="2:31" s="5" customFormat="1" x14ac:dyDescent="0.25">
      <c r="B17" s="232">
        <v>8</v>
      </c>
      <c r="C17" s="298">
        <v>372882</v>
      </c>
      <c r="D17" s="232">
        <f t="shared" si="1"/>
        <v>6.7429348886220075E-3</v>
      </c>
      <c r="E17" s="298">
        <v>354777</v>
      </c>
      <c r="F17" s="232">
        <f t="shared" si="2"/>
        <v>6.4155368480662781E-3</v>
      </c>
      <c r="G17" s="225">
        <f t="shared" si="3"/>
        <v>727659</v>
      </c>
      <c r="H17" s="225">
        <f t="shared" si="0"/>
        <v>1.3158471736688286E-2</v>
      </c>
      <c r="J17" s="232">
        <v>8</v>
      </c>
      <c r="K17" s="298">
        <v>388063</v>
      </c>
      <c r="L17" s="225">
        <v>26</v>
      </c>
      <c r="M17" s="232">
        <f t="shared" si="14"/>
        <v>6.6999430504840705</v>
      </c>
      <c r="N17" s="298">
        <v>370572</v>
      </c>
      <c r="O17" s="225">
        <v>25</v>
      </c>
      <c r="P17" s="225">
        <f t="shared" si="15"/>
        <v>6.7463272994181969</v>
      </c>
      <c r="Q17" s="225"/>
      <c r="R17" s="5">
        <v>8</v>
      </c>
      <c r="S17" s="298">
        <f t="shared" si="4"/>
        <v>6.7429348886220075E-3</v>
      </c>
      <c r="T17" s="5">
        <f t="shared" si="5"/>
        <v>6.4155368480662781E-3</v>
      </c>
      <c r="U17" s="298">
        <f t="shared" si="6"/>
        <v>6.6999430504840705</v>
      </c>
      <c r="V17" s="5">
        <f t="shared" si="7"/>
        <v>6.7463272994181969</v>
      </c>
      <c r="W17" s="298">
        <f t="shared" si="8"/>
        <v>6.6999430504840705</v>
      </c>
      <c r="X17" s="232">
        <f t="shared" si="9"/>
        <v>6.7463272994181969</v>
      </c>
      <c r="Y17" s="225">
        <f t="shared" si="10"/>
        <v>6.6999430504840705</v>
      </c>
      <c r="Z17" s="225">
        <f t="shared" si="11"/>
        <v>6.7463272994181969</v>
      </c>
      <c r="AA17" s="225">
        <f t="shared" si="12"/>
        <v>6.6999430504840705</v>
      </c>
      <c r="AB17" s="225">
        <f t="shared" si="13"/>
        <v>6.7463272994181969</v>
      </c>
    </row>
    <row r="18" spans="2:31" s="5" customFormat="1" x14ac:dyDescent="0.25">
      <c r="B18" s="232">
        <v>9</v>
      </c>
      <c r="C18" s="298">
        <v>374701</v>
      </c>
      <c r="D18" s="232">
        <f t="shared" si="1"/>
        <v>6.7758284006778418E-3</v>
      </c>
      <c r="E18" s="298">
        <v>355966</v>
      </c>
      <c r="F18" s="232">
        <f t="shared" si="2"/>
        <v>6.4370378848086565E-3</v>
      </c>
      <c r="G18" s="225">
        <f t="shared" si="3"/>
        <v>730667</v>
      </c>
      <c r="H18" s="225">
        <f t="shared" si="0"/>
        <v>1.3212866285486497E-2</v>
      </c>
      <c r="J18" s="232">
        <v>9</v>
      </c>
      <c r="K18" s="298">
        <v>373006</v>
      </c>
      <c r="L18" s="225">
        <v>39</v>
      </c>
      <c r="M18" s="232">
        <f t="shared" si="14"/>
        <v>10.455595888537985</v>
      </c>
      <c r="N18" s="298">
        <v>355814</v>
      </c>
      <c r="O18" s="225">
        <v>25</v>
      </c>
      <c r="P18" s="225">
        <f t="shared" si="15"/>
        <v>7.0261428723996247</v>
      </c>
      <c r="Q18" s="225"/>
      <c r="R18" s="5">
        <v>9</v>
      </c>
      <c r="S18" s="298">
        <f t="shared" si="4"/>
        <v>6.7758284006778418E-3</v>
      </c>
      <c r="T18" s="5">
        <f t="shared" si="5"/>
        <v>6.4370378848086565E-3</v>
      </c>
      <c r="U18" s="298">
        <f t="shared" si="6"/>
        <v>10.455595888537985</v>
      </c>
      <c r="V18" s="5">
        <f t="shared" si="7"/>
        <v>7.0261428723996247</v>
      </c>
      <c r="W18" s="298">
        <f>IF(R18&lt;=39, U18, U18 + delta_40_74)</f>
        <v>10.455595888537985</v>
      </c>
      <c r="X18" s="232">
        <f t="shared" si="9"/>
        <v>7.0261428723996247</v>
      </c>
      <c r="Y18" s="225">
        <f t="shared" si="10"/>
        <v>10.455595888537985</v>
      </c>
      <c r="Z18" s="225">
        <f t="shared" si="11"/>
        <v>7.0261428723996247</v>
      </c>
      <c r="AA18" s="225">
        <f t="shared" si="12"/>
        <v>10.455595888537985</v>
      </c>
      <c r="AB18" s="225">
        <f>IF(R18&lt;=39,   V18,   IF(R18&lt;=64, $AF$6*(Z18*fCVDmort+delta_CVD)  + (1-$AF$6)*Z18,    $AF$7*(Z18*fCVDmort+delta_CVD)  + (1-$AF$7)*Z18))</f>
        <v>7.0261428723996247</v>
      </c>
      <c r="AD18" s="337" t="s">
        <v>305</v>
      </c>
    </row>
    <row r="19" spans="2:31" s="5" customFormat="1" x14ac:dyDescent="0.25">
      <c r="B19" s="232">
        <v>10</v>
      </c>
      <c r="C19" s="298">
        <v>383248</v>
      </c>
      <c r="D19" s="232">
        <f t="shared" si="1"/>
        <v>6.9303863157637192E-3</v>
      </c>
      <c r="E19" s="298">
        <v>364110</v>
      </c>
      <c r="F19" s="232">
        <f t="shared" si="2"/>
        <v>6.584308232352753E-3</v>
      </c>
      <c r="G19" s="225">
        <f t="shared" si="3"/>
        <v>747358</v>
      </c>
      <c r="H19" s="225">
        <f t="shared" si="0"/>
        <v>1.3514694548116471E-2</v>
      </c>
      <c r="J19" s="232">
        <v>10</v>
      </c>
      <c r="K19" s="298">
        <v>366463</v>
      </c>
      <c r="L19" s="225">
        <v>40</v>
      </c>
      <c r="M19" s="232">
        <f t="shared" si="14"/>
        <v>10.91515378087283</v>
      </c>
      <c r="N19" s="298">
        <v>349411</v>
      </c>
      <c r="O19" s="225">
        <v>23</v>
      </c>
      <c r="P19" s="225">
        <f t="shared" si="15"/>
        <v>6.5825059886494701</v>
      </c>
      <c r="Q19" s="225"/>
      <c r="R19" s="5">
        <v>10</v>
      </c>
      <c r="S19" s="298">
        <f t="shared" si="4"/>
        <v>6.9303863157637192E-3</v>
      </c>
      <c r="T19" s="5">
        <f t="shared" si="5"/>
        <v>6.584308232352753E-3</v>
      </c>
      <c r="U19" s="298">
        <f t="shared" si="6"/>
        <v>10.91515378087283</v>
      </c>
      <c r="V19" s="5">
        <f t="shared" si="7"/>
        <v>6.5825059886494701</v>
      </c>
      <c r="W19" s="298">
        <f t="shared" si="8"/>
        <v>10.91515378087283</v>
      </c>
      <c r="X19" s="232">
        <f t="shared" si="9"/>
        <v>6.5825059886494701</v>
      </c>
      <c r="Y19" s="225">
        <f t="shared" si="10"/>
        <v>10.91515378087283</v>
      </c>
      <c r="Z19" s="225">
        <f t="shared" si="11"/>
        <v>6.5825059886494701</v>
      </c>
      <c r="AA19" s="225">
        <f t="shared" si="12"/>
        <v>10.91515378087283</v>
      </c>
      <c r="AB19" s="225">
        <f t="shared" si="13"/>
        <v>6.5825059886494701</v>
      </c>
      <c r="AD19" s="298" t="s">
        <v>297</v>
      </c>
      <c r="AE19" s="231"/>
    </row>
    <row r="20" spans="2:31" s="5" customFormat="1" x14ac:dyDescent="0.25">
      <c r="B20" s="232">
        <v>11</v>
      </c>
      <c r="C20" s="298">
        <v>389189</v>
      </c>
      <c r="D20" s="232">
        <f t="shared" si="1"/>
        <v>7.0378191662990178E-3</v>
      </c>
      <c r="E20" s="298">
        <v>368767</v>
      </c>
      <c r="F20" s="232">
        <f t="shared" si="2"/>
        <v>6.6685221332015805E-3</v>
      </c>
      <c r="G20" s="225">
        <f t="shared" si="3"/>
        <v>757956</v>
      </c>
      <c r="H20" s="225">
        <f t="shared" si="0"/>
        <v>1.3706341299500598E-2</v>
      </c>
      <c r="J20" s="232">
        <v>11</v>
      </c>
      <c r="K20" s="298">
        <v>356301</v>
      </c>
      <c r="L20" s="225">
        <v>36</v>
      </c>
      <c r="M20" s="232">
        <f t="shared" si="14"/>
        <v>10.103816716764758</v>
      </c>
      <c r="N20" s="298">
        <v>339211</v>
      </c>
      <c r="O20" s="225">
        <v>17</v>
      </c>
      <c r="P20" s="225">
        <f t="shared" si="15"/>
        <v>5.0116299294539388</v>
      </c>
      <c r="Q20" s="225"/>
      <c r="R20" s="5">
        <v>11</v>
      </c>
      <c r="S20" s="298">
        <f t="shared" si="4"/>
        <v>7.0378191662990178E-3</v>
      </c>
      <c r="T20" s="5">
        <f t="shared" si="5"/>
        <v>6.6685221332015805E-3</v>
      </c>
      <c r="U20" s="298">
        <f t="shared" si="6"/>
        <v>10.103816716764758</v>
      </c>
      <c r="V20" s="5">
        <f t="shared" si="7"/>
        <v>5.0116299294539388</v>
      </c>
      <c r="W20" s="298">
        <f t="shared" si="8"/>
        <v>10.103816716764758</v>
      </c>
      <c r="X20" s="232">
        <f t="shared" si="9"/>
        <v>5.0116299294539388</v>
      </c>
      <c r="Y20" s="225">
        <f>IF(R20&lt;=39,  U20,  IF(R20&lt;=64,  U20/((mCVDmort-1)*$AE$6 + 1),   U20/((mCVDmort-1)*$AE$7 +1 )))</f>
        <v>10.103816716764758</v>
      </c>
      <c r="Z20" s="225">
        <f t="shared" si="11"/>
        <v>5.0116299294539388</v>
      </c>
      <c r="AA20" s="225">
        <f t="shared" si="12"/>
        <v>10.103816716764758</v>
      </c>
      <c r="AB20" s="225">
        <f t="shared" si="13"/>
        <v>5.0116299294539388</v>
      </c>
      <c r="AD20" s="298" t="s">
        <v>286</v>
      </c>
      <c r="AE20" s="232">
        <f>SUMPRODUCT(U9:U83, S9:S83) + SUMPRODUCT(V9:V83, T9:T83)</f>
        <v>294.80417712519011</v>
      </c>
    </row>
    <row r="21" spans="2:31" s="5" customFormat="1" x14ac:dyDescent="0.25">
      <c r="B21" s="232">
        <v>12</v>
      </c>
      <c r="C21" s="298">
        <v>401889</v>
      </c>
      <c r="D21" s="232">
        <f t="shared" si="1"/>
        <v>7.2674770019829594E-3</v>
      </c>
      <c r="E21" s="298">
        <v>381635</v>
      </c>
      <c r="F21" s="232">
        <f t="shared" si="2"/>
        <v>6.9012179623024437E-3</v>
      </c>
      <c r="G21" s="225">
        <f t="shared" si="3"/>
        <v>783524</v>
      </c>
      <c r="H21" s="225">
        <f t="shared" si="0"/>
        <v>1.4168694964285404E-2</v>
      </c>
      <c r="J21" s="232">
        <v>12</v>
      </c>
      <c r="K21" s="298">
        <v>350571</v>
      </c>
      <c r="L21" s="225">
        <v>37</v>
      </c>
      <c r="M21" s="232">
        <f t="shared" si="14"/>
        <v>10.554210131471228</v>
      </c>
      <c r="N21" s="298">
        <v>334246</v>
      </c>
      <c r="O21" s="225">
        <v>16</v>
      </c>
      <c r="P21" s="225">
        <f t="shared" si="15"/>
        <v>4.7868934856363277</v>
      </c>
      <c r="Q21" s="225"/>
      <c r="R21" s="5">
        <v>12</v>
      </c>
      <c r="S21" s="298">
        <f t="shared" si="4"/>
        <v>7.2674770019829594E-3</v>
      </c>
      <c r="T21" s="5">
        <f t="shared" si="5"/>
        <v>6.9012179623024437E-3</v>
      </c>
      <c r="U21" s="298">
        <f t="shared" si="6"/>
        <v>10.554210131471228</v>
      </c>
      <c r="V21" s="5">
        <f t="shared" si="7"/>
        <v>4.7868934856363277</v>
      </c>
      <c r="W21" s="298">
        <f t="shared" si="8"/>
        <v>10.554210131471228</v>
      </c>
      <c r="X21" s="232">
        <f t="shared" si="9"/>
        <v>4.7868934856363277</v>
      </c>
      <c r="Y21" s="225">
        <f t="shared" si="10"/>
        <v>10.554210131471228</v>
      </c>
      <c r="Z21" s="225">
        <f t="shared" si="11"/>
        <v>4.7868934856363277</v>
      </c>
      <c r="AA21" s="225">
        <f t="shared" si="12"/>
        <v>10.554210131471228</v>
      </c>
      <c r="AB21" s="225">
        <f t="shared" si="13"/>
        <v>4.7868934856363277</v>
      </c>
      <c r="AD21" s="298" t="s">
        <v>267</v>
      </c>
      <c r="AE21" s="232">
        <f>SUMPRODUCT(S9:S83,AA9:AA83)+SUMPRODUCT(T9:T83,AB9:AB83)</f>
        <v>298.48417712519006</v>
      </c>
    </row>
    <row r="22" spans="2:31" s="5" customFormat="1" ht="15.75" thickBot="1" x14ac:dyDescent="0.3">
      <c r="B22" s="232">
        <v>13</v>
      </c>
      <c r="C22" s="298">
        <v>408603</v>
      </c>
      <c r="D22" s="232">
        <f t="shared" si="1"/>
        <v>7.388888238894927E-3</v>
      </c>
      <c r="E22" s="298">
        <v>386637</v>
      </c>
      <c r="F22" s="232">
        <f t="shared" si="2"/>
        <v>6.9916705996324498E-3</v>
      </c>
      <c r="G22" s="225">
        <f t="shared" si="3"/>
        <v>795240</v>
      </c>
      <c r="H22" s="225">
        <f t="shared" si="0"/>
        <v>1.4380558838527378E-2</v>
      </c>
      <c r="J22" s="232">
        <v>13</v>
      </c>
      <c r="K22" s="298">
        <v>359210</v>
      </c>
      <c r="L22" s="225">
        <v>39</v>
      </c>
      <c r="M22" s="232">
        <f t="shared" si="14"/>
        <v>10.857158765067787</v>
      </c>
      <c r="N22" s="298">
        <v>344292</v>
      </c>
      <c r="O22" s="225">
        <v>40</v>
      </c>
      <c r="P22" s="225">
        <f t="shared" si="15"/>
        <v>11.618045147723445</v>
      </c>
      <c r="Q22" s="225"/>
      <c r="R22" s="5">
        <v>13</v>
      </c>
      <c r="S22" s="298">
        <f t="shared" si="4"/>
        <v>7.388888238894927E-3</v>
      </c>
      <c r="T22" s="5">
        <f t="shared" si="5"/>
        <v>6.9916705996324498E-3</v>
      </c>
      <c r="U22" s="298">
        <f t="shared" si="6"/>
        <v>10.857158765067787</v>
      </c>
      <c r="V22" s="5">
        <f t="shared" si="7"/>
        <v>11.618045147723445</v>
      </c>
      <c r="W22" s="298">
        <f t="shared" si="8"/>
        <v>10.857158765067787</v>
      </c>
      <c r="X22" s="232">
        <f t="shared" si="9"/>
        <v>11.618045147723445</v>
      </c>
      <c r="Y22" s="225">
        <f t="shared" si="10"/>
        <v>10.857158765067787</v>
      </c>
      <c r="Z22" s="225">
        <f t="shared" si="11"/>
        <v>11.618045147723445</v>
      </c>
      <c r="AA22" s="225">
        <f t="shared" si="12"/>
        <v>10.857158765067787</v>
      </c>
      <c r="AB22" s="225">
        <f t="shared" si="13"/>
        <v>11.618045147723445</v>
      </c>
      <c r="AD22" s="298" t="s">
        <v>268</v>
      </c>
      <c r="AE22" s="232">
        <f>AE21-AE20</f>
        <v>3.67999999999995</v>
      </c>
    </row>
    <row r="23" spans="2:31" s="5" customFormat="1" ht="15.75" thickBot="1" x14ac:dyDescent="0.3">
      <c r="B23" s="232">
        <v>14</v>
      </c>
      <c r="C23" s="298">
        <v>401921</v>
      </c>
      <c r="D23" s="232">
        <f t="shared" si="1"/>
        <v>7.2680556673957071E-3</v>
      </c>
      <c r="E23" s="298">
        <v>380175</v>
      </c>
      <c r="F23" s="232">
        <f t="shared" si="2"/>
        <v>6.8748163528458651E-3</v>
      </c>
      <c r="G23" s="225">
        <f t="shared" si="3"/>
        <v>782096</v>
      </c>
      <c r="H23" s="225">
        <f t="shared" si="0"/>
        <v>1.4142872020241571E-2</v>
      </c>
      <c r="J23" s="232">
        <v>14</v>
      </c>
      <c r="K23" s="298">
        <v>370466</v>
      </c>
      <c r="L23" s="225">
        <v>49</v>
      </c>
      <c r="M23" s="232">
        <f t="shared" si="14"/>
        <v>13.22658489577991</v>
      </c>
      <c r="N23" s="298">
        <v>351786</v>
      </c>
      <c r="O23" s="225">
        <v>41</v>
      </c>
      <c r="P23" s="225">
        <f t="shared" si="15"/>
        <v>11.654812869187518</v>
      </c>
      <c r="Q23" s="225"/>
      <c r="R23" s="5">
        <v>14</v>
      </c>
      <c r="S23" s="298">
        <f t="shared" si="4"/>
        <v>7.2680556673957071E-3</v>
      </c>
      <c r="T23" s="5">
        <f t="shared" si="5"/>
        <v>6.8748163528458651E-3</v>
      </c>
      <c r="U23" s="298">
        <f t="shared" si="6"/>
        <v>13.22658489577991</v>
      </c>
      <c r="V23" s="5">
        <f t="shared" si="7"/>
        <v>11.654812869187518</v>
      </c>
      <c r="W23" s="298">
        <f t="shared" si="8"/>
        <v>13.22658489577991</v>
      </c>
      <c r="X23" s="232">
        <f t="shared" si="9"/>
        <v>11.654812869187518</v>
      </c>
      <c r="Y23" s="225">
        <f t="shared" si="10"/>
        <v>13.22658489577991</v>
      </c>
      <c r="Z23" s="225">
        <f t="shared" si="11"/>
        <v>11.654812869187518</v>
      </c>
      <c r="AA23" s="225">
        <f t="shared" si="12"/>
        <v>13.22658489577991</v>
      </c>
      <c r="AB23" s="225">
        <f t="shared" si="13"/>
        <v>11.654812869187518</v>
      </c>
      <c r="AD23" s="336" t="s">
        <v>39</v>
      </c>
      <c r="AE23" s="335">
        <v>58.928140022180806</v>
      </c>
    </row>
    <row r="24" spans="2:31" s="5" customFormat="1" x14ac:dyDescent="0.25">
      <c r="B24" s="232">
        <v>15</v>
      </c>
      <c r="C24" s="298">
        <v>400101</v>
      </c>
      <c r="D24" s="232">
        <f t="shared" si="1"/>
        <v>7.2351440720457242E-3</v>
      </c>
      <c r="E24" s="298">
        <v>379324</v>
      </c>
      <c r="F24" s="232">
        <f t="shared" si="2"/>
        <v>6.8594274695256263E-3</v>
      </c>
      <c r="G24" s="225">
        <f t="shared" si="3"/>
        <v>779425</v>
      </c>
      <c r="H24" s="225">
        <f t="shared" si="0"/>
        <v>1.409457154157135E-2</v>
      </c>
      <c r="J24" s="232">
        <v>15</v>
      </c>
      <c r="K24" s="298">
        <v>382196</v>
      </c>
      <c r="L24" s="225">
        <v>56</v>
      </c>
      <c r="M24" s="232">
        <f t="shared" si="14"/>
        <v>14.652167997571926</v>
      </c>
      <c r="N24" s="298">
        <v>363542</v>
      </c>
      <c r="O24" s="225">
        <v>48</v>
      </c>
      <c r="P24" s="225">
        <f t="shared" si="15"/>
        <v>13.203426289122028</v>
      </c>
      <c r="Q24" s="225"/>
      <c r="R24" s="5">
        <v>15</v>
      </c>
      <c r="S24" s="298">
        <f t="shared" si="4"/>
        <v>7.2351440720457242E-3</v>
      </c>
      <c r="T24" s="5">
        <f t="shared" si="5"/>
        <v>6.8594274695256263E-3</v>
      </c>
      <c r="U24" s="298">
        <f t="shared" si="6"/>
        <v>14.652167997571926</v>
      </c>
      <c r="V24" s="5">
        <f t="shared" si="7"/>
        <v>13.203426289122028</v>
      </c>
      <c r="W24" s="298">
        <f t="shared" si="8"/>
        <v>14.652167997571926</v>
      </c>
      <c r="X24" s="232">
        <f t="shared" si="9"/>
        <v>13.203426289122028</v>
      </c>
      <c r="Y24" s="225">
        <f t="shared" si="10"/>
        <v>14.652167997571926</v>
      </c>
      <c r="Z24" s="225">
        <f t="shared" si="11"/>
        <v>13.203426289122028</v>
      </c>
      <c r="AA24" s="225">
        <f t="shared" si="12"/>
        <v>14.652167997571926</v>
      </c>
      <c r="AB24" s="225">
        <f t="shared" si="13"/>
        <v>13.203426289122028</v>
      </c>
    </row>
    <row r="25" spans="2:31" s="5" customFormat="1" x14ac:dyDescent="0.25">
      <c r="B25" s="232">
        <v>16</v>
      </c>
      <c r="C25" s="298">
        <v>408057</v>
      </c>
      <c r="D25" s="232">
        <f t="shared" si="1"/>
        <v>7.3790147602899323E-3</v>
      </c>
      <c r="E25" s="298">
        <v>385993</v>
      </c>
      <c r="F25" s="232">
        <f t="shared" si="2"/>
        <v>6.9800249582009175E-3</v>
      </c>
      <c r="G25" s="225">
        <f t="shared" si="3"/>
        <v>794050</v>
      </c>
      <c r="H25" s="225">
        <f t="shared" si="0"/>
        <v>1.4359039718490851E-2</v>
      </c>
      <c r="J25" s="232">
        <v>16</v>
      </c>
      <c r="K25" s="298">
        <v>387348</v>
      </c>
      <c r="L25" s="225">
        <v>85</v>
      </c>
      <c r="M25" s="232">
        <f t="shared" si="14"/>
        <v>21.944091617873333</v>
      </c>
      <c r="N25" s="298">
        <v>368365</v>
      </c>
      <c r="O25" s="225">
        <v>69</v>
      </c>
      <c r="P25" s="225">
        <f t="shared" si="15"/>
        <v>18.731421280523392</v>
      </c>
      <c r="Q25" s="225"/>
      <c r="R25" s="5">
        <v>16</v>
      </c>
      <c r="S25" s="298">
        <f t="shared" si="4"/>
        <v>7.3790147602899323E-3</v>
      </c>
      <c r="T25" s="5">
        <f t="shared" si="5"/>
        <v>6.9800249582009175E-3</v>
      </c>
      <c r="U25" s="298">
        <f t="shared" si="6"/>
        <v>21.944091617873333</v>
      </c>
      <c r="V25" s="5">
        <f t="shared" si="7"/>
        <v>18.731421280523392</v>
      </c>
      <c r="W25" s="298">
        <f t="shared" si="8"/>
        <v>21.944091617873333</v>
      </c>
      <c r="X25" s="232">
        <f t="shared" si="9"/>
        <v>18.731421280523392</v>
      </c>
      <c r="Y25" s="225">
        <f t="shared" si="10"/>
        <v>21.944091617873333</v>
      </c>
      <c r="Z25" s="225">
        <f t="shared" si="11"/>
        <v>18.731421280523392</v>
      </c>
      <c r="AA25" s="225">
        <f t="shared" si="12"/>
        <v>21.944091617873333</v>
      </c>
      <c r="AB25" s="225">
        <f t="shared" si="13"/>
        <v>18.731421280523392</v>
      </c>
    </row>
    <row r="26" spans="2:31" s="5" customFormat="1" x14ac:dyDescent="0.25">
      <c r="B26" s="232">
        <v>17</v>
      </c>
      <c r="C26" s="298">
        <v>401264</v>
      </c>
      <c r="D26" s="232">
        <f t="shared" si="1"/>
        <v>7.2561749431402462E-3</v>
      </c>
      <c r="E26" s="298">
        <v>378834</v>
      </c>
      <c r="F26" s="232">
        <f t="shared" si="2"/>
        <v>6.8505666553929385E-3</v>
      </c>
      <c r="G26" s="225">
        <f t="shared" si="3"/>
        <v>780098</v>
      </c>
      <c r="H26" s="225">
        <f t="shared" si="0"/>
        <v>1.4106741598533184E-2</v>
      </c>
      <c r="J26" s="232">
        <v>17</v>
      </c>
      <c r="K26" s="298">
        <v>399339</v>
      </c>
      <c r="L26" s="225">
        <v>117</v>
      </c>
      <c r="M26" s="232">
        <f t="shared" si="14"/>
        <v>29.298415631831602</v>
      </c>
      <c r="N26" s="298">
        <v>379140</v>
      </c>
      <c r="O26" s="225">
        <v>62</v>
      </c>
      <c r="P26" s="225">
        <f t="shared" si="15"/>
        <v>16.352798438571504</v>
      </c>
      <c r="Q26" s="225"/>
      <c r="R26" s="5">
        <v>17</v>
      </c>
      <c r="S26" s="298">
        <f t="shared" si="4"/>
        <v>7.2561749431402462E-3</v>
      </c>
      <c r="T26" s="5">
        <f t="shared" si="5"/>
        <v>6.8505666553929385E-3</v>
      </c>
      <c r="U26" s="298">
        <f t="shared" si="6"/>
        <v>29.298415631831602</v>
      </c>
      <c r="V26" s="5">
        <f t="shared" si="7"/>
        <v>16.352798438571504</v>
      </c>
      <c r="W26" s="298">
        <f t="shared" si="8"/>
        <v>29.298415631831602</v>
      </c>
      <c r="X26" s="232">
        <f t="shared" si="9"/>
        <v>16.352798438571504</v>
      </c>
      <c r="Y26" s="225">
        <f t="shared" si="10"/>
        <v>29.298415631831602</v>
      </c>
      <c r="Z26" s="225">
        <f t="shared" si="11"/>
        <v>16.352798438571504</v>
      </c>
      <c r="AA26" s="225">
        <f t="shared" si="12"/>
        <v>29.298415631831602</v>
      </c>
      <c r="AB26" s="225">
        <f t="shared" si="13"/>
        <v>16.352798438571504</v>
      </c>
    </row>
    <row r="27" spans="2:31" s="5" customFormat="1" x14ac:dyDescent="0.25">
      <c r="B27" s="232">
        <v>18</v>
      </c>
      <c r="C27" s="298">
        <v>400574</v>
      </c>
      <c r="D27" s="232">
        <f t="shared" si="1"/>
        <v>7.24369747017789E-3</v>
      </c>
      <c r="E27" s="298">
        <v>377244</v>
      </c>
      <c r="F27" s="232">
        <f t="shared" si="2"/>
        <v>6.8218142176970746E-3</v>
      </c>
      <c r="G27" s="225">
        <f t="shared" si="3"/>
        <v>777818</v>
      </c>
      <c r="H27" s="225">
        <f t="shared" si="0"/>
        <v>1.4065511687874965E-2</v>
      </c>
      <c r="J27" s="232">
        <v>18</v>
      </c>
      <c r="K27" s="298">
        <v>403292</v>
      </c>
      <c r="L27" s="225">
        <v>170</v>
      </c>
      <c r="M27" s="232">
        <f t="shared" si="14"/>
        <v>42.15308015036252</v>
      </c>
      <c r="N27" s="298">
        <v>378465</v>
      </c>
      <c r="O27" s="225">
        <v>77</v>
      </c>
      <c r="P27" s="225">
        <f t="shared" si="15"/>
        <v>20.345342369836047</v>
      </c>
      <c r="Q27" s="225"/>
      <c r="R27" s="5">
        <v>18</v>
      </c>
      <c r="S27" s="298">
        <f t="shared" si="4"/>
        <v>7.24369747017789E-3</v>
      </c>
      <c r="T27" s="5">
        <f t="shared" si="5"/>
        <v>6.8218142176970746E-3</v>
      </c>
      <c r="U27" s="298">
        <f t="shared" si="6"/>
        <v>42.15308015036252</v>
      </c>
      <c r="V27" s="5">
        <f t="shared" si="7"/>
        <v>20.345342369836047</v>
      </c>
      <c r="W27" s="298">
        <f t="shared" si="8"/>
        <v>42.15308015036252</v>
      </c>
      <c r="X27" s="232">
        <f t="shared" si="9"/>
        <v>20.345342369836047</v>
      </c>
      <c r="Y27" s="225">
        <f t="shared" si="10"/>
        <v>42.15308015036252</v>
      </c>
      <c r="Z27" s="225">
        <f t="shared" si="11"/>
        <v>20.345342369836047</v>
      </c>
      <c r="AA27" s="225">
        <f t="shared" si="12"/>
        <v>42.15308015036252</v>
      </c>
      <c r="AB27" s="225">
        <f t="shared" si="13"/>
        <v>20.345342369836047</v>
      </c>
    </row>
    <row r="28" spans="2:31" s="5" customFormat="1" x14ac:dyDescent="0.25">
      <c r="B28" s="232">
        <v>19</v>
      </c>
      <c r="C28" s="298">
        <v>408558</v>
      </c>
      <c r="D28" s="232">
        <f t="shared" si="1"/>
        <v>7.3880744906582516E-3</v>
      </c>
      <c r="E28" s="298">
        <v>383267</v>
      </c>
      <c r="F28" s="232">
        <f t="shared" si="2"/>
        <v>6.9307298983525374E-3</v>
      </c>
      <c r="G28" s="225">
        <f t="shared" si="3"/>
        <v>791825</v>
      </c>
      <c r="H28" s="225">
        <f t="shared" si="0"/>
        <v>1.431880438901079E-2</v>
      </c>
      <c r="J28" s="232">
        <v>19</v>
      </c>
      <c r="K28" s="298">
        <v>405326</v>
      </c>
      <c r="L28" s="225">
        <v>187</v>
      </c>
      <c r="M28" s="232">
        <f t="shared" si="14"/>
        <v>46.135703113049743</v>
      </c>
      <c r="N28" s="298">
        <v>385249</v>
      </c>
      <c r="O28" s="225">
        <v>82</v>
      </c>
      <c r="P28" s="225">
        <f t="shared" si="15"/>
        <v>21.284935197755217</v>
      </c>
      <c r="Q28" s="225"/>
      <c r="R28" s="5">
        <v>19</v>
      </c>
      <c r="S28" s="298">
        <f t="shared" si="4"/>
        <v>7.3880744906582516E-3</v>
      </c>
      <c r="T28" s="5">
        <f t="shared" si="5"/>
        <v>6.9307298983525374E-3</v>
      </c>
      <c r="U28" s="298">
        <f t="shared" si="6"/>
        <v>46.135703113049743</v>
      </c>
      <c r="V28" s="5">
        <f t="shared" si="7"/>
        <v>21.284935197755217</v>
      </c>
      <c r="W28" s="298">
        <f t="shared" si="8"/>
        <v>46.135703113049743</v>
      </c>
      <c r="X28" s="232">
        <f t="shared" si="9"/>
        <v>21.284935197755217</v>
      </c>
      <c r="Y28" s="225">
        <f t="shared" si="10"/>
        <v>46.135703113049743</v>
      </c>
      <c r="Z28" s="225">
        <f t="shared" si="11"/>
        <v>21.284935197755217</v>
      </c>
      <c r="AA28" s="225">
        <f t="shared" si="12"/>
        <v>46.135703113049743</v>
      </c>
      <c r="AB28" s="225">
        <f t="shared" si="13"/>
        <v>21.284935197755217</v>
      </c>
    </row>
    <row r="29" spans="2:31" s="5" customFormat="1" x14ac:dyDescent="0.25">
      <c r="B29" s="232">
        <v>20</v>
      </c>
      <c r="C29" s="298">
        <v>397125</v>
      </c>
      <c r="D29" s="232">
        <f t="shared" si="1"/>
        <v>7.1813281886602591E-3</v>
      </c>
      <c r="E29" s="298">
        <v>370253</v>
      </c>
      <c r="F29" s="232">
        <f t="shared" si="2"/>
        <v>6.6953939083060172E-3</v>
      </c>
      <c r="G29" s="225">
        <f t="shared" si="3"/>
        <v>767378</v>
      </c>
      <c r="H29" s="225">
        <f t="shared" si="0"/>
        <v>1.3876722096966276E-2</v>
      </c>
      <c r="J29" s="232">
        <v>20</v>
      </c>
      <c r="K29" s="298">
        <v>423227</v>
      </c>
      <c r="L29" s="225">
        <v>203</v>
      </c>
      <c r="M29" s="232">
        <f t="shared" si="14"/>
        <v>47.964803757794279</v>
      </c>
      <c r="N29" s="298">
        <v>402761</v>
      </c>
      <c r="O29" s="225">
        <v>77</v>
      </c>
      <c r="P29" s="225">
        <f t="shared" si="15"/>
        <v>19.118037744468804</v>
      </c>
      <c r="Q29" s="225"/>
      <c r="R29" s="5">
        <v>20</v>
      </c>
      <c r="S29" s="298">
        <f t="shared" si="4"/>
        <v>7.1813281886602591E-3</v>
      </c>
      <c r="T29" s="5">
        <f t="shared" si="5"/>
        <v>6.6953939083060172E-3</v>
      </c>
      <c r="U29" s="298">
        <f t="shared" si="6"/>
        <v>47.964803757794279</v>
      </c>
      <c r="V29" s="5">
        <f t="shared" si="7"/>
        <v>19.118037744468804</v>
      </c>
      <c r="W29" s="298">
        <f t="shared" si="8"/>
        <v>47.964803757794279</v>
      </c>
      <c r="X29" s="232">
        <f t="shared" si="9"/>
        <v>19.118037744468804</v>
      </c>
      <c r="Y29" s="225">
        <f t="shared" si="10"/>
        <v>47.964803757794279</v>
      </c>
      <c r="Z29" s="225">
        <f t="shared" si="11"/>
        <v>19.118037744468804</v>
      </c>
      <c r="AA29" s="225">
        <f t="shared" si="12"/>
        <v>47.964803757794279</v>
      </c>
      <c r="AB29" s="225">
        <f t="shared" si="13"/>
        <v>19.118037744468804</v>
      </c>
    </row>
    <row r="30" spans="2:31" s="5" customFormat="1" x14ac:dyDescent="0.25">
      <c r="B30" s="232">
        <v>21</v>
      </c>
      <c r="C30" s="298">
        <v>384958</v>
      </c>
      <c r="D30" s="232">
        <f t="shared" si="1"/>
        <v>6.9613087487573836E-3</v>
      </c>
      <c r="E30" s="298">
        <v>364870</v>
      </c>
      <c r="F30" s="232">
        <f t="shared" si="2"/>
        <v>6.5980515359054925E-3</v>
      </c>
      <c r="G30" s="225">
        <f t="shared" si="3"/>
        <v>749828</v>
      </c>
      <c r="H30" s="225">
        <f t="shared" si="0"/>
        <v>1.3559360284662876E-2</v>
      </c>
      <c r="J30" s="232">
        <v>21</v>
      </c>
      <c r="K30" s="298">
        <v>425645</v>
      </c>
      <c r="L30" s="225">
        <v>209</v>
      </c>
      <c r="M30" s="232">
        <f t="shared" si="14"/>
        <v>49.101951156480169</v>
      </c>
      <c r="N30" s="298">
        <v>409355</v>
      </c>
      <c r="O30" s="225">
        <v>92</v>
      </c>
      <c r="P30" s="225">
        <f t="shared" si="15"/>
        <v>22.474380427746087</v>
      </c>
      <c r="Q30" s="225"/>
      <c r="R30" s="5">
        <v>21</v>
      </c>
      <c r="S30" s="298">
        <f t="shared" si="4"/>
        <v>6.9613087487573836E-3</v>
      </c>
      <c r="T30" s="5">
        <f t="shared" si="5"/>
        <v>6.5980515359054925E-3</v>
      </c>
      <c r="U30" s="298">
        <f t="shared" si="6"/>
        <v>49.101951156480169</v>
      </c>
      <c r="V30" s="5">
        <f t="shared" si="7"/>
        <v>22.474380427746087</v>
      </c>
      <c r="W30" s="298">
        <f t="shared" si="8"/>
        <v>49.101951156480169</v>
      </c>
      <c r="X30" s="232">
        <f t="shared" si="9"/>
        <v>22.474380427746087</v>
      </c>
      <c r="Y30" s="225">
        <f t="shared" si="10"/>
        <v>49.101951156480169</v>
      </c>
      <c r="Z30" s="225">
        <f t="shared" si="11"/>
        <v>22.474380427746087</v>
      </c>
      <c r="AA30" s="225">
        <f t="shared" si="12"/>
        <v>49.101951156480169</v>
      </c>
      <c r="AB30" s="225">
        <f t="shared" si="13"/>
        <v>22.474380427746087</v>
      </c>
    </row>
    <row r="31" spans="2:31" s="5" customFormat="1" x14ac:dyDescent="0.25">
      <c r="B31" s="232">
        <v>22</v>
      </c>
      <c r="C31" s="298">
        <v>374385</v>
      </c>
      <c r="D31" s="232">
        <f t="shared" si="1"/>
        <v>6.7701140797269653E-3</v>
      </c>
      <c r="E31" s="298">
        <v>371491</v>
      </c>
      <c r="F31" s="232">
        <f t="shared" si="2"/>
        <v>6.7177810264616644E-3</v>
      </c>
      <c r="G31" s="225">
        <f t="shared" si="3"/>
        <v>745876</v>
      </c>
      <c r="H31" s="225">
        <f t="shared" si="0"/>
        <v>1.3487895106188629E-2</v>
      </c>
      <c r="J31" s="232">
        <v>22</v>
      </c>
      <c r="K31" s="298">
        <v>439175</v>
      </c>
      <c r="L31" s="225">
        <v>210</v>
      </c>
      <c r="M31" s="232">
        <f t="shared" si="14"/>
        <v>47.816929470029031</v>
      </c>
      <c r="N31" s="298">
        <v>431579</v>
      </c>
      <c r="O31" s="225">
        <v>102</v>
      </c>
      <c r="P31" s="225">
        <f t="shared" si="15"/>
        <v>23.634143459250797</v>
      </c>
      <c r="Q31" s="225"/>
      <c r="R31" s="5">
        <v>22</v>
      </c>
      <c r="S31" s="298">
        <f t="shared" si="4"/>
        <v>6.7701140797269653E-3</v>
      </c>
      <c r="T31" s="5">
        <f t="shared" si="5"/>
        <v>6.7177810264616644E-3</v>
      </c>
      <c r="U31" s="298">
        <f t="shared" si="6"/>
        <v>47.816929470029031</v>
      </c>
      <c r="V31" s="5">
        <f t="shared" si="7"/>
        <v>23.634143459250797</v>
      </c>
      <c r="W31" s="298">
        <f t="shared" si="8"/>
        <v>47.816929470029031</v>
      </c>
      <c r="X31" s="232">
        <f t="shared" si="9"/>
        <v>23.634143459250797</v>
      </c>
      <c r="Y31" s="225">
        <f t="shared" si="10"/>
        <v>47.816929470029031</v>
      </c>
      <c r="Z31" s="225">
        <f t="shared" si="11"/>
        <v>23.634143459250797</v>
      </c>
      <c r="AA31" s="225">
        <f t="shared" si="12"/>
        <v>47.816929470029031</v>
      </c>
      <c r="AB31" s="225">
        <f t="shared" si="13"/>
        <v>23.634143459250797</v>
      </c>
    </row>
    <row r="32" spans="2:31" s="5" customFormat="1" x14ac:dyDescent="0.25">
      <c r="B32" s="232">
        <v>23</v>
      </c>
      <c r="C32" s="298">
        <v>389581</v>
      </c>
      <c r="D32" s="232">
        <f t="shared" si="1"/>
        <v>7.044907817605168E-3</v>
      </c>
      <c r="E32" s="298">
        <v>387916</v>
      </c>
      <c r="F32" s="232">
        <f t="shared" si="2"/>
        <v>7.014799132848179E-3</v>
      </c>
      <c r="G32" s="225">
        <f t="shared" si="3"/>
        <v>777497</v>
      </c>
      <c r="H32" s="225">
        <f t="shared" si="0"/>
        <v>1.4059706950453348E-2</v>
      </c>
      <c r="J32" s="232">
        <v>23</v>
      </c>
      <c r="K32" s="298">
        <v>456389</v>
      </c>
      <c r="L32" s="225">
        <v>259</v>
      </c>
      <c r="M32" s="232">
        <f t="shared" si="14"/>
        <v>56.74983402316883</v>
      </c>
      <c r="N32" s="298">
        <v>440935</v>
      </c>
      <c r="O32" s="225">
        <v>109</v>
      </c>
      <c r="P32" s="225">
        <f t="shared" si="15"/>
        <v>24.720196854411647</v>
      </c>
      <c r="Q32" s="225"/>
      <c r="R32" s="5">
        <v>23</v>
      </c>
      <c r="S32" s="298">
        <f t="shared" si="4"/>
        <v>7.044907817605168E-3</v>
      </c>
      <c r="T32" s="5">
        <f t="shared" si="5"/>
        <v>7.014799132848179E-3</v>
      </c>
      <c r="U32" s="298">
        <f t="shared" si="6"/>
        <v>56.74983402316883</v>
      </c>
      <c r="V32" s="5">
        <f t="shared" si="7"/>
        <v>24.720196854411647</v>
      </c>
      <c r="W32" s="298">
        <f t="shared" si="8"/>
        <v>56.74983402316883</v>
      </c>
      <c r="X32" s="232">
        <f t="shared" si="9"/>
        <v>24.720196854411647</v>
      </c>
      <c r="Y32" s="225">
        <f t="shared" si="10"/>
        <v>56.74983402316883</v>
      </c>
      <c r="Z32" s="225">
        <f t="shared" si="11"/>
        <v>24.720196854411647</v>
      </c>
      <c r="AA32" s="225">
        <f t="shared" si="12"/>
        <v>56.74983402316883</v>
      </c>
      <c r="AB32" s="225">
        <f t="shared" si="13"/>
        <v>24.720196854411647</v>
      </c>
    </row>
    <row r="33" spans="2:28" s="5" customFormat="1" x14ac:dyDescent="0.25">
      <c r="B33" s="232">
        <v>24</v>
      </c>
      <c r="C33" s="298">
        <v>391193</v>
      </c>
      <c r="D33" s="232">
        <f t="shared" si="1"/>
        <v>7.0740580877722949E-3</v>
      </c>
      <c r="E33" s="298">
        <v>389691</v>
      </c>
      <c r="F33" s="232">
        <f t="shared" si="2"/>
        <v>7.0468969799614856E-3</v>
      </c>
      <c r="G33" s="225">
        <f t="shared" si="3"/>
        <v>780884</v>
      </c>
      <c r="H33" s="225">
        <f t="shared" si="0"/>
        <v>1.4120955067733781E-2</v>
      </c>
      <c r="J33" s="232">
        <v>24</v>
      </c>
      <c r="K33" s="298">
        <v>449824</v>
      </c>
      <c r="L33" s="225">
        <v>240</v>
      </c>
      <c r="M33" s="232">
        <f t="shared" si="14"/>
        <v>53.354200754072707</v>
      </c>
      <c r="N33" s="298">
        <v>434269</v>
      </c>
      <c r="O33" s="225">
        <v>104</v>
      </c>
      <c r="P33" s="225">
        <f t="shared" si="15"/>
        <v>23.948290115112982</v>
      </c>
      <c r="Q33" s="225"/>
      <c r="R33" s="5">
        <v>24</v>
      </c>
      <c r="S33" s="298">
        <f t="shared" si="4"/>
        <v>7.0740580877722949E-3</v>
      </c>
      <c r="T33" s="5">
        <f t="shared" si="5"/>
        <v>7.0468969799614856E-3</v>
      </c>
      <c r="U33" s="298">
        <f t="shared" si="6"/>
        <v>53.354200754072707</v>
      </c>
      <c r="V33" s="5">
        <f t="shared" si="7"/>
        <v>23.948290115112982</v>
      </c>
      <c r="W33" s="298">
        <f t="shared" si="8"/>
        <v>53.354200754072707</v>
      </c>
      <c r="X33" s="232">
        <f t="shared" si="9"/>
        <v>23.948290115112982</v>
      </c>
      <c r="Y33" s="225">
        <f t="shared" si="10"/>
        <v>53.354200754072707</v>
      </c>
      <c r="Z33" s="225">
        <f t="shared" si="11"/>
        <v>23.948290115112982</v>
      </c>
      <c r="AA33" s="225">
        <f t="shared" si="12"/>
        <v>53.354200754072707</v>
      </c>
      <c r="AB33" s="225">
        <f t="shared" si="13"/>
        <v>23.948290115112982</v>
      </c>
    </row>
    <row r="34" spans="2:28" s="5" customFormat="1" x14ac:dyDescent="0.25">
      <c r="B34" s="232">
        <v>25</v>
      </c>
      <c r="C34" s="298">
        <v>371862</v>
      </c>
      <c r="D34" s="232">
        <f t="shared" si="1"/>
        <v>6.7244899285906993E-3</v>
      </c>
      <c r="E34" s="298">
        <v>374838</v>
      </c>
      <c r="F34" s="232">
        <f t="shared" si="2"/>
        <v>6.7783058119761644E-3</v>
      </c>
      <c r="G34" s="225">
        <f t="shared" si="3"/>
        <v>746700</v>
      </c>
      <c r="H34" s="225">
        <f t="shared" si="0"/>
        <v>1.3502795740566863E-2</v>
      </c>
      <c r="J34" s="232">
        <v>25</v>
      </c>
      <c r="K34" s="298">
        <v>441752</v>
      </c>
      <c r="L34" s="225">
        <v>212</v>
      </c>
      <c r="M34" s="232">
        <f t="shared" si="14"/>
        <v>47.990727829189225</v>
      </c>
      <c r="N34" s="298">
        <v>435179</v>
      </c>
      <c r="O34" s="225">
        <v>109</v>
      </c>
      <c r="P34" s="225">
        <f t="shared" si="15"/>
        <v>25.047164500125234</v>
      </c>
      <c r="Q34" s="225"/>
      <c r="R34" s="5">
        <v>25</v>
      </c>
      <c r="S34" s="298">
        <f t="shared" si="4"/>
        <v>6.7244899285906993E-3</v>
      </c>
      <c r="T34" s="5">
        <f t="shared" si="5"/>
        <v>6.7783058119761644E-3</v>
      </c>
      <c r="U34" s="298">
        <f t="shared" si="6"/>
        <v>47.990727829189225</v>
      </c>
      <c r="V34" s="5">
        <f t="shared" si="7"/>
        <v>25.047164500125234</v>
      </c>
      <c r="W34" s="298">
        <f t="shared" si="8"/>
        <v>47.990727829189225</v>
      </c>
      <c r="X34" s="232">
        <f t="shared" si="9"/>
        <v>25.047164500125234</v>
      </c>
      <c r="Y34" s="225">
        <f t="shared" si="10"/>
        <v>47.990727829189225</v>
      </c>
      <c r="Z34" s="225">
        <f t="shared" si="11"/>
        <v>25.047164500125234</v>
      </c>
      <c r="AA34" s="225">
        <f t="shared" si="12"/>
        <v>47.990727829189225</v>
      </c>
      <c r="AB34" s="225">
        <f t="shared" si="13"/>
        <v>25.047164500125234</v>
      </c>
    </row>
    <row r="35" spans="2:28" s="5" customFormat="1" x14ac:dyDescent="0.25">
      <c r="B35" s="232">
        <v>26</v>
      </c>
      <c r="C35" s="298">
        <v>354798</v>
      </c>
      <c r="D35" s="232">
        <f t="shared" si="1"/>
        <v>6.4159165972433934E-3</v>
      </c>
      <c r="E35" s="298">
        <v>358152</v>
      </c>
      <c r="F35" s="232">
        <f t="shared" si="2"/>
        <v>6.4765679658169324E-3</v>
      </c>
      <c r="G35" s="225">
        <f t="shared" si="3"/>
        <v>712950</v>
      </c>
      <c r="H35" s="225">
        <f t="shared" si="0"/>
        <v>1.2892484563060325E-2</v>
      </c>
      <c r="J35" s="232">
        <v>26</v>
      </c>
      <c r="K35" s="298">
        <v>444147</v>
      </c>
      <c r="L35" s="225">
        <v>312</v>
      </c>
      <c r="M35" s="232">
        <f t="shared" si="14"/>
        <v>70.247012813325313</v>
      </c>
      <c r="N35" s="298">
        <v>443113</v>
      </c>
      <c r="O35" s="225">
        <v>121</v>
      </c>
      <c r="P35" s="225">
        <f t="shared" si="15"/>
        <v>27.306804359158949</v>
      </c>
      <c r="Q35" s="225"/>
      <c r="R35" s="5">
        <v>26</v>
      </c>
      <c r="S35" s="298">
        <f t="shared" si="4"/>
        <v>6.4159165972433934E-3</v>
      </c>
      <c r="T35" s="5">
        <f t="shared" si="5"/>
        <v>6.4765679658169324E-3</v>
      </c>
      <c r="U35" s="298">
        <f t="shared" si="6"/>
        <v>70.247012813325313</v>
      </c>
      <c r="V35" s="5">
        <f t="shared" si="7"/>
        <v>27.306804359158949</v>
      </c>
      <c r="W35" s="298">
        <f t="shared" si="8"/>
        <v>70.247012813325313</v>
      </c>
      <c r="X35" s="232">
        <f t="shared" si="9"/>
        <v>27.306804359158949</v>
      </c>
      <c r="Y35" s="225">
        <f t="shared" si="10"/>
        <v>70.247012813325313</v>
      </c>
      <c r="Z35" s="225">
        <f t="shared" si="11"/>
        <v>27.306804359158949</v>
      </c>
      <c r="AA35" s="225">
        <f t="shared" si="12"/>
        <v>70.247012813325313</v>
      </c>
      <c r="AB35" s="225">
        <f t="shared" si="13"/>
        <v>27.306804359158949</v>
      </c>
    </row>
    <row r="36" spans="2:28" s="5" customFormat="1" x14ac:dyDescent="0.25">
      <c r="B36" s="232">
        <v>27</v>
      </c>
      <c r="C36" s="298">
        <v>356376</v>
      </c>
      <c r="D36" s="232">
        <f t="shared" si="1"/>
        <v>6.4444520354094773E-3</v>
      </c>
      <c r="E36" s="298">
        <v>356734</v>
      </c>
      <c r="F36" s="232">
        <f t="shared" si="2"/>
        <v>6.4509258547145835E-3</v>
      </c>
      <c r="G36" s="225">
        <f t="shared" si="3"/>
        <v>713110</v>
      </c>
      <c r="H36" s="225">
        <f t="shared" si="0"/>
        <v>1.2895377890124061E-2</v>
      </c>
      <c r="J36" s="232">
        <v>27</v>
      </c>
      <c r="K36" s="298">
        <v>430783</v>
      </c>
      <c r="L36" s="225">
        <v>281</v>
      </c>
      <c r="M36" s="232">
        <f t="shared" si="14"/>
        <v>65.230057824937376</v>
      </c>
      <c r="N36" s="298">
        <v>437852</v>
      </c>
      <c r="O36" s="225">
        <v>106</v>
      </c>
      <c r="P36" s="225">
        <f t="shared" si="15"/>
        <v>24.209093483642874</v>
      </c>
      <c r="Q36" s="225"/>
      <c r="R36" s="5">
        <v>27</v>
      </c>
      <c r="S36" s="298">
        <f t="shared" si="4"/>
        <v>6.4444520354094773E-3</v>
      </c>
      <c r="T36" s="5">
        <f t="shared" si="5"/>
        <v>6.4509258547145835E-3</v>
      </c>
      <c r="U36" s="298">
        <f t="shared" si="6"/>
        <v>65.230057824937376</v>
      </c>
      <c r="V36" s="5">
        <f t="shared" si="7"/>
        <v>24.209093483642874</v>
      </c>
      <c r="W36" s="298">
        <f t="shared" si="8"/>
        <v>65.230057824937376</v>
      </c>
      <c r="X36" s="232">
        <f t="shared" si="9"/>
        <v>24.209093483642874</v>
      </c>
      <c r="Y36" s="225">
        <f t="shared" si="10"/>
        <v>65.230057824937376</v>
      </c>
      <c r="Z36" s="225">
        <f t="shared" si="11"/>
        <v>24.209093483642874</v>
      </c>
      <c r="AA36" s="225">
        <f t="shared" si="12"/>
        <v>65.230057824937376</v>
      </c>
      <c r="AB36" s="225">
        <f t="shared" si="13"/>
        <v>24.209093483642874</v>
      </c>
    </row>
    <row r="37" spans="2:28" s="5" customFormat="1" x14ac:dyDescent="0.25">
      <c r="B37" s="232">
        <v>28</v>
      </c>
      <c r="C37" s="298">
        <v>370653</v>
      </c>
      <c r="D37" s="232">
        <f t="shared" si="1"/>
        <v>6.7026272259653533E-3</v>
      </c>
      <c r="E37" s="298">
        <v>367391</v>
      </c>
      <c r="F37" s="232">
        <f t="shared" si="2"/>
        <v>6.6436395204534622E-3</v>
      </c>
      <c r="G37" s="225">
        <f t="shared" si="3"/>
        <v>738044</v>
      </c>
      <c r="H37" s="225">
        <f t="shared" si="0"/>
        <v>1.3346266746418816E-2</v>
      </c>
      <c r="J37" s="232">
        <v>28</v>
      </c>
      <c r="K37" s="298">
        <v>439328</v>
      </c>
      <c r="L37" s="225">
        <v>281</v>
      </c>
      <c r="M37" s="232">
        <f t="shared" si="14"/>
        <v>63.961322747468863</v>
      </c>
      <c r="N37" s="298">
        <v>437743</v>
      </c>
      <c r="O37" s="225">
        <v>154</v>
      </c>
      <c r="P37" s="225">
        <f t="shared" si="15"/>
        <v>35.18045976748914</v>
      </c>
      <c r="Q37" s="225"/>
      <c r="R37" s="5">
        <v>28</v>
      </c>
      <c r="S37" s="298">
        <f t="shared" si="4"/>
        <v>6.7026272259653533E-3</v>
      </c>
      <c r="T37" s="5">
        <f t="shared" si="5"/>
        <v>6.6436395204534622E-3</v>
      </c>
      <c r="U37" s="298">
        <f t="shared" si="6"/>
        <v>63.961322747468863</v>
      </c>
      <c r="V37" s="5">
        <f t="shared" si="7"/>
        <v>35.18045976748914</v>
      </c>
      <c r="W37" s="298">
        <f t="shared" si="8"/>
        <v>63.961322747468863</v>
      </c>
      <c r="X37" s="232">
        <f t="shared" si="9"/>
        <v>35.18045976748914</v>
      </c>
      <c r="Y37" s="225">
        <f t="shared" si="10"/>
        <v>63.961322747468863</v>
      </c>
      <c r="Z37" s="225">
        <f t="shared" si="11"/>
        <v>35.18045976748914</v>
      </c>
      <c r="AA37" s="225">
        <f t="shared" si="12"/>
        <v>63.961322747468863</v>
      </c>
      <c r="AB37" s="225">
        <f t="shared" si="13"/>
        <v>35.18045976748914</v>
      </c>
    </row>
    <row r="38" spans="2:28" s="5" customFormat="1" x14ac:dyDescent="0.25">
      <c r="B38" s="232">
        <v>29</v>
      </c>
      <c r="C38" s="298">
        <v>383512</v>
      </c>
      <c r="D38" s="232">
        <f t="shared" si="1"/>
        <v>6.9351603054188813E-3</v>
      </c>
      <c r="E38" s="298">
        <v>381381</v>
      </c>
      <c r="F38" s="232">
        <f t="shared" si="2"/>
        <v>6.8966248055887646E-3</v>
      </c>
      <c r="G38" s="225">
        <f t="shared" si="3"/>
        <v>764893</v>
      </c>
      <c r="H38" s="225">
        <f t="shared" si="0"/>
        <v>1.3831785111007647E-2</v>
      </c>
      <c r="J38" s="232">
        <v>29</v>
      </c>
      <c r="K38" s="298">
        <v>440748</v>
      </c>
      <c r="L38" s="225">
        <v>312</v>
      </c>
      <c r="M38" s="232">
        <f t="shared" si="14"/>
        <v>70.788750034033058</v>
      </c>
      <c r="N38" s="298">
        <v>440382</v>
      </c>
      <c r="O38" s="225">
        <v>149</v>
      </c>
      <c r="P38" s="225">
        <f t="shared" si="15"/>
        <v>33.834262072473443</v>
      </c>
      <c r="Q38" s="225"/>
      <c r="R38" s="5">
        <v>29</v>
      </c>
      <c r="S38" s="298">
        <f t="shared" si="4"/>
        <v>6.9351603054188813E-3</v>
      </c>
      <c r="T38" s="5">
        <f t="shared" si="5"/>
        <v>6.8966248055887646E-3</v>
      </c>
      <c r="U38" s="298">
        <f t="shared" si="6"/>
        <v>70.788750034033058</v>
      </c>
      <c r="V38" s="5">
        <f t="shared" si="7"/>
        <v>33.834262072473443</v>
      </c>
      <c r="W38" s="298">
        <f t="shared" si="8"/>
        <v>70.788750034033058</v>
      </c>
      <c r="X38" s="232">
        <f t="shared" si="9"/>
        <v>33.834262072473443</v>
      </c>
      <c r="Y38" s="225">
        <f t="shared" si="10"/>
        <v>70.788750034033058</v>
      </c>
      <c r="Z38" s="225">
        <f t="shared" si="11"/>
        <v>33.834262072473443</v>
      </c>
      <c r="AA38" s="225">
        <f t="shared" si="12"/>
        <v>70.788750034033058</v>
      </c>
      <c r="AB38" s="225">
        <f t="shared" si="13"/>
        <v>33.834262072473443</v>
      </c>
    </row>
    <row r="39" spans="2:28" s="5" customFormat="1" x14ac:dyDescent="0.25">
      <c r="B39" s="232">
        <v>30</v>
      </c>
      <c r="C39" s="298">
        <v>392743</v>
      </c>
      <c r="D39" s="232">
        <f t="shared" si="1"/>
        <v>7.1020871937022252E-3</v>
      </c>
      <c r="E39" s="298">
        <v>392387</v>
      </c>
      <c r="F39" s="232">
        <f t="shared" si="2"/>
        <v>7.0956495409854152E-3</v>
      </c>
      <c r="G39" s="225">
        <f t="shared" si="3"/>
        <v>785130</v>
      </c>
      <c r="H39" s="225">
        <f t="shared" si="0"/>
        <v>1.4197736734687641E-2</v>
      </c>
      <c r="J39" s="232">
        <v>30</v>
      </c>
      <c r="K39" s="298">
        <v>428719</v>
      </c>
      <c r="L39" s="225">
        <v>332</v>
      </c>
      <c r="M39" s="232">
        <f t="shared" si="14"/>
        <v>77.440001492819306</v>
      </c>
      <c r="N39" s="298">
        <v>432642</v>
      </c>
      <c r="O39" s="225">
        <v>154</v>
      </c>
      <c r="P39" s="225">
        <f t="shared" si="15"/>
        <v>35.595249652137333</v>
      </c>
      <c r="Q39" s="225"/>
      <c r="R39" s="5">
        <v>30</v>
      </c>
      <c r="S39" s="298">
        <f t="shared" si="4"/>
        <v>7.1020871937022252E-3</v>
      </c>
      <c r="T39" s="5">
        <f t="shared" si="5"/>
        <v>7.0956495409854152E-3</v>
      </c>
      <c r="U39" s="298">
        <f t="shared" si="6"/>
        <v>77.440001492819306</v>
      </c>
      <c r="V39" s="5">
        <f t="shared" si="7"/>
        <v>35.595249652137333</v>
      </c>
      <c r="W39" s="298">
        <f t="shared" si="8"/>
        <v>77.440001492819306</v>
      </c>
      <c r="X39" s="232">
        <f t="shared" si="9"/>
        <v>35.595249652137333</v>
      </c>
      <c r="Y39" s="225">
        <f t="shared" si="10"/>
        <v>77.440001492819306</v>
      </c>
      <c r="Z39" s="225">
        <f t="shared" si="11"/>
        <v>35.595249652137333</v>
      </c>
      <c r="AA39" s="225">
        <f t="shared" si="12"/>
        <v>77.440001492819306</v>
      </c>
      <c r="AB39" s="225">
        <f t="shared" si="13"/>
        <v>35.595249652137333</v>
      </c>
    </row>
    <row r="40" spans="2:28" s="5" customFormat="1" x14ac:dyDescent="0.25">
      <c r="B40" s="232">
        <v>31</v>
      </c>
      <c r="C40" s="298">
        <v>413629</v>
      </c>
      <c r="D40" s="232">
        <f t="shared" si="1"/>
        <v>7.4797748752844931E-3</v>
      </c>
      <c r="E40" s="298">
        <v>415375</v>
      </c>
      <c r="F40" s="232">
        <f t="shared" si="2"/>
        <v>7.5113483068674977E-3</v>
      </c>
      <c r="G40" s="225">
        <f t="shared" si="3"/>
        <v>829004</v>
      </c>
      <c r="H40" s="225">
        <f t="shared" ref="H40:H71" si="16">G40/$G$8</f>
        <v>1.4991123182151992E-2</v>
      </c>
      <c r="J40" s="232">
        <v>31</v>
      </c>
      <c r="K40" s="298">
        <v>431951</v>
      </c>
      <c r="L40" s="225">
        <v>328</v>
      </c>
      <c r="M40" s="232">
        <f t="shared" si="14"/>
        <v>75.934538871307169</v>
      </c>
      <c r="N40" s="298">
        <v>437664</v>
      </c>
      <c r="O40" s="225">
        <v>193</v>
      </c>
      <c r="P40" s="225">
        <f t="shared" si="15"/>
        <v>44.09775535570666</v>
      </c>
      <c r="Q40" s="225"/>
      <c r="R40" s="5">
        <v>31</v>
      </c>
      <c r="S40" s="298">
        <f t="shared" si="4"/>
        <v>7.4797748752844931E-3</v>
      </c>
      <c r="T40" s="5">
        <f t="shared" si="5"/>
        <v>7.5113483068674977E-3</v>
      </c>
      <c r="U40" s="298">
        <f t="shared" si="6"/>
        <v>75.934538871307169</v>
      </c>
      <c r="V40" s="5">
        <f t="shared" si="7"/>
        <v>44.09775535570666</v>
      </c>
      <c r="W40" s="298">
        <f t="shared" si="8"/>
        <v>75.934538871307169</v>
      </c>
      <c r="X40" s="232">
        <f t="shared" si="9"/>
        <v>44.09775535570666</v>
      </c>
      <c r="Y40" s="225">
        <f t="shared" si="10"/>
        <v>75.934538871307169</v>
      </c>
      <c r="Z40" s="225">
        <f t="shared" si="11"/>
        <v>44.09775535570666</v>
      </c>
      <c r="AA40" s="225">
        <f t="shared" si="12"/>
        <v>75.934538871307169</v>
      </c>
      <c r="AB40" s="225">
        <f t="shared" si="13"/>
        <v>44.09775535570666</v>
      </c>
    </row>
    <row r="41" spans="2:28" s="5" customFormat="1" x14ac:dyDescent="0.25">
      <c r="B41" s="232">
        <v>32</v>
      </c>
      <c r="C41" s="298">
        <v>430401</v>
      </c>
      <c r="D41" s="232">
        <f t="shared" si="1"/>
        <v>7.7830678847404825E-3</v>
      </c>
      <c r="E41" s="298">
        <v>440034</v>
      </c>
      <c r="F41" s="232">
        <f t="shared" si="2"/>
        <v>7.9572642572714597E-3</v>
      </c>
      <c r="G41" s="225">
        <f t="shared" si="3"/>
        <v>870435</v>
      </c>
      <c r="H41" s="225">
        <f t="shared" si="16"/>
        <v>1.5740332142011943E-2</v>
      </c>
      <c r="J41" s="232">
        <v>32</v>
      </c>
      <c r="K41" s="298">
        <v>430780</v>
      </c>
      <c r="L41" s="225">
        <v>335</v>
      </c>
      <c r="M41" s="232">
        <f t="shared" si="14"/>
        <v>77.765912995032267</v>
      </c>
      <c r="N41" s="298">
        <v>439217</v>
      </c>
      <c r="O41" s="225">
        <v>184</v>
      </c>
      <c r="P41" s="225">
        <f t="shared" si="15"/>
        <v>41.892731838703874</v>
      </c>
      <c r="Q41" s="225"/>
      <c r="R41" s="5">
        <v>32</v>
      </c>
      <c r="S41" s="298">
        <f t="shared" si="4"/>
        <v>7.7830678847404825E-3</v>
      </c>
      <c r="T41" s="5">
        <f t="shared" si="5"/>
        <v>7.9572642572714597E-3</v>
      </c>
      <c r="U41" s="298">
        <f t="shared" si="6"/>
        <v>77.765912995032267</v>
      </c>
      <c r="V41" s="5">
        <f t="shared" si="7"/>
        <v>41.892731838703874</v>
      </c>
      <c r="W41" s="298">
        <f t="shared" ref="W41:W72" si="17">IF(R41&lt;=39, U41, U41 + delta_40_74)</f>
        <v>77.765912995032267</v>
      </c>
      <c r="X41" s="232">
        <f t="shared" ref="X41:X72" si="18">IF(R41&lt;=39, V41, V41+delta_40_74)</f>
        <v>41.892731838703874</v>
      </c>
      <c r="Y41" s="225">
        <f t="shared" ref="Y41:Y72" si="19">IF(R41&lt;=39,  U41,  IF(R41&lt;=64,  U41/((mCVDmort-1)*$AE$6 + 1),   U41/((mCVDmort-1)*$AE$7 +1 )))</f>
        <v>77.765912995032267</v>
      </c>
      <c r="Z41" s="225">
        <f t="shared" ref="Z41:Z72" si="20">IF(R41&lt;=39,  V41,  IF(R41&lt;=64,  V41/((fCVDmort-1)*$AF$6 + 1),   V41/((fCVDmort-1)*$AF$7 + 1)))</f>
        <v>41.892731838703874</v>
      </c>
      <c r="AA41" s="225">
        <f t="shared" ref="AA41:AA72" si="21">IF(R41&lt;=39, U41, IF(R41&lt;=64, $AE$6*(Y41*mCVDmort+delta_CVD)  + (1-$AE$6)*Y41, $AE$7*(Y41*mCVDmort+delta_CVD)  + (1-$AE$7)*Y41))</f>
        <v>77.765912995032267</v>
      </c>
      <c r="AB41" s="225">
        <f t="shared" ref="AB41:AB72" si="22">IF(R41&lt;=39,   V41,   IF(R41&lt;=64, $AF$6*(Z41*fCVDmort+delta_CVD)  + (1-$AF$6)*Z41,    $AF$7*(Z41*fCVDmort+delta_CVD)  + (1-$AF$7)*Z41))</f>
        <v>41.892731838703874</v>
      </c>
    </row>
    <row r="42" spans="2:28" s="5" customFormat="1" x14ac:dyDescent="0.25">
      <c r="B42" s="232">
        <v>33</v>
      </c>
      <c r="C42" s="298">
        <v>443605</v>
      </c>
      <c r="D42" s="232">
        <f t="shared" si="1"/>
        <v>8.0218397006751891E-3</v>
      </c>
      <c r="E42" s="298">
        <v>453795</v>
      </c>
      <c r="F42" s="232">
        <f t="shared" si="2"/>
        <v>8.2061084680467924E-3</v>
      </c>
      <c r="G42" s="225">
        <f t="shared" si="3"/>
        <v>897400</v>
      </c>
      <c r="H42" s="225">
        <f t="shared" si="16"/>
        <v>1.622794816872198E-2</v>
      </c>
      <c r="J42" s="232">
        <v>33</v>
      </c>
      <c r="K42" s="298">
        <v>435537</v>
      </c>
      <c r="L42" s="225">
        <v>368</v>
      </c>
      <c r="M42" s="232">
        <f t="shared" si="14"/>
        <v>84.493395509451545</v>
      </c>
      <c r="N42" s="298">
        <v>441807</v>
      </c>
      <c r="O42" s="225">
        <v>223</v>
      </c>
      <c r="P42" s="225">
        <f t="shared" si="15"/>
        <v>50.474528470576516</v>
      </c>
      <c r="Q42" s="225"/>
      <c r="R42" s="5">
        <v>33</v>
      </c>
      <c r="S42" s="298">
        <f t="shared" si="4"/>
        <v>8.0218397006751891E-3</v>
      </c>
      <c r="T42" s="5">
        <f t="shared" si="5"/>
        <v>8.2061084680467924E-3</v>
      </c>
      <c r="U42" s="298">
        <f t="shared" si="6"/>
        <v>84.493395509451545</v>
      </c>
      <c r="V42" s="5">
        <f t="shared" si="7"/>
        <v>50.474528470576516</v>
      </c>
      <c r="W42" s="298">
        <f t="shared" si="17"/>
        <v>84.493395509451545</v>
      </c>
      <c r="X42" s="232">
        <f t="shared" si="18"/>
        <v>50.474528470576516</v>
      </c>
      <c r="Y42" s="225">
        <f t="shared" si="19"/>
        <v>84.493395509451545</v>
      </c>
      <c r="Z42" s="225">
        <f t="shared" si="20"/>
        <v>50.474528470576516</v>
      </c>
      <c r="AA42" s="225">
        <f t="shared" si="21"/>
        <v>84.493395509451545</v>
      </c>
      <c r="AB42" s="225">
        <f t="shared" si="22"/>
        <v>50.474528470576516</v>
      </c>
    </row>
    <row r="43" spans="2:28" s="5" customFormat="1" x14ac:dyDescent="0.25">
      <c r="B43" s="232">
        <v>34</v>
      </c>
      <c r="C43" s="298">
        <v>440944</v>
      </c>
      <c r="D43" s="232">
        <f t="shared" si="1"/>
        <v>7.9737200549464503E-3</v>
      </c>
      <c r="E43" s="298">
        <v>449493</v>
      </c>
      <c r="F43" s="232">
        <f t="shared" si="2"/>
        <v>8.1283141366206256E-3</v>
      </c>
      <c r="G43" s="225">
        <f t="shared" si="3"/>
        <v>890437</v>
      </c>
      <c r="H43" s="225">
        <f t="shared" si="16"/>
        <v>1.6102034191567076E-2</v>
      </c>
      <c r="J43" s="232">
        <v>34</v>
      </c>
      <c r="K43" s="298">
        <v>436154</v>
      </c>
      <c r="L43" s="225">
        <v>404</v>
      </c>
      <c r="M43" s="232">
        <f t="shared" si="14"/>
        <v>92.627833288242229</v>
      </c>
      <c r="N43" s="298">
        <v>441724</v>
      </c>
      <c r="O43" s="225">
        <v>241</v>
      </c>
      <c r="P43" s="225">
        <f t="shared" si="15"/>
        <v>54.558955365794027</v>
      </c>
      <c r="Q43" s="225"/>
      <c r="R43" s="5">
        <v>34</v>
      </c>
      <c r="S43" s="298">
        <f t="shared" si="4"/>
        <v>7.9737200549464503E-3</v>
      </c>
      <c r="T43" s="5">
        <f t="shared" si="5"/>
        <v>8.1283141366206256E-3</v>
      </c>
      <c r="U43" s="298">
        <f t="shared" si="6"/>
        <v>92.627833288242229</v>
      </c>
      <c r="V43" s="5">
        <f t="shared" si="7"/>
        <v>54.558955365794027</v>
      </c>
      <c r="W43" s="298">
        <f t="shared" si="17"/>
        <v>92.627833288242229</v>
      </c>
      <c r="X43" s="232">
        <f t="shared" si="18"/>
        <v>54.558955365794027</v>
      </c>
      <c r="Y43" s="225">
        <f t="shared" si="19"/>
        <v>92.627833288242229</v>
      </c>
      <c r="Z43" s="225">
        <f t="shared" si="20"/>
        <v>54.558955365794027</v>
      </c>
      <c r="AA43" s="225">
        <f t="shared" si="21"/>
        <v>92.627833288242229</v>
      </c>
      <c r="AB43" s="225">
        <f t="shared" si="22"/>
        <v>54.558955365794027</v>
      </c>
    </row>
    <row r="44" spans="2:28" s="5" customFormat="1" x14ac:dyDescent="0.25">
      <c r="B44" s="232">
        <v>35</v>
      </c>
      <c r="C44" s="298">
        <v>452733</v>
      </c>
      <c r="D44" s="232">
        <f t="shared" si="1"/>
        <v>8.1869040096612528E-3</v>
      </c>
      <c r="E44" s="298">
        <v>463726</v>
      </c>
      <c r="F44" s="232">
        <f t="shared" si="2"/>
        <v>8.3856936622339756E-3</v>
      </c>
      <c r="G44" s="225">
        <f t="shared" si="3"/>
        <v>916459</v>
      </c>
      <c r="H44" s="225">
        <f t="shared" si="16"/>
        <v>1.6572597671895228E-2</v>
      </c>
      <c r="J44" s="232">
        <v>35</v>
      </c>
      <c r="K44" s="298">
        <v>419401</v>
      </c>
      <c r="L44" s="225">
        <v>437</v>
      </c>
      <c r="M44" s="232">
        <f t="shared" si="14"/>
        <v>104.19622270810036</v>
      </c>
      <c r="N44" s="298">
        <v>422382</v>
      </c>
      <c r="O44" s="225">
        <v>248</v>
      </c>
      <c r="P44" s="225">
        <f t="shared" si="15"/>
        <v>58.714623255725861</v>
      </c>
      <c r="Q44" s="225"/>
      <c r="R44" s="5">
        <v>35</v>
      </c>
      <c r="S44" s="298">
        <f t="shared" si="4"/>
        <v>8.1869040096612528E-3</v>
      </c>
      <c r="T44" s="5">
        <f t="shared" si="5"/>
        <v>8.3856936622339756E-3</v>
      </c>
      <c r="U44" s="298">
        <f t="shared" si="6"/>
        <v>104.19622270810036</v>
      </c>
      <c r="V44" s="5">
        <f t="shared" si="7"/>
        <v>58.714623255725861</v>
      </c>
      <c r="W44" s="298">
        <f t="shared" si="17"/>
        <v>104.19622270810036</v>
      </c>
      <c r="X44" s="232">
        <f t="shared" si="18"/>
        <v>58.714623255725861</v>
      </c>
      <c r="Y44" s="225">
        <f t="shared" si="19"/>
        <v>104.19622270810036</v>
      </c>
      <c r="Z44" s="225">
        <f t="shared" si="20"/>
        <v>58.714623255725861</v>
      </c>
      <c r="AA44" s="225">
        <f t="shared" si="21"/>
        <v>104.19622270810036</v>
      </c>
      <c r="AB44" s="225">
        <f t="shared" si="22"/>
        <v>58.714623255725861</v>
      </c>
    </row>
    <row r="45" spans="2:28" s="5" customFormat="1" x14ac:dyDescent="0.25">
      <c r="B45" s="232">
        <v>36</v>
      </c>
      <c r="C45" s="298">
        <v>458857</v>
      </c>
      <c r="D45" s="232">
        <f t="shared" si="1"/>
        <v>8.2976461030256979E-3</v>
      </c>
      <c r="E45" s="298">
        <v>466403</v>
      </c>
      <c r="F45" s="232">
        <f t="shared" si="2"/>
        <v>8.4341026406690861E-3</v>
      </c>
      <c r="G45" s="225">
        <f t="shared" si="3"/>
        <v>925260</v>
      </c>
      <c r="H45" s="225">
        <f t="shared" si="16"/>
        <v>1.6731748743694784E-2</v>
      </c>
      <c r="J45" s="232">
        <v>36</v>
      </c>
      <c r="K45" s="298">
        <v>391384</v>
      </c>
      <c r="L45" s="225">
        <v>394</v>
      </c>
      <c r="M45" s="232">
        <f t="shared" si="14"/>
        <v>100.66839727735422</v>
      </c>
      <c r="N45" s="298">
        <v>394082</v>
      </c>
      <c r="O45" s="225">
        <v>256</v>
      </c>
      <c r="P45" s="225">
        <f t="shared" si="15"/>
        <v>64.961099466608474</v>
      </c>
      <c r="Q45" s="225"/>
      <c r="R45" s="5">
        <v>36</v>
      </c>
      <c r="S45" s="298">
        <f t="shared" si="4"/>
        <v>8.2976461030256979E-3</v>
      </c>
      <c r="T45" s="5">
        <f t="shared" si="5"/>
        <v>8.4341026406690861E-3</v>
      </c>
      <c r="U45" s="298">
        <f t="shared" si="6"/>
        <v>100.66839727735422</v>
      </c>
      <c r="V45" s="5">
        <f t="shared" si="7"/>
        <v>64.961099466608474</v>
      </c>
      <c r="W45" s="298">
        <f t="shared" si="17"/>
        <v>100.66839727735422</v>
      </c>
      <c r="X45" s="232">
        <f t="shared" si="18"/>
        <v>64.961099466608474</v>
      </c>
      <c r="Y45" s="225">
        <f t="shared" si="19"/>
        <v>100.66839727735422</v>
      </c>
      <c r="Z45" s="225">
        <f t="shared" si="20"/>
        <v>64.961099466608474</v>
      </c>
      <c r="AA45" s="225">
        <f t="shared" si="21"/>
        <v>100.66839727735422</v>
      </c>
      <c r="AB45" s="225">
        <f t="shared" si="22"/>
        <v>64.961099466608474</v>
      </c>
    </row>
    <row r="46" spans="2:28" s="5" customFormat="1" x14ac:dyDescent="0.25">
      <c r="B46" s="232">
        <v>37</v>
      </c>
      <c r="C46" s="298">
        <v>471702</v>
      </c>
      <c r="D46" s="232">
        <f t="shared" si="1"/>
        <v>8.5299260163611505E-3</v>
      </c>
      <c r="E46" s="298">
        <v>475903</v>
      </c>
      <c r="F46" s="232">
        <f t="shared" si="2"/>
        <v>8.6058939350783341E-3</v>
      </c>
      <c r="G46" s="225">
        <f t="shared" si="3"/>
        <v>947605</v>
      </c>
      <c r="H46" s="225">
        <f t="shared" si="16"/>
        <v>1.7135819951439483E-2</v>
      </c>
      <c r="J46" s="232">
        <v>37</v>
      </c>
      <c r="K46" s="298">
        <v>386312</v>
      </c>
      <c r="L46" s="225">
        <v>436</v>
      </c>
      <c r="M46" s="232">
        <f t="shared" si="14"/>
        <v>112.86214251692932</v>
      </c>
      <c r="N46" s="298">
        <v>387352</v>
      </c>
      <c r="O46" s="225">
        <v>251</v>
      </c>
      <c r="P46" s="225">
        <f t="shared" si="15"/>
        <v>64.798942563869559</v>
      </c>
      <c r="Q46" s="225"/>
      <c r="R46" s="5">
        <v>37</v>
      </c>
      <c r="S46" s="298">
        <f t="shared" si="4"/>
        <v>8.5299260163611505E-3</v>
      </c>
      <c r="T46" s="5">
        <f t="shared" si="5"/>
        <v>8.6058939350783341E-3</v>
      </c>
      <c r="U46" s="298">
        <f t="shared" si="6"/>
        <v>112.86214251692932</v>
      </c>
      <c r="V46" s="5">
        <f t="shared" si="7"/>
        <v>64.798942563869559</v>
      </c>
      <c r="W46" s="298">
        <f t="shared" si="17"/>
        <v>112.86214251692932</v>
      </c>
      <c r="X46" s="232">
        <f t="shared" si="18"/>
        <v>64.798942563869559</v>
      </c>
      <c r="Y46" s="225">
        <f t="shared" si="19"/>
        <v>112.86214251692932</v>
      </c>
      <c r="Z46" s="225">
        <f t="shared" si="20"/>
        <v>64.798942563869559</v>
      </c>
      <c r="AA46" s="225">
        <f t="shared" si="21"/>
        <v>112.86214251692932</v>
      </c>
      <c r="AB46" s="225">
        <f t="shared" si="22"/>
        <v>64.798942563869559</v>
      </c>
    </row>
    <row r="47" spans="2:28" s="5" customFormat="1" x14ac:dyDescent="0.25">
      <c r="B47" s="232">
        <v>38</v>
      </c>
      <c r="C47" s="298">
        <v>469876</v>
      </c>
      <c r="D47" s="232">
        <f t="shared" si="1"/>
        <v>8.496905921246278E-3</v>
      </c>
      <c r="E47" s="298">
        <v>477799</v>
      </c>
      <c r="F47" s="232">
        <f t="shared" si="2"/>
        <v>8.6401798607835898E-3</v>
      </c>
      <c r="G47" s="225">
        <f t="shared" si="3"/>
        <v>947675</v>
      </c>
      <c r="H47" s="225">
        <f t="shared" si="16"/>
        <v>1.7137085782029868E-2</v>
      </c>
      <c r="J47" s="232">
        <v>38</v>
      </c>
      <c r="K47" s="298">
        <v>392139</v>
      </c>
      <c r="L47" s="225">
        <v>572</v>
      </c>
      <c r="M47" s="232">
        <f t="shared" si="14"/>
        <v>145.86664422564448</v>
      </c>
      <c r="N47" s="298">
        <v>396798</v>
      </c>
      <c r="O47" s="225">
        <v>308</v>
      </c>
      <c r="P47" s="225">
        <f t="shared" si="15"/>
        <v>77.621358978623888</v>
      </c>
      <c r="Q47" s="225"/>
      <c r="R47" s="5">
        <v>38</v>
      </c>
      <c r="S47" s="298">
        <f t="shared" si="4"/>
        <v>8.496905921246278E-3</v>
      </c>
      <c r="T47" s="5">
        <f t="shared" si="5"/>
        <v>8.6401798607835898E-3</v>
      </c>
      <c r="U47" s="298">
        <f t="shared" si="6"/>
        <v>145.86664422564448</v>
      </c>
      <c r="V47" s="5">
        <f t="shared" si="7"/>
        <v>77.621358978623888</v>
      </c>
      <c r="W47" s="298">
        <f t="shared" si="17"/>
        <v>145.86664422564448</v>
      </c>
      <c r="X47" s="232">
        <f t="shared" si="18"/>
        <v>77.621358978623888</v>
      </c>
      <c r="Y47" s="225">
        <f t="shared" si="19"/>
        <v>145.86664422564448</v>
      </c>
      <c r="Z47" s="225">
        <f t="shared" si="20"/>
        <v>77.621358978623888</v>
      </c>
      <c r="AA47" s="225">
        <f t="shared" si="21"/>
        <v>145.86664422564448</v>
      </c>
      <c r="AB47" s="225">
        <f t="shared" si="22"/>
        <v>77.621358978623888</v>
      </c>
    </row>
    <row r="48" spans="2:28" s="5" customFormat="1" x14ac:dyDescent="0.25">
      <c r="B48" s="232">
        <v>39</v>
      </c>
      <c r="C48" s="298">
        <v>472167</v>
      </c>
      <c r="D48" s="232">
        <f t="shared" si="1"/>
        <v>8.5383347481401278E-3</v>
      </c>
      <c r="E48" s="298">
        <v>480916</v>
      </c>
      <c r="F48" s="232">
        <f t="shared" si="2"/>
        <v>8.6965454886439707E-3</v>
      </c>
      <c r="G48" s="225">
        <f t="shared" si="3"/>
        <v>953083</v>
      </c>
      <c r="H48" s="225">
        <f t="shared" si="16"/>
        <v>1.72348802367841E-2</v>
      </c>
      <c r="J48" s="232">
        <v>39</v>
      </c>
      <c r="K48" s="298">
        <v>399506</v>
      </c>
      <c r="L48" s="225">
        <v>550</v>
      </c>
      <c r="M48" s="232">
        <f t="shared" si="14"/>
        <v>137.67002247776003</v>
      </c>
      <c r="N48" s="298">
        <v>404756</v>
      </c>
      <c r="O48" s="225">
        <v>304</v>
      </c>
      <c r="P48" s="225">
        <f t="shared" si="15"/>
        <v>75.106978031208925</v>
      </c>
      <c r="Q48" s="225"/>
      <c r="R48" s="5">
        <v>39</v>
      </c>
      <c r="S48" s="298">
        <f t="shared" si="4"/>
        <v>8.5383347481401278E-3</v>
      </c>
      <c r="T48" s="5">
        <f t="shared" si="5"/>
        <v>8.6965454886439707E-3</v>
      </c>
      <c r="U48" s="298">
        <f t="shared" si="6"/>
        <v>137.67002247776003</v>
      </c>
      <c r="V48" s="5">
        <f t="shared" si="7"/>
        <v>75.106978031208925</v>
      </c>
      <c r="W48" s="298">
        <f t="shared" si="17"/>
        <v>137.67002247776003</v>
      </c>
      <c r="X48" s="232">
        <f t="shared" si="18"/>
        <v>75.106978031208925</v>
      </c>
      <c r="Y48" s="225">
        <f t="shared" si="19"/>
        <v>137.67002247776003</v>
      </c>
      <c r="Z48" s="225">
        <f t="shared" si="20"/>
        <v>75.106978031208925</v>
      </c>
      <c r="AA48" s="225">
        <f t="shared" si="21"/>
        <v>137.67002247776003</v>
      </c>
      <c r="AB48" s="225">
        <f t="shared" si="22"/>
        <v>75.106978031208925</v>
      </c>
    </row>
    <row r="49" spans="2:28" s="5" customFormat="1" x14ac:dyDescent="0.25">
      <c r="B49" s="232">
        <v>40</v>
      </c>
      <c r="C49" s="298">
        <v>465406</v>
      </c>
      <c r="D49" s="232">
        <f t="shared" si="1"/>
        <v>8.4160735964031886E-3</v>
      </c>
      <c r="E49" s="298">
        <v>476644</v>
      </c>
      <c r="F49" s="232">
        <f t="shared" si="2"/>
        <v>8.6192936560422553E-3</v>
      </c>
      <c r="G49" s="225">
        <f t="shared" si="3"/>
        <v>942050</v>
      </c>
      <c r="H49" s="225">
        <f t="shared" si="16"/>
        <v>1.7035367252445446E-2</v>
      </c>
      <c r="J49" s="232">
        <v>40</v>
      </c>
      <c r="K49" s="298">
        <v>405724</v>
      </c>
      <c r="L49" s="225">
        <v>663</v>
      </c>
      <c r="M49" s="232">
        <f t="shared" si="14"/>
        <v>163.41158028610582</v>
      </c>
      <c r="N49" s="298">
        <v>412848</v>
      </c>
      <c r="O49" s="225">
        <v>398</v>
      </c>
      <c r="P49" s="225">
        <f t="shared" si="15"/>
        <v>96.403518970662333</v>
      </c>
      <c r="Q49" s="225"/>
      <c r="R49" s="5">
        <v>40</v>
      </c>
      <c r="S49" s="298">
        <f t="shared" si="4"/>
        <v>8.4160735964031886E-3</v>
      </c>
      <c r="T49" s="5">
        <f t="shared" si="5"/>
        <v>8.6192936560422553E-3</v>
      </c>
      <c r="U49" s="298">
        <f t="shared" si="6"/>
        <v>163.41158028610582</v>
      </c>
      <c r="V49" s="5">
        <f t="shared" si="7"/>
        <v>96.403518970662333</v>
      </c>
      <c r="W49" s="298">
        <f t="shared" si="17"/>
        <v>171.87155566894879</v>
      </c>
      <c r="X49" s="232">
        <f t="shared" si="18"/>
        <v>104.86349435350532</v>
      </c>
      <c r="Y49" s="225">
        <f t="shared" si="19"/>
        <v>150.2497060372433</v>
      </c>
      <c r="Z49" s="225">
        <f t="shared" si="20"/>
        <v>88.249285033561264</v>
      </c>
      <c r="AA49" s="225">
        <f t="shared" si="21"/>
        <v>172.0150887293442</v>
      </c>
      <c r="AB49" s="225">
        <f t="shared" si="22"/>
        <v>101.35348273252552</v>
      </c>
    </row>
    <row r="50" spans="2:28" s="5" customFormat="1" x14ac:dyDescent="0.25">
      <c r="B50" s="232">
        <v>41</v>
      </c>
      <c r="C50" s="298">
        <v>455157</v>
      </c>
      <c r="D50" s="232">
        <f t="shared" si="1"/>
        <v>8.2307379146768344E-3</v>
      </c>
      <c r="E50" s="298">
        <v>469187</v>
      </c>
      <c r="F50" s="232">
        <f t="shared" si="2"/>
        <v>8.4844465315780694E-3</v>
      </c>
      <c r="G50" s="225">
        <f t="shared" si="3"/>
        <v>924344</v>
      </c>
      <c r="H50" s="225">
        <f t="shared" si="16"/>
        <v>1.6715184446254902E-2</v>
      </c>
      <c r="J50" s="232">
        <v>41</v>
      </c>
      <c r="K50" s="298">
        <v>424493</v>
      </c>
      <c r="L50" s="225">
        <v>723</v>
      </c>
      <c r="M50" s="232">
        <f t="shared" si="14"/>
        <v>170.32082978989052</v>
      </c>
      <c r="N50" s="298">
        <v>430838</v>
      </c>
      <c r="O50" s="225">
        <v>431</v>
      </c>
      <c r="P50" s="225">
        <f t="shared" si="15"/>
        <v>100.0376011401037</v>
      </c>
      <c r="Q50" s="225"/>
      <c r="R50" s="5">
        <v>41</v>
      </c>
      <c r="S50" s="298">
        <f t="shared" si="4"/>
        <v>8.2307379146768344E-3</v>
      </c>
      <c r="T50" s="5">
        <f t="shared" si="5"/>
        <v>8.4844465315780694E-3</v>
      </c>
      <c r="U50" s="298">
        <f t="shared" si="6"/>
        <v>170.32082978989052</v>
      </c>
      <c r="V50" s="5">
        <f t="shared" si="7"/>
        <v>100.0376011401037</v>
      </c>
      <c r="W50" s="298">
        <f t="shared" si="17"/>
        <v>178.78080517273349</v>
      </c>
      <c r="X50" s="232">
        <f t="shared" si="18"/>
        <v>108.49757652294669</v>
      </c>
      <c r="Y50" s="225">
        <f t="shared" si="19"/>
        <v>156.6024547534852</v>
      </c>
      <c r="Z50" s="225">
        <f t="shared" si="20"/>
        <v>91.575980538359303</v>
      </c>
      <c r="AA50" s="225">
        <f t="shared" si="21"/>
        <v>178.92433823312891</v>
      </c>
      <c r="AB50" s="225">
        <f t="shared" si="22"/>
        <v>104.98756490196689</v>
      </c>
    </row>
    <row r="51" spans="2:28" s="5" customFormat="1" x14ac:dyDescent="0.25">
      <c r="B51" s="232">
        <v>42</v>
      </c>
      <c r="C51" s="298">
        <v>445181</v>
      </c>
      <c r="D51" s="232">
        <f t="shared" si="1"/>
        <v>8.0503389722529749E-3</v>
      </c>
      <c r="E51" s="298">
        <v>457122</v>
      </c>
      <c r="F51" s="232">
        <f t="shared" si="2"/>
        <v>8.2662715876783248E-3</v>
      </c>
      <c r="G51" s="225">
        <f t="shared" si="3"/>
        <v>902303</v>
      </c>
      <c r="H51" s="225">
        <f t="shared" si="16"/>
        <v>1.6316610559931301E-2</v>
      </c>
      <c r="J51" s="232">
        <v>42</v>
      </c>
      <c r="K51" s="298">
        <v>442516</v>
      </c>
      <c r="L51" s="225">
        <v>714</v>
      </c>
      <c r="M51" s="232">
        <f t="shared" si="14"/>
        <v>161.35009807554982</v>
      </c>
      <c r="N51" s="298">
        <v>450342</v>
      </c>
      <c r="O51" s="225">
        <v>492</v>
      </c>
      <c r="P51" s="225">
        <f t="shared" si="15"/>
        <v>109.25030310297507</v>
      </c>
      <c r="Q51" s="225"/>
      <c r="R51" s="5">
        <v>42</v>
      </c>
      <c r="S51" s="298">
        <f t="shared" si="4"/>
        <v>8.0503389722529749E-3</v>
      </c>
      <c r="T51" s="5">
        <f t="shared" si="5"/>
        <v>8.2662715876783248E-3</v>
      </c>
      <c r="U51" s="298">
        <f t="shared" si="6"/>
        <v>161.35009807554982</v>
      </c>
      <c r="V51" s="5">
        <f t="shared" si="7"/>
        <v>109.25030310297507</v>
      </c>
      <c r="W51" s="298">
        <f t="shared" si="17"/>
        <v>169.81007345839279</v>
      </c>
      <c r="X51" s="232">
        <f t="shared" si="18"/>
        <v>117.71027848581805</v>
      </c>
      <c r="Y51" s="225">
        <f t="shared" si="19"/>
        <v>148.35426450491892</v>
      </c>
      <c r="Z51" s="225">
        <f t="shared" si="20"/>
        <v>100.00943162117819</v>
      </c>
      <c r="AA51" s="225">
        <f t="shared" si="21"/>
        <v>169.95360651878821</v>
      </c>
      <c r="AB51" s="225">
        <f t="shared" si="22"/>
        <v>114.20026686483826</v>
      </c>
    </row>
    <row r="52" spans="2:28" s="5" customFormat="1" x14ac:dyDescent="0.25">
      <c r="B52" s="232">
        <v>43</v>
      </c>
      <c r="C52" s="298">
        <v>434326</v>
      </c>
      <c r="D52" s="232">
        <f t="shared" si="1"/>
        <v>7.8540448142727249E-3</v>
      </c>
      <c r="E52" s="298">
        <v>445110</v>
      </c>
      <c r="F52" s="232">
        <f t="shared" si="2"/>
        <v>8.0490550583684432E-3</v>
      </c>
      <c r="G52" s="225">
        <f t="shared" si="3"/>
        <v>879436</v>
      </c>
      <c r="H52" s="225">
        <f t="shared" si="16"/>
        <v>1.5903099872641168E-2</v>
      </c>
      <c r="J52" s="232">
        <v>43</v>
      </c>
      <c r="K52" s="298">
        <v>454033</v>
      </c>
      <c r="L52" s="225">
        <v>834</v>
      </c>
      <c r="M52" s="232">
        <f t="shared" si="14"/>
        <v>183.68708882394012</v>
      </c>
      <c r="N52" s="298">
        <v>468294</v>
      </c>
      <c r="O52" s="225">
        <v>571</v>
      </c>
      <c r="P52" s="225">
        <f t="shared" si="15"/>
        <v>121.93194873306085</v>
      </c>
      <c r="Q52" s="225"/>
      <c r="R52" s="5">
        <v>43</v>
      </c>
      <c r="S52" s="298">
        <f t="shared" si="4"/>
        <v>7.8540448142727249E-3</v>
      </c>
      <c r="T52" s="5">
        <f t="shared" si="5"/>
        <v>8.0490550583684432E-3</v>
      </c>
      <c r="U52" s="298">
        <f t="shared" si="6"/>
        <v>183.68708882394012</v>
      </c>
      <c r="V52" s="5">
        <f t="shared" si="7"/>
        <v>121.93194873306085</v>
      </c>
      <c r="W52" s="298">
        <f t="shared" si="17"/>
        <v>192.14706420678309</v>
      </c>
      <c r="X52" s="232">
        <f t="shared" si="18"/>
        <v>130.39192411590383</v>
      </c>
      <c r="Y52" s="225">
        <f t="shared" si="19"/>
        <v>168.89213757258193</v>
      </c>
      <c r="Z52" s="225">
        <f t="shared" si="20"/>
        <v>111.61840784791363</v>
      </c>
      <c r="AA52" s="225">
        <f t="shared" si="21"/>
        <v>192.2905972671785</v>
      </c>
      <c r="AB52" s="225">
        <f t="shared" si="22"/>
        <v>126.88191249492404</v>
      </c>
    </row>
    <row r="53" spans="2:28" s="5" customFormat="1" x14ac:dyDescent="0.25">
      <c r="B53" s="232">
        <v>44</v>
      </c>
      <c r="C53" s="298">
        <v>419458</v>
      </c>
      <c r="D53" s="232">
        <f t="shared" si="1"/>
        <v>7.5851823968751779E-3</v>
      </c>
      <c r="E53" s="298">
        <v>427574</v>
      </c>
      <c r="F53" s="232">
        <f t="shared" si="2"/>
        <v>7.7319464121831201E-3</v>
      </c>
      <c r="G53" s="225">
        <f t="shared" si="3"/>
        <v>847032</v>
      </c>
      <c r="H53" s="225">
        <f t="shared" si="16"/>
        <v>1.5317128809058299E-2</v>
      </c>
      <c r="J53" s="232">
        <v>44</v>
      </c>
      <c r="K53" s="298">
        <v>444445</v>
      </c>
      <c r="L53" s="225">
        <v>921</v>
      </c>
      <c r="M53" s="232">
        <f t="shared" si="14"/>
        <v>207.22474096907379</v>
      </c>
      <c r="N53" s="298">
        <v>456973</v>
      </c>
      <c r="O53" s="225">
        <v>580</v>
      </c>
      <c r="P53" s="225">
        <f t="shared" si="15"/>
        <v>126.92215951489476</v>
      </c>
      <c r="Q53" s="225"/>
      <c r="R53" s="5">
        <v>44</v>
      </c>
      <c r="S53" s="298">
        <f t="shared" si="4"/>
        <v>7.5851823968751779E-3</v>
      </c>
      <c r="T53" s="5">
        <f t="shared" si="5"/>
        <v>7.7319464121831201E-3</v>
      </c>
      <c r="U53" s="298">
        <f t="shared" si="6"/>
        <v>207.22474096907379</v>
      </c>
      <c r="V53" s="5">
        <f t="shared" si="7"/>
        <v>126.92215951489476</v>
      </c>
      <c r="W53" s="298">
        <f t="shared" si="17"/>
        <v>215.68471635191676</v>
      </c>
      <c r="X53" s="232">
        <f t="shared" si="18"/>
        <v>135.38213489773773</v>
      </c>
      <c r="Y53" s="225">
        <f t="shared" si="19"/>
        <v>190.5339655839222</v>
      </c>
      <c r="Z53" s="225">
        <f t="shared" si="20"/>
        <v>116.18652463831449</v>
      </c>
      <c r="AA53" s="225">
        <f t="shared" si="21"/>
        <v>215.82824941231218</v>
      </c>
      <c r="AB53" s="225">
        <f t="shared" si="22"/>
        <v>131.87212327675795</v>
      </c>
    </row>
    <row r="54" spans="2:28" s="5" customFormat="1" x14ac:dyDescent="0.25">
      <c r="B54" s="232">
        <v>45</v>
      </c>
      <c r="C54" s="298">
        <v>412454</v>
      </c>
      <c r="D54" s="232">
        <f t="shared" si="1"/>
        <v>7.4585270046601919E-3</v>
      </c>
      <c r="E54" s="298">
        <v>418720</v>
      </c>
      <c r="F54" s="232">
        <f t="shared" si="2"/>
        <v>7.5718369257937014E-3</v>
      </c>
      <c r="G54" s="225">
        <f t="shared" si="3"/>
        <v>831174</v>
      </c>
      <c r="H54" s="225">
        <f t="shared" si="16"/>
        <v>1.5030363930453892E-2</v>
      </c>
      <c r="J54" s="232">
        <v>45</v>
      </c>
      <c r="K54" s="298">
        <v>455317</v>
      </c>
      <c r="L54" s="225">
        <v>1040</v>
      </c>
      <c r="M54" s="232">
        <f t="shared" si="14"/>
        <v>228.41229297390609</v>
      </c>
      <c r="N54" s="298">
        <v>469255</v>
      </c>
      <c r="O54" s="225">
        <v>668</v>
      </c>
      <c r="P54" s="225">
        <f t="shared" si="15"/>
        <v>142.3533047063963</v>
      </c>
      <c r="Q54" s="225"/>
      <c r="R54" s="5">
        <v>45</v>
      </c>
      <c r="S54" s="298">
        <f t="shared" si="4"/>
        <v>7.4585270046601919E-3</v>
      </c>
      <c r="T54" s="5">
        <f t="shared" si="5"/>
        <v>7.5718369257937014E-3</v>
      </c>
      <c r="U54" s="298">
        <f t="shared" si="6"/>
        <v>228.41229297390609</v>
      </c>
      <c r="V54" s="5">
        <f t="shared" si="7"/>
        <v>142.3533047063963</v>
      </c>
      <c r="W54" s="298">
        <f t="shared" si="17"/>
        <v>236.87226835674906</v>
      </c>
      <c r="X54" s="232">
        <f t="shared" si="18"/>
        <v>150.81328008923927</v>
      </c>
      <c r="Y54" s="225">
        <f t="shared" si="19"/>
        <v>210.01498066743846</v>
      </c>
      <c r="Z54" s="225">
        <f t="shared" si="20"/>
        <v>130.31243565213867</v>
      </c>
      <c r="AA54" s="225">
        <f t="shared" si="21"/>
        <v>237.01580141714447</v>
      </c>
      <c r="AB54" s="225">
        <f t="shared" si="22"/>
        <v>147.30326846825949</v>
      </c>
    </row>
    <row r="55" spans="2:28" s="5" customFormat="1" x14ac:dyDescent="0.25">
      <c r="B55" s="232">
        <v>46</v>
      </c>
      <c r="C55" s="298">
        <v>406992</v>
      </c>
      <c r="D55" s="232">
        <f t="shared" si="1"/>
        <v>7.3597560520219487E-3</v>
      </c>
      <c r="E55" s="298">
        <v>412443</v>
      </c>
      <c r="F55" s="232">
        <f t="shared" si="2"/>
        <v>7.4583280884245595E-3</v>
      </c>
      <c r="G55" s="225">
        <f t="shared" si="3"/>
        <v>819435</v>
      </c>
      <c r="H55" s="225">
        <f t="shared" si="16"/>
        <v>1.4818084140446507E-2</v>
      </c>
      <c r="J55" s="232">
        <v>46</v>
      </c>
      <c r="K55" s="298">
        <v>455778</v>
      </c>
      <c r="L55" s="225">
        <v>1100</v>
      </c>
      <c r="M55" s="232">
        <f t="shared" si="14"/>
        <v>241.34556735954786</v>
      </c>
      <c r="N55" s="298">
        <v>469484</v>
      </c>
      <c r="O55" s="225">
        <v>705</v>
      </c>
      <c r="P55" s="225">
        <f t="shared" si="15"/>
        <v>150.16486184832709</v>
      </c>
      <c r="Q55" s="225"/>
      <c r="R55" s="5">
        <v>46</v>
      </c>
      <c r="S55" s="298">
        <f t="shared" si="4"/>
        <v>7.3597560520219487E-3</v>
      </c>
      <c r="T55" s="5">
        <f t="shared" si="5"/>
        <v>7.4583280884245595E-3</v>
      </c>
      <c r="U55" s="298">
        <f t="shared" si="6"/>
        <v>241.34556735954786</v>
      </c>
      <c r="V55" s="5">
        <f t="shared" si="7"/>
        <v>150.16486184832709</v>
      </c>
      <c r="W55" s="298">
        <f t="shared" si="17"/>
        <v>249.80554274239083</v>
      </c>
      <c r="X55" s="232">
        <f t="shared" si="18"/>
        <v>158.62483723117006</v>
      </c>
      <c r="Y55" s="225">
        <f t="shared" si="19"/>
        <v>221.90655329123558</v>
      </c>
      <c r="Z55" s="225">
        <f t="shared" si="20"/>
        <v>137.46325690985637</v>
      </c>
      <c r="AA55" s="225">
        <f t="shared" si="21"/>
        <v>249.94907580278621</v>
      </c>
      <c r="AB55" s="225">
        <f t="shared" si="22"/>
        <v>155.11482561019031</v>
      </c>
    </row>
    <row r="56" spans="2:28" s="5" customFormat="1" x14ac:dyDescent="0.25">
      <c r="B56" s="232">
        <v>47</v>
      </c>
      <c r="C56" s="298">
        <v>390680</v>
      </c>
      <c r="D56" s="232">
        <f t="shared" si="1"/>
        <v>7.0647813578741956E-3</v>
      </c>
      <c r="E56" s="298">
        <v>398524</v>
      </c>
      <c r="F56" s="232">
        <f t="shared" si="2"/>
        <v>7.2066267171737898E-3</v>
      </c>
      <c r="G56" s="225">
        <f t="shared" si="3"/>
        <v>789204</v>
      </c>
      <c r="H56" s="225">
        <f t="shared" si="16"/>
        <v>1.4271408075047986E-2</v>
      </c>
      <c r="J56" s="232">
        <v>47</v>
      </c>
      <c r="K56" s="298">
        <v>464071</v>
      </c>
      <c r="L56" s="225">
        <v>1166</v>
      </c>
      <c r="M56" s="232">
        <f t="shared" si="14"/>
        <v>251.25465715375449</v>
      </c>
      <c r="N56" s="298">
        <v>474129</v>
      </c>
      <c r="O56" s="225">
        <v>755</v>
      </c>
      <c r="P56" s="225">
        <f t="shared" si="15"/>
        <v>159.23936312691271</v>
      </c>
      <c r="Q56" s="225"/>
      <c r="R56" s="5">
        <v>47</v>
      </c>
      <c r="S56" s="298">
        <f t="shared" si="4"/>
        <v>7.0647813578741956E-3</v>
      </c>
      <c r="T56" s="5">
        <f t="shared" si="5"/>
        <v>7.2066267171737898E-3</v>
      </c>
      <c r="U56" s="298">
        <f t="shared" si="6"/>
        <v>251.25465715375449</v>
      </c>
      <c r="V56" s="5">
        <f t="shared" si="7"/>
        <v>159.23936312691271</v>
      </c>
      <c r="W56" s="298">
        <f t="shared" si="17"/>
        <v>259.71463253659749</v>
      </c>
      <c r="X56" s="232">
        <f t="shared" si="18"/>
        <v>167.69933850975568</v>
      </c>
      <c r="Y56" s="225">
        <f t="shared" si="19"/>
        <v>231.01752220830679</v>
      </c>
      <c r="Z56" s="225">
        <f t="shared" si="20"/>
        <v>145.7701969305316</v>
      </c>
      <c r="AA56" s="225">
        <f t="shared" si="21"/>
        <v>259.85816559699288</v>
      </c>
      <c r="AB56" s="225">
        <f t="shared" si="22"/>
        <v>164.18932688877589</v>
      </c>
    </row>
    <row r="57" spans="2:28" s="5" customFormat="1" x14ac:dyDescent="0.25">
      <c r="B57" s="232">
        <v>48</v>
      </c>
      <c r="C57" s="298">
        <v>377486</v>
      </c>
      <c r="D57" s="232">
        <f t="shared" si="1"/>
        <v>6.8261903748809737E-3</v>
      </c>
      <c r="E57" s="298">
        <v>385004</v>
      </c>
      <c r="F57" s="232">
        <f t="shared" si="2"/>
        <v>6.9621405802882076E-3</v>
      </c>
      <c r="G57" s="225">
        <f t="shared" si="3"/>
        <v>762490</v>
      </c>
      <c r="H57" s="225">
        <f t="shared" si="16"/>
        <v>1.3788330955169181E-2</v>
      </c>
      <c r="J57" s="232">
        <v>48</v>
      </c>
      <c r="K57" s="298">
        <v>461610</v>
      </c>
      <c r="L57" s="225">
        <v>1244</v>
      </c>
      <c r="M57" s="232">
        <f t="shared" si="14"/>
        <v>269.49156214120143</v>
      </c>
      <c r="N57" s="298">
        <v>476499</v>
      </c>
      <c r="O57" s="225">
        <v>827</v>
      </c>
      <c r="P57" s="225">
        <f t="shared" si="15"/>
        <v>173.55755206201903</v>
      </c>
      <c r="Q57" s="225"/>
      <c r="R57" s="5">
        <v>48</v>
      </c>
      <c r="S57" s="298">
        <f t="shared" si="4"/>
        <v>6.8261903748809737E-3</v>
      </c>
      <c r="T57" s="5">
        <f t="shared" si="5"/>
        <v>6.9621405802882076E-3</v>
      </c>
      <c r="U57" s="298">
        <f t="shared" si="6"/>
        <v>269.49156214120143</v>
      </c>
      <c r="V57" s="5">
        <f t="shared" si="7"/>
        <v>173.55755206201903</v>
      </c>
      <c r="W57" s="298">
        <f t="shared" si="17"/>
        <v>277.9515375240444</v>
      </c>
      <c r="X57" s="232">
        <f t="shared" si="18"/>
        <v>182.017527444862</v>
      </c>
      <c r="Y57" s="225">
        <f t="shared" si="19"/>
        <v>247.78554812541503</v>
      </c>
      <c r="Z57" s="225">
        <f t="shared" si="20"/>
        <v>158.87729042660109</v>
      </c>
      <c r="AA57" s="225">
        <f t="shared" si="21"/>
        <v>278.09507058443978</v>
      </c>
      <c r="AB57" s="225">
        <f t="shared" si="22"/>
        <v>178.50751582388224</v>
      </c>
    </row>
    <row r="58" spans="2:28" s="5" customFormat="1" x14ac:dyDescent="0.25">
      <c r="B58" s="232">
        <v>49</v>
      </c>
      <c r="C58" s="298">
        <v>367093</v>
      </c>
      <c r="D58" s="232">
        <f t="shared" si="1"/>
        <v>6.6382506987972562E-3</v>
      </c>
      <c r="E58" s="298">
        <v>375063</v>
      </c>
      <c r="F58" s="232">
        <f t="shared" si="2"/>
        <v>6.7823745531595415E-3</v>
      </c>
      <c r="G58" s="225">
        <f t="shared" si="3"/>
        <v>742156</v>
      </c>
      <c r="H58" s="225">
        <f t="shared" si="16"/>
        <v>1.3420625251956798E-2</v>
      </c>
      <c r="J58" s="232">
        <v>49</v>
      </c>
      <c r="K58" s="298">
        <v>465864</v>
      </c>
      <c r="L58" s="225">
        <v>1382</v>
      </c>
      <c r="M58" s="232">
        <f t="shared" si="14"/>
        <v>296.65310047567533</v>
      </c>
      <c r="N58" s="298">
        <v>480520</v>
      </c>
      <c r="O58" s="225">
        <v>871</v>
      </c>
      <c r="P58" s="225">
        <f t="shared" si="15"/>
        <v>181.26196620327977</v>
      </c>
      <c r="Q58" s="225"/>
      <c r="R58" s="5">
        <v>49</v>
      </c>
      <c r="S58" s="298">
        <f t="shared" si="4"/>
        <v>6.6382506987972562E-3</v>
      </c>
      <c r="T58" s="5">
        <f t="shared" si="5"/>
        <v>6.7823745531595415E-3</v>
      </c>
      <c r="U58" s="298">
        <f t="shared" si="6"/>
        <v>296.65310047567533</v>
      </c>
      <c r="V58" s="5">
        <f t="shared" si="7"/>
        <v>181.26196620327977</v>
      </c>
      <c r="W58" s="298">
        <f t="shared" si="17"/>
        <v>305.1130758585183</v>
      </c>
      <c r="X58" s="232">
        <f t="shared" si="18"/>
        <v>189.72194158612274</v>
      </c>
      <c r="Y58" s="225">
        <f t="shared" si="19"/>
        <v>272.75937888532115</v>
      </c>
      <c r="Z58" s="225">
        <f t="shared" si="20"/>
        <v>165.93003131021581</v>
      </c>
      <c r="AA58" s="225">
        <f t="shared" si="21"/>
        <v>305.25660891891368</v>
      </c>
      <c r="AB58" s="225">
        <f t="shared" si="22"/>
        <v>186.21192996514293</v>
      </c>
    </row>
    <row r="59" spans="2:28" s="5" customFormat="1" x14ac:dyDescent="0.25">
      <c r="B59" s="232">
        <v>50</v>
      </c>
      <c r="C59" s="298">
        <v>367802</v>
      </c>
      <c r="D59" s="232">
        <f t="shared" si="1"/>
        <v>6.6510717543484307E-3</v>
      </c>
      <c r="E59" s="298">
        <v>376535</v>
      </c>
      <c r="F59" s="232">
        <f t="shared" si="2"/>
        <v>6.8089931621459002E-3</v>
      </c>
      <c r="G59" s="225">
        <f t="shared" si="3"/>
        <v>744337</v>
      </c>
      <c r="H59" s="225">
        <f t="shared" si="16"/>
        <v>1.3460064916494331E-2</v>
      </c>
      <c r="J59" s="232">
        <v>50</v>
      </c>
      <c r="K59" s="298">
        <v>461541</v>
      </c>
      <c r="L59" s="225">
        <v>1440</v>
      </c>
      <c r="M59" s="232">
        <f t="shared" si="14"/>
        <v>311.99828400943795</v>
      </c>
      <c r="N59" s="298">
        <v>475802</v>
      </c>
      <c r="O59" s="225">
        <v>1037</v>
      </c>
      <c r="P59" s="225">
        <f t="shared" si="15"/>
        <v>217.94780181672209</v>
      </c>
      <c r="Q59" s="225"/>
      <c r="R59" s="5">
        <v>50</v>
      </c>
      <c r="S59" s="298">
        <f t="shared" si="4"/>
        <v>6.6510717543484307E-3</v>
      </c>
      <c r="T59" s="5">
        <f t="shared" si="5"/>
        <v>6.8089931621459002E-3</v>
      </c>
      <c r="U59" s="298">
        <f t="shared" si="6"/>
        <v>311.99828400943795</v>
      </c>
      <c r="V59" s="5">
        <f t="shared" si="7"/>
        <v>217.94780181672209</v>
      </c>
      <c r="W59" s="298">
        <f t="shared" si="17"/>
        <v>320.45825939228092</v>
      </c>
      <c r="X59" s="232">
        <f t="shared" si="18"/>
        <v>226.40777719956506</v>
      </c>
      <c r="Y59" s="225">
        <f t="shared" si="19"/>
        <v>286.86859508039527</v>
      </c>
      <c r="Z59" s="225">
        <f t="shared" si="20"/>
        <v>199.51281748143728</v>
      </c>
      <c r="AA59" s="225">
        <f t="shared" si="21"/>
        <v>320.60179245267625</v>
      </c>
      <c r="AB59" s="225">
        <f t="shared" si="22"/>
        <v>222.89776557858528</v>
      </c>
    </row>
    <row r="60" spans="2:28" s="5" customFormat="1" x14ac:dyDescent="0.25">
      <c r="B60" s="232">
        <v>51</v>
      </c>
      <c r="C60" s="298">
        <v>363237</v>
      </c>
      <c r="D60" s="232">
        <f t="shared" si="1"/>
        <v>6.5685215165612503E-3</v>
      </c>
      <c r="E60" s="298">
        <v>371117</v>
      </c>
      <c r="F60" s="232">
        <f t="shared" si="2"/>
        <v>6.7110178744501838E-3</v>
      </c>
      <c r="G60" s="225">
        <f t="shared" si="3"/>
        <v>734354</v>
      </c>
      <c r="H60" s="225">
        <f t="shared" si="16"/>
        <v>1.3279539391011435E-2</v>
      </c>
      <c r="J60" s="232">
        <v>51</v>
      </c>
      <c r="K60" s="298">
        <v>453132</v>
      </c>
      <c r="L60" s="225">
        <v>1580</v>
      </c>
      <c r="M60" s="232">
        <f t="shared" si="14"/>
        <v>348.68426860164368</v>
      </c>
      <c r="N60" s="298">
        <v>465288</v>
      </c>
      <c r="O60" s="225">
        <v>1082</v>
      </c>
      <c r="P60" s="225">
        <f t="shared" si="15"/>
        <v>232.5441447017761</v>
      </c>
      <c r="Q60" s="225"/>
      <c r="R60" s="5">
        <v>51</v>
      </c>
      <c r="S60" s="298">
        <f t="shared" si="4"/>
        <v>6.5685215165612503E-3</v>
      </c>
      <c r="T60" s="5">
        <f t="shared" si="5"/>
        <v>6.7110178744501838E-3</v>
      </c>
      <c r="U60" s="298">
        <f t="shared" si="6"/>
        <v>348.68426860164368</v>
      </c>
      <c r="V60" s="5">
        <f t="shared" si="7"/>
        <v>232.5441447017761</v>
      </c>
      <c r="W60" s="298">
        <f t="shared" si="17"/>
        <v>357.14424398448665</v>
      </c>
      <c r="X60" s="232">
        <f t="shared" si="18"/>
        <v>241.00412008461907</v>
      </c>
      <c r="Y60" s="225">
        <f t="shared" si="19"/>
        <v>320.59973207212545</v>
      </c>
      <c r="Z60" s="225">
        <f t="shared" si="20"/>
        <v>212.87453744212385</v>
      </c>
      <c r="AA60" s="225">
        <f t="shared" si="21"/>
        <v>357.28777704488203</v>
      </c>
      <c r="AB60" s="225">
        <f t="shared" si="22"/>
        <v>237.49410846363929</v>
      </c>
    </row>
    <row r="61" spans="2:28" s="5" customFormat="1" x14ac:dyDescent="0.25">
      <c r="B61" s="232">
        <v>52</v>
      </c>
      <c r="C61" s="298">
        <v>359611</v>
      </c>
      <c r="D61" s="232">
        <f t="shared" si="1"/>
        <v>6.5029514919793625E-3</v>
      </c>
      <c r="E61" s="298">
        <v>367569</v>
      </c>
      <c r="F61" s="232">
        <f t="shared" si="2"/>
        <v>6.6468583468118677E-3</v>
      </c>
      <c r="G61" s="225">
        <f t="shared" si="3"/>
        <v>727180</v>
      </c>
      <c r="H61" s="225">
        <f t="shared" si="16"/>
        <v>1.3149809838791229E-2</v>
      </c>
      <c r="J61" s="232">
        <v>52</v>
      </c>
      <c r="K61" s="298">
        <v>444765</v>
      </c>
      <c r="L61" s="225">
        <v>1640</v>
      </c>
      <c r="M61" s="232">
        <f t="shared" si="14"/>
        <v>368.73405056602923</v>
      </c>
      <c r="N61" s="298">
        <v>454042</v>
      </c>
      <c r="O61" s="225">
        <v>1149</v>
      </c>
      <c r="P61" s="225">
        <f t="shared" si="15"/>
        <v>253.06028957673519</v>
      </c>
      <c r="Q61" s="225"/>
      <c r="R61" s="5">
        <v>52</v>
      </c>
      <c r="S61" s="298">
        <f t="shared" si="4"/>
        <v>6.5029514919793625E-3</v>
      </c>
      <c r="T61" s="5">
        <f t="shared" si="5"/>
        <v>6.6468583468118677E-3</v>
      </c>
      <c r="U61" s="298">
        <f t="shared" si="6"/>
        <v>368.73405056602923</v>
      </c>
      <c r="V61" s="5">
        <f t="shared" si="7"/>
        <v>253.06028957673519</v>
      </c>
      <c r="W61" s="298">
        <f t="shared" si="17"/>
        <v>377.19402594887219</v>
      </c>
      <c r="X61" s="232">
        <f t="shared" si="18"/>
        <v>261.52026495957818</v>
      </c>
      <c r="Y61" s="225">
        <f t="shared" si="19"/>
        <v>339.03461802687497</v>
      </c>
      <c r="Z61" s="225">
        <f t="shared" si="20"/>
        <v>231.65533648547711</v>
      </c>
      <c r="AA61" s="225">
        <f t="shared" si="21"/>
        <v>377.33755900926758</v>
      </c>
      <c r="AB61" s="225">
        <f t="shared" si="22"/>
        <v>258.01025333859837</v>
      </c>
    </row>
    <row r="62" spans="2:28" s="5" customFormat="1" x14ac:dyDescent="0.25">
      <c r="B62" s="232">
        <v>53</v>
      </c>
      <c r="C62" s="298">
        <v>361485</v>
      </c>
      <c r="D62" s="232">
        <f t="shared" si="1"/>
        <v>6.5368395852133552E-3</v>
      </c>
      <c r="E62" s="298">
        <v>369882</v>
      </c>
      <c r="F62" s="232">
        <f t="shared" si="2"/>
        <v>6.6886850061769823E-3</v>
      </c>
      <c r="G62" s="225">
        <f t="shared" si="3"/>
        <v>731367</v>
      </c>
      <c r="H62" s="225">
        <f t="shared" si="16"/>
        <v>1.3225524591390337E-2</v>
      </c>
      <c r="J62" s="232">
        <v>53</v>
      </c>
      <c r="K62" s="298">
        <v>430028</v>
      </c>
      <c r="L62" s="225">
        <v>1706</v>
      </c>
      <c r="M62" s="232">
        <f t="shared" si="14"/>
        <v>396.71835322351103</v>
      </c>
      <c r="N62" s="298">
        <v>438923</v>
      </c>
      <c r="O62" s="225">
        <v>1174</v>
      </c>
      <c r="P62" s="225">
        <f t="shared" si="15"/>
        <v>267.47288248736112</v>
      </c>
      <c r="Q62" s="225"/>
      <c r="R62" s="5">
        <v>53</v>
      </c>
      <c r="S62" s="298">
        <f t="shared" si="4"/>
        <v>6.5368395852133552E-3</v>
      </c>
      <c r="T62" s="5">
        <f t="shared" si="5"/>
        <v>6.6886850061769823E-3</v>
      </c>
      <c r="U62" s="298">
        <f t="shared" si="6"/>
        <v>396.71835322351103</v>
      </c>
      <c r="V62" s="5">
        <f t="shared" si="7"/>
        <v>267.47288248736112</v>
      </c>
      <c r="W62" s="298">
        <f t="shared" si="17"/>
        <v>405.178328606354</v>
      </c>
      <c r="X62" s="232">
        <f t="shared" si="18"/>
        <v>275.93285787020409</v>
      </c>
      <c r="Y62" s="225">
        <f t="shared" si="19"/>
        <v>364.76494411871181</v>
      </c>
      <c r="Z62" s="225">
        <f t="shared" si="20"/>
        <v>244.84884885331482</v>
      </c>
      <c r="AA62" s="225">
        <f t="shared" si="21"/>
        <v>405.32186166674938</v>
      </c>
      <c r="AB62" s="225">
        <f t="shared" si="22"/>
        <v>272.42284624922434</v>
      </c>
    </row>
    <row r="63" spans="2:28" s="5" customFormat="1" x14ac:dyDescent="0.25">
      <c r="B63" s="232">
        <v>54</v>
      </c>
      <c r="C63" s="298">
        <v>370888</v>
      </c>
      <c r="D63" s="232">
        <f t="shared" si="1"/>
        <v>6.7068768000902142E-3</v>
      </c>
      <c r="E63" s="298">
        <v>380815</v>
      </c>
      <c r="F63" s="232">
        <f t="shared" si="2"/>
        <v>6.8863896611008031E-3</v>
      </c>
      <c r="G63" s="225">
        <f t="shared" si="3"/>
        <v>751703</v>
      </c>
      <c r="H63" s="225">
        <f t="shared" si="16"/>
        <v>1.3593266461191017E-2</v>
      </c>
      <c r="J63" s="232">
        <v>54</v>
      </c>
      <c r="K63" s="298">
        <v>412989</v>
      </c>
      <c r="L63" s="225">
        <v>1841</v>
      </c>
      <c r="M63" s="232">
        <f t="shared" si="14"/>
        <v>445.77458479523665</v>
      </c>
      <c r="N63" s="298">
        <v>421507</v>
      </c>
      <c r="O63" s="225">
        <v>1227</v>
      </c>
      <c r="P63" s="225">
        <f t="shared" si="15"/>
        <v>291.09836847312147</v>
      </c>
      <c r="Q63" s="225"/>
      <c r="R63" s="5">
        <v>54</v>
      </c>
      <c r="S63" s="298">
        <f t="shared" si="4"/>
        <v>6.7068768000902142E-3</v>
      </c>
      <c r="T63" s="5">
        <f t="shared" si="5"/>
        <v>6.8863896611008031E-3</v>
      </c>
      <c r="U63" s="298">
        <f t="shared" si="6"/>
        <v>445.77458479523665</v>
      </c>
      <c r="V63" s="5">
        <f t="shared" si="7"/>
        <v>291.09836847312147</v>
      </c>
      <c r="W63" s="298">
        <f t="shared" si="17"/>
        <v>454.23456017807962</v>
      </c>
      <c r="X63" s="232">
        <f t="shared" si="18"/>
        <v>299.55834385596444</v>
      </c>
      <c r="Y63" s="225">
        <f t="shared" si="19"/>
        <v>409.86997498642569</v>
      </c>
      <c r="Z63" s="225">
        <f t="shared" si="20"/>
        <v>266.47598725111817</v>
      </c>
      <c r="AA63" s="225">
        <f t="shared" si="21"/>
        <v>454.37809323847495</v>
      </c>
      <c r="AB63" s="225">
        <f t="shared" si="22"/>
        <v>296.04833223498468</v>
      </c>
    </row>
    <row r="64" spans="2:28" s="5" customFormat="1" x14ac:dyDescent="0.25">
      <c r="B64" s="232">
        <v>55</v>
      </c>
      <c r="C64" s="298">
        <v>383360</v>
      </c>
      <c r="D64" s="232">
        <f t="shared" si="1"/>
        <v>6.9324116447083339E-3</v>
      </c>
      <c r="E64" s="298">
        <v>391691</v>
      </c>
      <c r="F64" s="232">
        <f t="shared" si="2"/>
        <v>7.0830635682581694E-3</v>
      </c>
      <c r="G64" s="225">
        <f t="shared" si="3"/>
        <v>775051</v>
      </c>
      <c r="H64" s="225">
        <f t="shared" si="16"/>
        <v>1.4015475212966503E-2</v>
      </c>
      <c r="J64" s="232">
        <v>55</v>
      </c>
      <c r="K64" s="298">
        <v>403877</v>
      </c>
      <c r="L64" s="225">
        <v>1963</v>
      </c>
      <c r="M64" s="232">
        <f t="shared" si="14"/>
        <v>486.03906634940836</v>
      </c>
      <c r="N64" s="298">
        <v>412983</v>
      </c>
      <c r="O64" s="225">
        <v>1372</v>
      </c>
      <c r="P64" s="225">
        <f t="shared" si="15"/>
        <v>332.21706462493614</v>
      </c>
      <c r="Q64" s="225"/>
      <c r="R64" s="5">
        <v>55</v>
      </c>
      <c r="S64" s="298">
        <f t="shared" si="4"/>
        <v>6.9324116447083339E-3</v>
      </c>
      <c r="T64" s="5">
        <f t="shared" si="5"/>
        <v>7.0830635682581694E-3</v>
      </c>
      <c r="U64" s="298">
        <f t="shared" si="6"/>
        <v>486.03906634940836</v>
      </c>
      <c r="V64" s="5">
        <f t="shared" si="7"/>
        <v>332.21706462493614</v>
      </c>
      <c r="W64" s="298">
        <f t="shared" si="17"/>
        <v>494.49904173225133</v>
      </c>
      <c r="X64" s="232">
        <f t="shared" si="18"/>
        <v>340.67704000777911</v>
      </c>
      <c r="Y64" s="225">
        <f t="shared" si="19"/>
        <v>446.89138134370017</v>
      </c>
      <c r="Z64" s="225">
        <f t="shared" si="20"/>
        <v>304.11668310594666</v>
      </c>
      <c r="AA64" s="225">
        <f t="shared" si="21"/>
        <v>494.64257479264671</v>
      </c>
      <c r="AB64" s="225">
        <f t="shared" si="22"/>
        <v>337.16702838679936</v>
      </c>
    </row>
    <row r="65" spans="2:28" s="5" customFormat="1" x14ac:dyDescent="0.25">
      <c r="B65" s="232">
        <v>56</v>
      </c>
      <c r="C65" s="298">
        <v>408939</v>
      </c>
      <c r="D65" s="232">
        <f t="shared" si="1"/>
        <v>7.3949642257287703E-3</v>
      </c>
      <c r="E65" s="298">
        <v>418458</v>
      </c>
      <c r="F65" s="232">
        <f t="shared" si="2"/>
        <v>7.5670991027268356E-3</v>
      </c>
      <c r="G65" s="225">
        <f t="shared" si="3"/>
        <v>827397</v>
      </c>
      <c r="H65" s="225">
        <f t="shared" si="16"/>
        <v>1.4962063328455606E-2</v>
      </c>
      <c r="J65" s="232">
        <v>56</v>
      </c>
      <c r="K65" s="298">
        <v>394739</v>
      </c>
      <c r="L65" s="225">
        <v>2020</v>
      </c>
      <c r="M65" s="232">
        <f t="shared" si="14"/>
        <v>511.73053587307055</v>
      </c>
      <c r="N65" s="298">
        <v>403713</v>
      </c>
      <c r="O65" s="225">
        <v>1439</v>
      </c>
      <c r="P65" s="225">
        <f t="shared" si="15"/>
        <v>356.44133332342528</v>
      </c>
      <c r="Q65" s="225"/>
      <c r="R65" s="5">
        <v>56</v>
      </c>
      <c r="S65" s="298">
        <f t="shared" si="4"/>
        <v>7.3949642257287703E-3</v>
      </c>
      <c r="T65" s="5">
        <f t="shared" si="5"/>
        <v>7.5670991027268356E-3</v>
      </c>
      <c r="U65" s="298">
        <f t="shared" si="6"/>
        <v>511.73053587307055</v>
      </c>
      <c r="V65" s="5">
        <f t="shared" si="7"/>
        <v>356.44133332342528</v>
      </c>
      <c r="W65" s="298">
        <f t="shared" si="17"/>
        <v>520.19051125591352</v>
      </c>
      <c r="X65" s="232">
        <f t="shared" si="18"/>
        <v>364.90130870626825</v>
      </c>
      <c r="Y65" s="225">
        <f t="shared" si="19"/>
        <v>470.51354898222735</v>
      </c>
      <c r="Z65" s="225">
        <f t="shared" si="20"/>
        <v>326.29195653920294</v>
      </c>
      <c r="AA65" s="225">
        <f t="shared" si="21"/>
        <v>520.33404431630879</v>
      </c>
      <c r="AB65" s="225">
        <f t="shared" si="22"/>
        <v>361.3912970852885</v>
      </c>
    </row>
    <row r="66" spans="2:28" s="5" customFormat="1" x14ac:dyDescent="0.25">
      <c r="B66" s="232">
        <v>57</v>
      </c>
      <c r="C66" s="298">
        <v>430486</v>
      </c>
      <c r="D66" s="232">
        <f t="shared" si="1"/>
        <v>7.7846049647430915E-3</v>
      </c>
      <c r="E66" s="298">
        <v>440604</v>
      </c>
      <c r="F66" s="232">
        <f t="shared" si="2"/>
        <v>7.9675717349360145E-3</v>
      </c>
      <c r="G66" s="225">
        <f t="shared" si="3"/>
        <v>871090</v>
      </c>
      <c r="H66" s="225">
        <f t="shared" si="16"/>
        <v>1.5752176699679106E-2</v>
      </c>
      <c r="J66" s="232">
        <v>57</v>
      </c>
      <c r="K66" s="298">
        <v>380158</v>
      </c>
      <c r="L66" s="225">
        <v>2224</v>
      </c>
      <c r="M66" s="232">
        <f t="shared" si="14"/>
        <v>585.01991277311015</v>
      </c>
      <c r="N66" s="298">
        <v>389635</v>
      </c>
      <c r="O66" s="225">
        <v>1573</v>
      </c>
      <c r="P66" s="225">
        <f t="shared" si="15"/>
        <v>403.711165578041</v>
      </c>
      <c r="Q66" s="225"/>
      <c r="R66" s="5">
        <v>57</v>
      </c>
      <c r="S66" s="298">
        <f t="shared" si="4"/>
        <v>7.7846049647430915E-3</v>
      </c>
      <c r="T66" s="5">
        <f t="shared" si="5"/>
        <v>7.9675717349360145E-3</v>
      </c>
      <c r="U66" s="298">
        <f t="shared" si="6"/>
        <v>585.01991277311015</v>
      </c>
      <c r="V66" s="5">
        <f t="shared" si="7"/>
        <v>403.711165578041</v>
      </c>
      <c r="W66" s="298">
        <f t="shared" si="17"/>
        <v>593.47988815595318</v>
      </c>
      <c r="X66" s="232">
        <f t="shared" si="18"/>
        <v>412.17114096088397</v>
      </c>
      <c r="Y66" s="225">
        <f t="shared" si="19"/>
        <v>537.89988302051313</v>
      </c>
      <c r="Z66" s="225">
        <f t="shared" si="20"/>
        <v>369.56349833215029</v>
      </c>
      <c r="AA66" s="225">
        <f t="shared" si="21"/>
        <v>593.62342121634845</v>
      </c>
      <c r="AB66" s="225">
        <f t="shared" si="22"/>
        <v>408.66112933990422</v>
      </c>
    </row>
    <row r="67" spans="2:28" s="5" customFormat="1" x14ac:dyDescent="0.25">
      <c r="B67" s="232">
        <v>58</v>
      </c>
      <c r="C67" s="298">
        <v>349118</v>
      </c>
      <c r="D67" s="232">
        <f t="shared" si="1"/>
        <v>6.3132034864808121E-3</v>
      </c>
      <c r="E67" s="298">
        <v>358945</v>
      </c>
      <c r="F67" s="232">
        <f t="shared" si="2"/>
        <v>6.4909080180765672E-3</v>
      </c>
      <c r="G67" s="225">
        <f t="shared" si="3"/>
        <v>708063</v>
      </c>
      <c r="H67" s="225">
        <f t="shared" si="16"/>
        <v>1.2804111504557378E-2</v>
      </c>
      <c r="J67" s="232">
        <v>58</v>
      </c>
      <c r="K67" s="298">
        <v>366613</v>
      </c>
      <c r="L67" s="225">
        <v>2443</v>
      </c>
      <c r="M67" s="232">
        <f t="shared" si="14"/>
        <v>666.3702596470938</v>
      </c>
      <c r="N67" s="298">
        <v>375852</v>
      </c>
      <c r="O67" s="225">
        <v>1588</v>
      </c>
      <c r="P67" s="225">
        <f t="shared" si="15"/>
        <v>422.50673137298725</v>
      </c>
      <c r="Q67" s="225"/>
      <c r="R67" s="5">
        <v>58</v>
      </c>
      <c r="S67" s="298">
        <f t="shared" si="4"/>
        <v>6.3132034864808121E-3</v>
      </c>
      <c r="T67" s="5">
        <f t="shared" si="5"/>
        <v>6.4909080180765672E-3</v>
      </c>
      <c r="U67" s="298">
        <f t="shared" si="6"/>
        <v>666.3702596470938</v>
      </c>
      <c r="V67" s="5">
        <f t="shared" si="7"/>
        <v>422.50673137298725</v>
      </c>
      <c r="W67" s="298">
        <f t="shared" si="17"/>
        <v>674.83023502993683</v>
      </c>
      <c r="X67" s="232">
        <f t="shared" si="18"/>
        <v>430.96670675583022</v>
      </c>
      <c r="Y67" s="225">
        <f t="shared" si="19"/>
        <v>612.69792170567644</v>
      </c>
      <c r="Z67" s="225">
        <f t="shared" si="20"/>
        <v>386.7692524468942</v>
      </c>
      <c r="AA67" s="225">
        <f t="shared" si="21"/>
        <v>674.9737680903321</v>
      </c>
      <c r="AB67" s="225">
        <f t="shared" si="22"/>
        <v>427.45669513485046</v>
      </c>
    </row>
    <row r="68" spans="2:28" s="5" customFormat="1" x14ac:dyDescent="0.25">
      <c r="B68" s="232">
        <v>59</v>
      </c>
      <c r="C68" s="298">
        <v>340034</v>
      </c>
      <c r="D68" s="232">
        <f t="shared" si="1"/>
        <v>6.1489348424372745E-3</v>
      </c>
      <c r="E68" s="298">
        <v>350546</v>
      </c>
      <c r="F68" s="232">
        <f t="shared" si="2"/>
        <v>6.3390264305246439E-3</v>
      </c>
      <c r="G68" s="225">
        <f t="shared" si="3"/>
        <v>690580</v>
      </c>
      <c r="H68" s="225">
        <f t="shared" si="16"/>
        <v>1.2487961272961918E-2</v>
      </c>
      <c r="J68" s="232">
        <v>59</v>
      </c>
      <c r="K68" s="298">
        <v>352170</v>
      </c>
      <c r="L68" s="225">
        <v>2599</v>
      </c>
      <c r="M68" s="232">
        <f t="shared" si="14"/>
        <v>737.995854274924</v>
      </c>
      <c r="N68" s="298">
        <v>363134</v>
      </c>
      <c r="O68" s="225">
        <v>1676</v>
      </c>
      <c r="P68" s="225">
        <f t="shared" si="15"/>
        <v>461.53761421403669</v>
      </c>
      <c r="Q68" s="225"/>
      <c r="R68" s="5">
        <v>59</v>
      </c>
      <c r="S68" s="298">
        <f t="shared" si="4"/>
        <v>6.1489348424372745E-3</v>
      </c>
      <c r="T68" s="5">
        <f t="shared" si="5"/>
        <v>6.3390264305246439E-3</v>
      </c>
      <c r="U68" s="298">
        <f t="shared" si="6"/>
        <v>737.995854274924</v>
      </c>
      <c r="V68" s="5">
        <f t="shared" si="7"/>
        <v>461.53761421403669</v>
      </c>
      <c r="W68" s="298">
        <f t="shared" si="17"/>
        <v>746.45582965776703</v>
      </c>
      <c r="X68" s="232">
        <f t="shared" si="18"/>
        <v>469.99758959687966</v>
      </c>
      <c r="Y68" s="225">
        <f t="shared" si="19"/>
        <v>678.55448167977556</v>
      </c>
      <c r="Z68" s="225">
        <f t="shared" si="20"/>
        <v>422.49873142991277</v>
      </c>
      <c r="AA68" s="225">
        <f t="shared" si="21"/>
        <v>746.5993627181623</v>
      </c>
      <c r="AB68" s="225">
        <f t="shared" si="22"/>
        <v>466.48757797589991</v>
      </c>
    </row>
    <row r="69" spans="2:28" s="5" customFormat="1" x14ac:dyDescent="0.25">
      <c r="B69" s="232">
        <v>60</v>
      </c>
      <c r="C69" s="298">
        <v>333265</v>
      </c>
      <c r="D69" s="232">
        <f t="shared" si="1"/>
        <v>6.0265290243471485E-3</v>
      </c>
      <c r="E69" s="298">
        <v>343358</v>
      </c>
      <c r="F69" s="232">
        <f t="shared" si="2"/>
        <v>6.2090437121863629E-3</v>
      </c>
      <c r="G69" s="225">
        <f t="shared" si="3"/>
        <v>676623</v>
      </c>
      <c r="H69" s="225">
        <f t="shared" si="16"/>
        <v>1.2235572736533511E-2</v>
      </c>
      <c r="J69" s="232">
        <v>60</v>
      </c>
      <c r="K69" s="298">
        <v>351859</v>
      </c>
      <c r="L69" s="225">
        <v>2770</v>
      </c>
      <c r="M69" s="232">
        <f t="shared" si="14"/>
        <v>787.24716434708216</v>
      </c>
      <c r="N69" s="298">
        <v>364896</v>
      </c>
      <c r="O69" s="225">
        <v>1925</v>
      </c>
      <c r="P69" s="225">
        <f t="shared" si="15"/>
        <v>527.54757519950886</v>
      </c>
      <c r="Q69" s="225"/>
      <c r="R69" s="5">
        <v>60</v>
      </c>
      <c r="S69" s="298">
        <f t="shared" si="4"/>
        <v>6.0265290243471485E-3</v>
      </c>
      <c r="T69" s="5">
        <f t="shared" si="5"/>
        <v>6.2090437121863629E-3</v>
      </c>
      <c r="U69" s="298">
        <f t="shared" si="6"/>
        <v>787.24716434708216</v>
      </c>
      <c r="V69" s="5">
        <f t="shared" si="7"/>
        <v>527.54757519950886</v>
      </c>
      <c r="W69" s="298">
        <f t="shared" si="17"/>
        <v>795.70713972992519</v>
      </c>
      <c r="X69" s="232">
        <f t="shared" si="18"/>
        <v>536.00755058235188</v>
      </c>
      <c r="Y69" s="225">
        <f t="shared" si="19"/>
        <v>723.83887858319429</v>
      </c>
      <c r="Z69" s="225">
        <f t="shared" si="20"/>
        <v>482.9252793843911</v>
      </c>
      <c r="AA69" s="225">
        <f t="shared" si="21"/>
        <v>795.85067279032046</v>
      </c>
      <c r="AB69" s="225">
        <f t="shared" si="22"/>
        <v>532.49753896137213</v>
      </c>
    </row>
    <row r="70" spans="2:28" s="5" customFormat="1" x14ac:dyDescent="0.25">
      <c r="B70" s="232">
        <v>61</v>
      </c>
      <c r="C70" s="298">
        <v>317754</v>
      </c>
      <c r="D70" s="232">
        <f t="shared" si="1"/>
        <v>5.7460390488122178E-3</v>
      </c>
      <c r="E70" s="298">
        <v>330773</v>
      </c>
      <c r="F70" s="232">
        <f t="shared" si="2"/>
        <v>5.9814654553294808E-3</v>
      </c>
      <c r="G70" s="225">
        <f t="shared" si="3"/>
        <v>648527</v>
      </c>
      <c r="H70" s="225">
        <f t="shared" si="16"/>
        <v>1.1727504504141699E-2</v>
      </c>
      <c r="J70" s="232">
        <v>61</v>
      </c>
      <c r="K70" s="298">
        <v>347724</v>
      </c>
      <c r="L70" s="225">
        <v>3012</v>
      </c>
      <c r="M70" s="232">
        <f t="shared" si="14"/>
        <v>866.20423094178136</v>
      </c>
      <c r="N70" s="298">
        <v>360037</v>
      </c>
      <c r="O70" s="225">
        <v>2051</v>
      </c>
      <c r="P70" s="225">
        <f t="shared" si="15"/>
        <v>569.66367345578374</v>
      </c>
      <c r="Q70" s="225"/>
      <c r="R70" s="5">
        <v>61</v>
      </c>
      <c r="S70" s="298">
        <f t="shared" si="4"/>
        <v>5.7460390488122178E-3</v>
      </c>
      <c r="T70" s="5">
        <f t="shared" si="5"/>
        <v>5.9814654553294808E-3</v>
      </c>
      <c r="U70" s="298">
        <f t="shared" si="6"/>
        <v>866.20423094178136</v>
      </c>
      <c r="V70" s="5">
        <f t="shared" si="7"/>
        <v>569.66367345578374</v>
      </c>
      <c r="W70" s="298">
        <f t="shared" si="17"/>
        <v>874.66420632462439</v>
      </c>
      <c r="X70" s="232">
        <f t="shared" si="18"/>
        <v>578.12364883862676</v>
      </c>
      <c r="Y70" s="225">
        <f t="shared" si="19"/>
        <v>796.43640211638581</v>
      </c>
      <c r="Z70" s="225">
        <f t="shared" si="20"/>
        <v>521.47901268380053</v>
      </c>
      <c r="AA70" s="225">
        <f t="shared" si="21"/>
        <v>874.80773938501966</v>
      </c>
      <c r="AB70" s="225">
        <f t="shared" si="22"/>
        <v>574.6136372176469</v>
      </c>
    </row>
    <row r="71" spans="2:28" s="5" customFormat="1" x14ac:dyDescent="0.25">
      <c r="B71" s="232">
        <v>62</v>
      </c>
      <c r="C71" s="298">
        <v>285585</v>
      </c>
      <c r="D71" s="232">
        <f t="shared" si="1"/>
        <v>5.1643175593542087E-3</v>
      </c>
      <c r="E71" s="298">
        <v>299854</v>
      </c>
      <c r="F71" s="232">
        <f t="shared" si="2"/>
        <v>5.4223480835568988E-3</v>
      </c>
      <c r="G71" s="225">
        <f t="shared" si="3"/>
        <v>585439</v>
      </c>
      <c r="H71" s="225">
        <f t="shared" si="16"/>
        <v>1.0586665642911107E-2</v>
      </c>
      <c r="J71" s="232">
        <v>62</v>
      </c>
      <c r="K71" s="298">
        <v>336380</v>
      </c>
      <c r="L71" s="225">
        <v>3247</v>
      </c>
      <c r="M71" s="232">
        <f t="shared" si="14"/>
        <v>965.27736488495157</v>
      </c>
      <c r="N71" s="298">
        <v>351210</v>
      </c>
      <c r="O71" s="225">
        <v>2170</v>
      </c>
      <c r="P71" s="225">
        <f t="shared" si="15"/>
        <v>617.86395603769824</v>
      </c>
      <c r="Q71" s="225"/>
      <c r="R71" s="5">
        <v>62</v>
      </c>
      <c r="S71" s="298">
        <f t="shared" si="4"/>
        <v>5.1643175593542087E-3</v>
      </c>
      <c r="T71" s="5">
        <f t="shared" si="5"/>
        <v>5.4223480835568988E-3</v>
      </c>
      <c r="U71" s="298">
        <f t="shared" si="6"/>
        <v>965.27736488495157</v>
      </c>
      <c r="V71" s="5">
        <f t="shared" si="7"/>
        <v>617.86395603769824</v>
      </c>
      <c r="W71" s="298">
        <f t="shared" si="17"/>
        <v>973.73734026779459</v>
      </c>
      <c r="X71" s="232">
        <f t="shared" si="18"/>
        <v>626.32393142054127</v>
      </c>
      <c r="Y71" s="225">
        <f t="shared" si="19"/>
        <v>887.52975807737357</v>
      </c>
      <c r="Z71" s="225">
        <f t="shared" si="20"/>
        <v>565.60230322015582</v>
      </c>
      <c r="AA71" s="225">
        <f t="shared" si="21"/>
        <v>973.88087332818986</v>
      </c>
      <c r="AB71" s="225">
        <f t="shared" si="22"/>
        <v>622.8139197995614</v>
      </c>
    </row>
    <row r="72" spans="2:28" s="5" customFormat="1" x14ac:dyDescent="0.25">
      <c r="B72" s="232">
        <v>63</v>
      </c>
      <c r="C72" s="298">
        <v>266565</v>
      </c>
      <c r="D72" s="232">
        <f t="shared" si="1"/>
        <v>4.8203733046527468E-3</v>
      </c>
      <c r="E72" s="298">
        <v>281841</v>
      </c>
      <c r="F72" s="232">
        <f t="shared" si="2"/>
        <v>5.0966137060628166E-3</v>
      </c>
      <c r="G72" s="225">
        <f t="shared" si="3"/>
        <v>548406</v>
      </c>
      <c r="H72" s="225">
        <f t="shared" ref="H72:H83" si="23">G72/$G$8</f>
        <v>9.9169870107155642E-3</v>
      </c>
      <c r="J72" s="232">
        <v>63</v>
      </c>
      <c r="K72" s="298">
        <v>338723</v>
      </c>
      <c r="L72" s="225">
        <v>3518</v>
      </c>
      <c r="M72" s="232">
        <f t="shared" si="14"/>
        <v>1038.6067671814433</v>
      </c>
      <c r="N72" s="298">
        <v>354230</v>
      </c>
      <c r="O72" s="225">
        <v>2365</v>
      </c>
      <c r="P72" s="225">
        <f t="shared" si="15"/>
        <v>667.64531519069533</v>
      </c>
      <c r="Q72" s="225"/>
      <c r="R72" s="5">
        <v>63</v>
      </c>
      <c r="S72" s="298">
        <f t="shared" si="4"/>
        <v>4.8203733046527468E-3</v>
      </c>
      <c r="T72" s="5">
        <f t="shared" si="5"/>
        <v>5.0966137060628166E-3</v>
      </c>
      <c r="U72" s="298">
        <f t="shared" si="6"/>
        <v>1038.6067671814433</v>
      </c>
      <c r="V72" s="5">
        <f t="shared" si="7"/>
        <v>667.64531519069533</v>
      </c>
      <c r="W72" s="298">
        <f t="shared" si="17"/>
        <v>1047.0667425642862</v>
      </c>
      <c r="X72" s="232">
        <f t="shared" si="18"/>
        <v>676.10529057353835</v>
      </c>
      <c r="Y72" s="225">
        <f t="shared" si="19"/>
        <v>954.95289369386091</v>
      </c>
      <c r="Z72" s="225">
        <f t="shared" si="20"/>
        <v>611.17293591239047</v>
      </c>
      <c r="AA72" s="225">
        <f t="shared" si="21"/>
        <v>1047.2102756246816</v>
      </c>
      <c r="AB72" s="225">
        <f t="shared" si="22"/>
        <v>672.59527895255849</v>
      </c>
    </row>
    <row r="73" spans="2:28" s="5" customFormat="1" x14ac:dyDescent="0.25">
      <c r="B73" s="232">
        <v>64</v>
      </c>
      <c r="C73" s="298">
        <v>275408</v>
      </c>
      <c r="D73" s="232">
        <f t="shared" ref="D73:D83" si="24">C73/$G$8</f>
        <v>4.9802838748065339E-3</v>
      </c>
      <c r="E73" s="298">
        <v>292112</v>
      </c>
      <c r="F73" s="232">
        <f t="shared" ref="F73:F83" si="25">E73/$G$8</f>
        <v>5.2823472202604364E-3</v>
      </c>
      <c r="G73" s="225">
        <f t="shared" ref="G73:G83" si="26">SUM(C73,E73)</f>
        <v>567520</v>
      </c>
      <c r="H73" s="225">
        <f t="shared" si="23"/>
        <v>1.0262631095066969E-2</v>
      </c>
      <c r="J73" s="232">
        <v>64</v>
      </c>
      <c r="K73" s="298">
        <v>344106</v>
      </c>
      <c r="L73" s="225">
        <v>3938</v>
      </c>
      <c r="M73" s="232">
        <f t="shared" si="14"/>
        <v>1144.4148024155347</v>
      </c>
      <c r="N73" s="298">
        <v>362424</v>
      </c>
      <c r="O73" s="225">
        <v>2712</v>
      </c>
      <c r="P73" s="225">
        <f t="shared" si="15"/>
        <v>748.29481491291972</v>
      </c>
      <c r="Q73" s="225"/>
      <c r="R73" s="5">
        <v>64</v>
      </c>
      <c r="S73" s="298">
        <f t="shared" ref="S73:S83" si="27">D73</f>
        <v>4.9802838748065339E-3</v>
      </c>
      <c r="T73" s="5">
        <f t="shared" ref="T73:T83" si="28">F73</f>
        <v>5.2823472202604364E-3</v>
      </c>
      <c r="U73" s="298">
        <f t="shared" ref="U73:U83" si="29">M73</f>
        <v>1144.4148024155347</v>
      </c>
      <c r="V73" s="5">
        <f t="shared" ref="V73:V83" si="30">P73</f>
        <v>748.29481491291972</v>
      </c>
      <c r="W73" s="298">
        <f t="shared" ref="W73:W83" si="31">IF(R73&lt;=39, U73, U73 + delta_40_74)</f>
        <v>1152.8747777983776</v>
      </c>
      <c r="X73" s="232">
        <f t="shared" ref="X73:X83" si="32">IF(R73&lt;=39, V73, V73+delta_40_74)</f>
        <v>756.75479029576275</v>
      </c>
      <c r="Y73" s="225">
        <f t="shared" ref="Y73:Y83" si="33">IF(R73&lt;=39,  U73,  IF(R73&lt;=64,  U73/((mCVDmort-1)*$AE$6 + 1),   U73/((mCVDmort-1)*$AE$7 +1 )))</f>
        <v>1052.2386929160855</v>
      </c>
      <c r="Z73" s="225">
        <f t="shared" ref="Z73:Z83" si="34">IF(R73&lt;=39,  V73,  IF(R73&lt;=64,  V73/((fCVDmort-1)*$AF$6 + 1),   V73/((fCVDmort-1)*$AF$7 + 1)))</f>
        <v>685.00074598399829</v>
      </c>
      <c r="AA73" s="225">
        <f t="shared" ref="AA73:AA83" si="35">IF(R73&lt;=39, U73, IF(R73&lt;=64, $AE$6*(Y73*mCVDmort+delta_CVD)  + (1-$AE$6)*Y73, $AE$7*(Y73*mCVDmort+delta_CVD)  + (1-$AE$7)*Y73))</f>
        <v>1153.018310858773</v>
      </c>
      <c r="AB73" s="225">
        <f t="shared" ref="AB73:AB83" si="36">IF(R73&lt;=39,   V73,   IF(R73&lt;=64, $AF$6*(Z73*fCVDmort+delta_CVD)  + (1-$AF$6)*Z73,    $AF$7*(Z73*fCVDmort+delta_CVD)  + (1-$AF$7)*Z73))</f>
        <v>753.24477867478299</v>
      </c>
    </row>
    <row r="74" spans="2:28" s="5" customFormat="1" x14ac:dyDescent="0.25">
      <c r="B74" s="232">
        <v>65</v>
      </c>
      <c r="C74" s="298">
        <v>273693</v>
      </c>
      <c r="D74" s="232">
        <f t="shared" si="24"/>
        <v>4.9492710253421276E-3</v>
      </c>
      <c r="E74" s="298">
        <v>292165</v>
      </c>
      <c r="F74" s="232">
        <f t="shared" si="25"/>
        <v>5.2833056348502985E-3</v>
      </c>
      <c r="G74" s="225">
        <f t="shared" si="26"/>
        <v>565858</v>
      </c>
      <c r="H74" s="225">
        <f t="shared" si="23"/>
        <v>1.0232576660192425E-2</v>
      </c>
      <c r="J74" s="232">
        <v>65</v>
      </c>
      <c r="K74" s="298">
        <v>353019</v>
      </c>
      <c r="L74" s="225">
        <v>4368</v>
      </c>
      <c r="M74" s="232">
        <f t="shared" ref="M74:M83" si="37">100000*L74/K74</f>
        <v>1237.3271693591564</v>
      </c>
      <c r="N74" s="298">
        <v>370569</v>
      </c>
      <c r="O74" s="225">
        <v>2938</v>
      </c>
      <c r="P74" s="225">
        <f t="shared" ref="P74:P83" si="38">100000*O74/N74</f>
        <v>792.83480269531447</v>
      </c>
      <c r="Q74" s="225"/>
      <c r="R74" s="5">
        <v>65</v>
      </c>
      <c r="S74" s="298">
        <f t="shared" si="27"/>
        <v>4.9492710253421276E-3</v>
      </c>
      <c r="T74" s="5">
        <f t="shared" si="28"/>
        <v>5.2833056348502985E-3</v>
      </c>
      <c r="U74" s="298">
        <f t="shared" si="29"/>
        <v>1237.3271693591564</v>
      </c>
      <c r="V74" s="5">
        <f t="shared" si="30"/>
        <v>792.83480269531447</v>
      </c>
      <c r="W74" s="298">
        <f t="shared" si="31"/>
        <v>1245.7871447419993</v>
      </c>
      <c r="X74" s="232">
        <f t="shared" si="32"/>
        <v>801.29477807815749</v>
      </c>
      <c r="Y74" s="225">
        <f t="shared" si="33"/>
        <v>1056.6414768225077</v>
      </c>
      <c r="Z74" s="225">
        <f t="shared" si="34"/>
        <v>635.53891999624409</v>
      </c>
      <c r="AA74" s="225">
        <f t="shared" si="35"/>
        <v>1254.1216892654779</v>
      </c>
      <c r="AB74" s="225">
        <f t="shared" si="36"/>
        <v>806.09363420030513</v>
      </c>
    </row>
    <row r="75" spans="2:28" s="5" customFormat="1" x14ac:dyDescent="0.25">
      <c r="B75" s="232">
        <v>66</v>
      </c>
      <c r="C75" s="298">
        <v>268963</v>
      </c>
      <c r="D75" s="232">
        <f t="shared" si="24"/>
        <v>4.8637370440204704E-3</v>
      </c>
      <c r="E75" s="298">
        <v>287863</v>
      </c>
      <c r="F75" s="232">
        <f t="shared" si="25"/>
        <v>5.2055113034241316E-3</v>
      </c>
      <c r="G75" s="225">
        <f t="shared" si="26"/>
        <v>556826</v>
      </c>
      <c r="H75" s="225">
        <f t="shared" si="23"/>
        <v>1.0069248347444602E-2</v>
      </c>
      <c r="J75" s="232">
        <v>66</v>
      </c>
      <c r="K75" s="298">
        <v>370692</v>
      </c>
      <c r="L75" s="225">
        <v>4841</v>
      </c>
      <c r="M75" s="232">
        <f t="shared" si="37"/>
        <v>1305.9359252425195</v>
      </c>
      <c r="N75" s="298">
        <v>390854</v>
      </c>
      <c r="O75" s="225">
        <v>3261</v>
      </c>
      <c r="P75" s="225">
        <f t="shared" si="38"/>
        <v>834.32688420740226</v>
      </c>
      <c r="Q75" s="225"/>
      <c r="R75" s="5">
        <v>66</v>
      </c>
      <c r="S75" s="298">
        <f t="shared" si="27"/>
        <v>4.8637370440204704E-3</v>
      </c>
      <c r="T75" s="5">
        <f t="shared" si="28"/>
        <v>5.2055113034241316E-3</v>
      </c>
      <c r="U75" s="298">
        <f t="shared" si="29"/>
        <v>1305.9359252425195</v>
      </c>
      <c r="V75" s="5">
        <f t="shared" si="30"/>
        <v>834.32688420740226</v>
      </c>
      <c r="W75" s="298">
        <f t="shared" si="31"/>
        <v>1314.3959006253624</v>
      </c>
      <c r="X75" s="232">
        <f t="shared" si="32"/>
        <v>842.78685959024529</v>
      </c>
      <c r="Y75" s="225">
        <f t="shared" si="33"/>
        <v>1115.2313622907936</v>
      </c>
      <c r="Z75" s="225">
        <f t="shared" si="34"/>
        <v>668.79910557707592</v>
      </c>
      <c r="AA75" s="225">
        <f t="shared" si="35"/>
        <v>1322.730445148841</v>
      </c>
      <c r="AB75" s="225">
        <f t="shared" si="36"/>
        <v>847.58571571239304</v>
      </c>
    </row>
    <row r="76" spans="2:28" s="5" customFormat="1" x14ac:dyDescent="0.25">
      <c r="B76" s="232">
        <v>67</v>
      </c>
      <c r="C76" s="298">
        <v>259875</v>
      </c>
      <c r="D76" s="232">
        <f t="shared" si="24"/>
        <v>4.6993960668003393E-3</v>
      </c>
      <c r="E76" s="298">
        <v>281144</v>
      </c>
      <c r="F76" s="232">
        <f t="shared" si="25"/>
        <v>5.0840096500414222E-3</v>
      </c>
      <c r="G76" s="225">
        <f t="shared" si="26"/>
        <v>541019</v>
      </c>
      <c r="H76" s="225">
        <f t="shared" si="23"/>
        <v>9.7834057168417615E-3</v>
      </c>
      <c r="J76" s="232">
        <v>67</v>
      </c>
      <c r="K76" s="298">
        <v>401134</v>
      </c>
      <c r="L76" s="225">
        <v>5605</v>
      </c>
      <c r="M76" s="232">
        <f t="shared" si="37"/>
        <v>1397.2886865735638</v>
      </c>
      <c r="N76" s="298">
        <v>422532</v>
      </c>
      <c r="O76" s="225">
        <v>3768</v>
      </c>
      <c r="P76" s="225">
        <f t="shared" si="38"/>
        <v>891.76677742750849</v>
      </c>
      <c r="Q76" s="225"/>
      <c r="R76" s="5">
        <v>67</v>
      </c>
      <c r="S76" s="298">
        <f t="shared" si="27"/>
        <v>4.6993960668003393E-3</v>
      </c>
      <c r="T76" s="5">
        <f t="shared" si="28"/>
        <v>5.0840096500414222E-3</v>
      </c>
      <c r="U76" s="298">
        <f t="shared" si="29"/>
        <v>1397.2886865735638</v>
      </c>
      <c r="V76" s="5">
        <f t="shared" si="30"/>
        <v>891.76677742750849</v>
      </c>
      <c r="W76" s="298">
        <f t="shared" si="31"/>
        <v>1405.7486619564067</v>
      </c>
      <c r="X76" s="232">
        <f t="shared" si="32"/>
        <v>900.22675281035151</v>
      </c>
      <c r="Y76" s="225">
        <f t="shared" si="33"/>
        <v>1193.2439680389102</v>
      </c>
      <c r="Z76" s="225">
        <f t="shared" si="34"/>
        <v>714.84310815832339</v>
      </c>
      <c r="AA76" s="225">
        <f t="shared" si="35"/>
        <v>1414.0832064798856</v>
      </c>
      <c r="AB76" s="225">
        <f t="shared" si="36"/>
        <v>905.02560893249915</v>
      </c>
    </row>
    <row r="77" spans="2:28" s="5" customFormat="1" x14ac:dyDescent="0.25">
      <c r="B77" s="232">
        <v>68</v>
      </c>
      <c r="C77" s="298">
        <v>249967</v>
      </c>
      <c r="D77" s="232">
        <f t="shared" si="24"/>
        <v>4.5202267883785686E-3</v>
      </c>
      <c r="E77" s="298">
        <v>273544</v>
      </c>
      <c r="F77" s="232">
        <f t="shared" si="25"/>
        <v>4.9465766145140241E-3</v>
      </c>
      <c r="G77" s="225">
        <f t="shared" si="26"/>
        <v>523511</v>
      </c>
      <c r="H77" s="225">
        <f t="shared" si="23"/>
        <v>9.4668034028925936E-3</v>
      </c>
      <c r="J77" s="232">
        <v>68</v>
      </c>
      <c r="K77" s="298">
        <v>308634</v>
      </c>
      <c r="L77" s="225">
        <v>5010</v>
      </c>
      <c r="M77" s="232">
        <f t="shared" si="37"/>
        <v>1623.2819456054744</v>
      </c>
      <c r="N77" s="298">
        <v>327926</v>
      </c>
      <c r="O77" s="225">
        <v>3578</v>
      </c>
      <c r="P77" s="225">
        <f t="shared" si="38"/>
        <v>1091.0998213011471</v>
      </c>
      <c r="Q77" s="225"/>
      <c r="R77" s="5">
        <v>68</v>
      </c>
      <c r="S77" s="298">
        <f t="shared" si="27"/>
        <v>4.5202267883785686E-3</v>
      </c>
      <c r="T77" s="5">
        <f t="shared" si="28"/>
        <v>4.9465766145140241E-3</v>
      </c>
      <c r="U77" s="298">
        <f t="shared" si="29"/>
        <v>1623.2819456054744</v>
      </c>
      <c r="V77" s="5">
        <f t="shared" si="30"/>
        <v>1091.0998213011471</v>
      </c>
      <c r="W77" s="298">
        <f t="shared" si="31"/>
        <v>1631.7419209883174</v>
      </c>
      <c r="X77" s="232">
        <f t="shared" si="32"/>
        <v>1099.55979668399</v>
      </c>
      <c r="Y77" s="225">
        <f t="shared" si="33"/>
        <v>1386.2356495349909</v>
      </c>
      <c r="Z77" s="225">
        <f t="shared" si="34"/>
        <v>874.62911527146059</v>
      </c>
      <c r="AA77" s="225">
        <f t="shared" si="35"/>
        <v>1640.076465511796</v>
      </c>
      <c r="AB77" s="225">
        <f t="shared" si="36"/>
        <v>1104.3586528061378</v>
      </c>
    </row>
    <row r="78" spans="2:28" s="5" customFormat="1" x14ac:dyDescent="0.25">
      <c r="B78" s="232">
        <v>69</v>
      </c>
      <c r="C78" s="298">
        <v>239812</v>
      </c>
      <c r="D78" s="232">
        <f t="shared" si="24"/>
        <v>4.3365909363021569E-3</v>
      </c>
      <c r="E78" s="298">
        <v>264878</v>
      </c>
      <c r="F78" s="232">
        <f t="shared" si="25"/>
        <v>4.7898667874244939E-3</v>
      </c>
      <c r="G78" s="225">
        <f t="shared" si="26"/>
        <v>504690</v>
      </c>
      <c r="H78" s="225">
        <f t="shared" si="23"/>
        <v>9.1264577237266508E-3</v>
      </c>
      <c r="J78" s="232">
        <v>69</v>
      </c>
      <c r="K78" s="298">
        <v>297414</v>
      </c>
      <c r="L78" s="225">
        <v>5359</v>
      </c>
      <c r="M78" s="232">
        <f t="shared" si="37"/>
        <v>1801.8654131950748</v>
      </c>
      <c r="N78" s="298">
        <v>319014</v>
      </c>
      <c r="O78" s="225">
        <v>3716</v>
      </c>
      <c r="P78" s="225">
        <f t="shared" si="38"/>
        <v>1164.8391606637954</v>
      </c>
      <c r="Q78" s="225"/>
      <c r="R78" s="5">
        <v>69</v>
      </c>
      <c r="S78" s="298">
        <f t="shared" si="27"/>
        <v>4.3365909363021569E-3</v>
      </c>
      <c r="T78" s="5">
        <f t="shared" si="28"/>
        <v>4.7898667874244939E-3</v>
      </c>
      <c r="U78" s="298">
        <f t="shared" si="29"/>
        <v>1801.8654131950748</v>
      </c>
      <c r="V78" s="5">
        <f t="shared" si="30"/>
        <v>1164.8391606637954</v>
      </c>
      <c r="W78" s="298">
        <f t="shared" si="31"/>
        <v>1810.3253885779177</v>
      </c>
      <c r="X78" s="232">
        <f t="shared" si="32"/>
        <v>1173.2991360466383</v>
      </c>
      <c r="Y78" s="225">
        <f t="shared" si="33"/>
        <v>1538.7407456832407</v>
      </c>
      <c r="Z78" s="225">
        <f t="shared" si="34"/>
        <v>933.7388061433229</v>
      </c>
      <c r="AA78" s="225">
        <f t="shared" si="35"/>
        <v>1818.6599331013967</v>
      </c>
      <c r="AB78" s="225">
        <f t="shared" si="36"/>
        <v>1178.097992168786</v>
      </c>
    </row>
    <row r="79" spans="2:28" s="5" customFormat="1" x14ac:dyDescent="0.25">
      <c r="B79" s="232">
        <v>70</v>
      </c>
      <c r="C79" s="298">
        <v>226205</v>
      </c>
      <c r="D79" s="232">
        <f t="shared" si="24"/>
        <v>4.0905315528256695E-3</v>
      </c>
      <c r="E79" s="298">
        <v>255097</v>
      </c>
      <c r="F79" s="232">
        <f t="shared" si="25"/>
        <v>4.6129940873595619E-3</v>
      </c>
      <c r="G79" s="225">
        <f t="shared" si="26"/>
        <v>481302</v>
      </c>
      <c r="H79" s="225">
        <f t="shared" si="23"/>
        <v>8.7035256401852314E-3</v>
      </c>
      <c r="J79" s="232">
        <v>70</v>
      </c>
      <c r="K79" s="298">
        <v>296179</v>
      </c>
      <c r="L79" s="225">
        <v>5754</v>
      </c>
      <c r="M79" s="232">
        <f t="shared" si="37"/>
        <v>1942.7440838141799</v>
      </c>
      <c r="N79" s="298">
        <v>317850</v>
      </c>
      <c r="O79" s="225">
        <v>4105</v>
      </c>
      <c r="P79" s="225">
        <f t="shared" si="38"/>
        <v>1291.4896963976719</v>
      </c>
      <c r="Q79" s="225"/>
      <c r="R79" s="5">
        <v>70</v>
      </c>
      <c r="S79" s="298">
        <f t="shared" si="27"/>
        <v>4.0905315528256695E-3</v>
      </c>
      <c r="T79" s="5">
        <f t="shared" si="28"/>
        <v>4.6129940873595619E-3</v>
      </c>
      <c r="U79" s="298">
        <f t="shared" si="29"/>
        <v>1942.7440838141799</v>
      </c>
      <c r="V79" s="5">
        <f t="shared" si="30"/>
        <v>1291.4896963976719</v>
      </c>
      <c r="W79" s="298">
        <f t="shared" si="31"/>
        <v>1951.2040591970228</v>
      </c>
      <c r="X79" s="232">
        <f t="shared" si="32"/>
        <v>1299.9496717805148</v>
      </c>
      <c r="Y79" s="225">
        <f t="shared" si="33"/>
        <v>1659.0470399779504</v>
      </c>
      <c r="Z79" s="225">
        <f t="shared" si="34"/>
        <v>1035.2622816815006</v>
      </c>
      <c r="AA79" s="225">
        <f t="shared" si="35"/>
        <v>1959.5386037205014</v>
      </c>
      <c r="AB79" s="225">
        <f t="shared" si="36"/>
        <v>1304.7485279026628</v>
      </c>
    </row>
    <row r="80" spans="2:28" s="5" customFormat="1" x14ac:dyDescent="0.25">
      <c r="B80" s="232">
        <v>71</v>
      </c>
      <c r="C80" s="298">
        <v>220445</v>
      </c>
      <c r="D80" s="232">
        <f t="shared" si="24"/>
        <v>3.9863717785312202E-3</v>
      </c>
      <c r="E80" s="298">
        <v>253380</v>
      </c>
      <c r="F80" s="232">
        <f t="shared" si="25"/>
        <v>4.5819450713068593E-3</v>
      </c>
      <c r="G80" s="225">
        <f t="shared" si="26"/>
        <v>473825</v>
      </c>
      <c r="H80" s="225">
        <f t="shared" si="23"/>
        <v>8.5683168498380795E-3</v>
      </c>
      <c r="J80" s="232">
        <v>71</v>
      </c>
      <c r="K80" s="298">
        <v>273379</v>
      </c>
      <c r="L80" s="225">
        <v>5915</v>
      </c>
      <c r="M80" s="232">
        <f t="shared" si="37"/>
        <v>2163.6629002227678</v>
      </c>
      <c r="N80" s="298">
        <v>298903</v>
      </c>
      <c r="O80" s="225">
        <v>4300</v>
      </c>
      <c r="P80" s="225">
        <f t="shared" si="38"/>
        <v>1438.593791296842</v>
      </c>
      <c r="Q80" s="225"/>
      <c r="R80" s="5">
        <v>71</v>
      </c>
      <c r="S80" s="298">
        <f t="shared" si="27"/>
        <v>3.9863717785312202E-3</v>
      </c>
      <c r="T80" s="5">
        <f t="shared" si="28"/>
        <v>4.5819450713068593E-3</v>
      </c>
      <c r="U80" s="298">
        <f t="shared" si="29"/>
        <v>2163.6629002227678</v>
      </c>
      <c r="V80" s="5">
        <f t="shared" si="30"/>
        <v>1438.593791296842</v>
      </c>
      <c r="W80" s="298">
        <f t="shared" si="31"/>
        <v>2172.1228756056107</v>
      </c>
      <c r="X80" s="232">
        <f t="shared" si="32"/>
        <v>1447.0537666796849</v>
      </c>
      <c r="Y80" s="225">
        <f t="shared" si="33"/>
        <v>1847.70529481022</v>
      </c>
      <c r="Z80" s="225">
        <f t="shared" si="34"/>
        <v>1153.1813958291318</v>
      </c>
      <c r="AA80" s="225">
        <f t="shared" si="35"/>
        <v>2180.4574201290893</v>
      </c>
      <c r="AB80" s="225">
        <f t="shared" si="36"/>
        <v>1451.8526228018327</v>
      </c>
    </row>
    <row r="81" spans="2:28" s="5" customFormat="1" x14ac:dyDescent="0.25">
      <c r="B81" s="232">
        <v>72</v>
      </c>
      <c r="C81" s="298">
        <v>216724</v>
      </c>
      <c r="D81" s="232">
        <f t="shared" si="24"/>
        <v>3.9190838410052406E-3</v>
      </c>
      <c r="E81" s="298">
        <v>253612</v>
      </c>
      <c r="F81" s="232">
        <f t="shared" si="25"/>
        <v>4.5861403955492746E-3</v>
      </c>
      <c r="G81" s="225">
        <f t="shared" si="26"/>
        <v>470336</v>
      </c>
      <c r="H81" s="225">
        <f t="shared" si="23"/>
        <v>8.5052242365545143E-3</v>
      </c>
      <c r="J81" s="232">
        <v>72</v>
      </c>
      <c r="K81" s="298">
        <v>242111</v>
      </c>
      <c r="L81" s="225">
        <v>6034</v>
      </c>
      <c r="M81" s="232">
        <f t="shared" si="37"/>
        <v>2492.2452924485051</v>
      </c>
      <c r="N81" s="298">
        <v>269362</v>
      </c>
      <c r="O81" s="225">
        <v>4385</v>
      </c>
      <c r="P81" s="225">
        <f t="shared" si="38"/>
        <v>1627.9207906089202</v>
      </c>
      <c r="Q81" s="225"/>
      <c r="R81" s="5">
        <v>72</v>
      </c>
      <c r="S81" s="298">
        <f t="shared" si="27"/>
        <v>3.9190838410052406E-3</v>
      </c>
      <c r="T81" s="5">
        <f t="shared" si="28"/>
        <v>4.5861403955492746E-3</v>
      </c>
      <c r="U81" s="298">
        <f t="shared" si="29"/>
        <v>2492.2452924485051</v>
      </c>
      <c r="V81" s="5">
        <f t="shared" si="30"/>
        <v>1627.9207906089202</v>
      </c>
      <c r="W81" s="298">
        <f t="shared" si="31"/>
        <v>2500.705267831348</v>
      </c>
      <c r="X81" s="232">
        <f t="shared" si="32"/>
        <v>1636.3807659917632</v>
      </c>
      <c r="Y81" s="225">
        <f t="shared" si="33"/>
        <v>2128.3051173770323</v>
      </c>
      <c r="Z81" s="225">
        <f t="shared" si="34"/>
        <v>1304.9465255382127</v>
      </c>
      <c r="AA81" s="225">
        <f t="shared" si="35"/>
        <v>2509.0398123548266</v>
      </c>
      <c r="AB81" s="225">
        <f t="shared" si="36"/>
        <v>1641.1796221139111</v>
      </c>
    </row>
    <row r="82" spans="2:28" s="5" customFormat="1" x14ac:dyDescent="0.25">
      <c r="B82" s="232">
        <v>73</v>
      </c>
      <c r="C82" s="298">
        <v>210141</v>
      </c>
      <c r="D82" s="232">
        <f t="shared" si="24"/>
        <v>3.8000415156267059E-3</v>
      </c>
      <c r="E82" s="298">
        <v>253693</v>
      </c>
      <c r="F82" s="232">
        <f t="shared" si="25"/>
        <v>4.5876051423752902E-3</v>
      </c>
      <c r="G82" s="225">
        <f t="shared" si="26"/>
        <v>463834</v>
      </c>
      <c r="H82" s="225">
        <f t="shared" si="23"/>
        <v>8.3876466580019952E-3</v>
      </c>
      <c r="J82" s="232">
        <v>73</v>
      </c>
      <c r="K82" s="298">
        <v>216089</v>
      </c>
      <c r="L82" s="225">
        <v>5858</v>
      </c>
      <c r="M82" s="232">
        <f t="shared" si="37"/>
        <v>2710.9200375771093</v>
      </c>
      <c r="N82" s="298">
        <v>244678</v>
      </c>
      <c r="O82" s="225">
        <v>4446</v>
      </c>
      <c r="P82" s="225">
        <f t="shared" si="38"/>
        <v>1817.0820425211912</v>
      </c>
      <c r="Q82" s="225"/>
      <c r="R82" s="5">
        <v>73</v>
      </c>
      <c r="S82" s="298">
        <f t="shared" si="27"/>
        <v>3.8000415156267059E-3</v>
      </c>
      <c r="T82" s="5">
        <f t="shared" si="28"/>
        <v>4.5876051423752902E-3</v>
      </c>
      <c r="U82" s="298">
        <f t="shared" si="29"/>
        <v>2710.9200375771093</v>
      </c>
      <c r="V82" s="5">
        <f t="shared" si="30"/>
        <v>1817.0820425211912</v>
      </c>
      <c r="W82" s="298">
        <f t="shared" si="31"/>
        <v>2719.3800129599522</v>
      </c>
      <c r="X82" s="232">
        <f t="shared" si="32"/>
        <v>1825.5420179040341</v>
      </c>
      <c r="Y82" s="225">
        <f t="shared" si="33"/>
        <v>2315.0470004928343</v>
      </c>
      <c r="Z82" s="225">
        <f t="shared" si="34"/>
        <v>1456.5787916001532</v>
      </c>
      <c r="AA82" s="225">
        <f t="shared" si="35"/>
        <v>2727.7145574834303</v>
      </c>
      <c r="AB82" s="225">
        <f t="shared" si="36"/>
        <v>1830.3408740261818</v>
      </c>
    </row>
    <row r="83" spans="2:28" s="5" customFormat="1" x14ac:dyDescent="0.25">
      <c r="B83" s="96">
        <v>74</v>
      </c>
      <c r="C83" s="236">
        <v>198916</v>
      </c>
      <c r="D83" s="96">
        <f t="shared" si="24"/>
        <v>3.5970565388115682E-3</v>
      </c>
      <c r="E83" s="236">
        <v>247390</v>
      </c>
      <c r="F83" s="96">
        <f t="shared" si="25"/>
        <v>4.4736261393582919E-3</v>
      </c>
      <c r="G83" s="9">
        <f t="shared" si="26"/>
        <v>446306</v>
      </c>
      <c r="H83" s="9">
        <f t="shared" si="23"/>
        <v>8.0706826781698597E-3</v>
      </c>
      <c r="J83" s="96">
        <v>74</v>
      </c>
      <c r="K83" s="236">
        <v>222378</v>
      </c>
      <c r="L83" s="9">
        <v>6740</v>
      </c>
      <c r="M83" s="96">
        <f t="shared" si="37"/>
        <v>3030.8753563751811</v>
      </c>
      <c r="N83" s="236">
        <v>252632</v>
      </c>
      <c r="O83" s="9">
        <v>5035</v>
      </c>
      <c r="P83" s="9">
        <f t="shared" si="38"/>
        <v>1993.0175116374805</v>
      </c>
      <c r="Q83" s="225"/>
      <c r="R83" s="9">
        <v>74</v>
      </c>
      <c r="S83" s="236">
        <f t="shared" si="27"/>
        <v>3.5970565388115682E-3</v>
      </c>
      <c r="T83" s="9">
        <f t="shared" si="28"/>
        <v>4.4736261393582919E-3</v>
      </c>
      <c r="U83" s="236">
        <f t="shared" si="29"/>
        <v>3030.8753563751811</v>
      </c>
      <c r="V83" s="9">
        <f t="shared" si="30"/>
        <v>1993.0175116374805</v>
      </c>
      <c r="W83" s="236">
        <f t="shared" si="31"/>
        <v>3039.335331758024</v>
      </c>
      <c r="X83" s="96">
        <f t="shared" si="32"/>
        <v>2001.4774870203235</v>
      </c>
      <c r="Y83" s="225">
        <f t="shared" si="33"/>
        <v>2588.2795528396082</v>
      </c>
      <c r="Z83" s="225">
        <f t="shared" si="34"/>
        <v>1597.6092277655155</v>
      </c>
      <c r="AA83" s="9">
        <f t="shared" si="35"/>
        <v>3047.6698762815031</v>
      </c>
      <c r="AB83" s="9">
        <f t="shared" si="36"/>
        <v>2006.2763431424714</v>
      </c>
    </row>
    <row r="84" spans="2:28" s="5" customFormat="1" x14ac:dyDescent="0.25">
      <c r="Q84" s="225"/>
    </row>
    <row r="85" spans="2:28" s="5" customFormat="1" x14ac:dyDescent="0.25">
      <c r="Q85" s="225"/>
    </row>
    <row r="86" spans="2:28" s="5" customFormat="1" x14ac:dyDescent="0.25">
      <c r="Q86" s="225"/>
    </row>
  </sheetData>
  <mergeCells count="11">
    <mergeCell ref="Y5:AB5"/>
    <mergeCell ref="AA6:AB6"/>
    <mergeCell ref="C6:D6"/>
    <mergeCell ref="E6:F6"/>
    <mergeCell ref="G6:H6"/>
    <mergeCell ref="K6:M6"/>
    <mergeCell ref="N6:P6"/>
    <mergeCell ref="S6:T6"/>
    <mergeCell ref="U6:V6"/>
    <mergeCell ref="W6:X6"/>
    <mergeCell ref="Y6:Z6"/>
  </mergeCells>
  <hyperlinks>
    <hyperlink ref="B2" r:id="rId1"/>
    <hyperlink ref="B3" r:id="rId2"/>
  </hyperlinks>
  <pageMargins left="0.7" right="0.7" top="0.75" bottom="0.75" header="0.3" footer="0.3"/>
  <pageSetup orientation="portrait" horizontalDpi="0" verticalDpi="0"/>
  <ignoredErrors>
    <ignoredError sqref="G8:G83 D8:E8" formula="1"/>
  </ignoredErrors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AA60"/>
  <sheetViews>
    <sheetView topLeftCell="A3" zoomScaleNormal="100" workbookViewId="0">
      <selection activeCell="AA60" sqref="AA60"/>
    </sheetView>
  </sheetViews>
  <sheetFormatPr defaultColWidth="8.85546875" defaultRowHeight="15" x14ac:dyDescent="0.25"/>
  <cols>
    <col min="22" max="22" width="22.42578125" customWidth="1"/>
    <col min="23" max="23" width="13.28515625" bestFit="1" customWidth="1"/>
    <col min="24" max="24" width="11.28515625" customWidth="1"/>
    <col min="25" max="25" width="11.28515625" bestFit="1" customWidth="1"/>
    <col min="26" max="26" width="13.140625" customWidth="1"/>
  </cols>
  <sheetData>
    <row r="1" spans="1:27" x14ac:dyDescent="0.25">
      <c r="A1" t="s">
        <v>82</v>
      </c>
      <c r="B1" t="s">
        <v>125</v>
      </c>
      <c r="C1" s="88" t="s">
        <v>126</v>
      </c>
    </row>
    <row r="2" spans="1:27" x14ac:dyDescent="0.25">
      <c r="C2" s="88"/>
    </row>
    <row r="3" spans="1:27" ht="18.75" x14ac:dyDescent="0.3">
      <c r="A3" s="93" t="s">
        <v>110</v>
      </c>
      <c r="B3" s="93"/>
      <c r="C3" s="93"/>
      <c r="D3" s="93"/>
      <c r="E3" s="93"/>
      <c r="F3" s="93"/>
      <c r="G3" s="93"/>
      <c r="H3" s="93"/>
    </row>
    <row r="4" spans="1:27" ht="15.75" thickBot="1" x14ac:dyDescent="0.3"/>
    <row r="5" spans="1:27" x14ac:dyDescent="0.25">
      <c r="A5" s="262"/>
      <c r="B5" s="264"/>
      <c r="C5" s="263">
        <v>1988</v>
      </c>
      <c r="D5" s="263">
        <v>1989</v>
      </c>
      <c r="E5" s="263">
        <v>1994</v>
      </c>
      <c r="F5" s="263">
        <v>1995</v>
      </c>
      <c r="G5" s="263">
        <v>1996</v>
      </c>
      <c r="H5" s="263">
        <v>1998</v>
      </c>
      <c r="I5" s="263">
        <v>2000</v>
      </c>
      <c r="J5" s="263">
        <v>2001</v>
      </c>
      <c r="K5" s="263">
        <v>2002</v>
      </c>
      <c r="L5" s="263">
        <v>2003</v>
      </c>
      <c r="M5" s="263">
        <v>2004</v>
      </c>
      <c r="N5" s="263">
        <v>2005</v>
      </c>
      <c r="O5" s="263">
        <v>2006</v>
      </c>
      <c r="P5" s="263">
        <v>2007</v>
      </c>
      <c r="Q5" s="263">
        <v>2008</v>
      </c>
      <c r="R5" s="263">
        <v>2009</v>
      </c>
      <c r="S5" s="263">
        <v>2010</v>
      </c>
      <c r="T5" s="263">
        <v>2011</v>
      </c>
      <c r="V5" s="270"/>
      <c r="W5" s="271" t="s">
        <v>312</v>
      </c>
      <c r="X5" s="271"/>
      <c r="Y5" s="271"/>
      <c r="Z5" s="271"/>
      <c r="AA5" s="272"/>
    </row>
    <row r="6" spans="1:27" x14ac:dyDescent="0.25">
      <c r="A6" s="261"/>
      <c r="B6" s="265"/>
      <c r="C6" s="94" t="s">
        <v>111</v>
      </c>
      <c r="D6" s="94" t="s">
        <v>111</v>
      </c>
      <c r="E6" s="94" t="s">
        <v>111</v>
      </c>
      <c r="F6" s="94" t="s">
        <v>111</v>
      </c>
      <c r="G6" s="94" t="s">
        <v>111</v>
      </c>
      <c r="H6" s="94" t="s">
        <v>111</v>
      </c>
      <c r="I6" s="94" t="s">
        <v>111</v>
      </c>
      <c r="J6" s="94" t="s">
        <v>111</v>
      </c>
      <c r="K6" s="94" t="s">
        <v>111</v>
      </c>
      <c r="L6" s="94" t="s">
        <v>111</v>
      </c>
      <c r="M6" s="94" t="s">
        <v>111</v>
      </c>
      <c r="N6" s="94" t="s">
        <v>111</v>
      </c>
      <c r="O6" s="94" t="s">
        <v>111</v>
      </c>
      <c r="P6" s="94" t="s">
        <v>111</v>
      </c>
      <c r="Q6" s="94" t="s">
        <v>111</v>
      </c>
      <c r="R6" s="94" t="s">
        <v>111</v>
      </c>
      <c r="S6" s="94" t="s">
        <v>111</v>
      </c>
      <c r="T6" s="94" t="s">
        <v>111</v>
      </c>
      <c r="V6" s="273"/>
      <c r="W6" s="257" t="s">
        <v>275</v>
      </c>
      <c r="X6" s="257"/>
      <c r="Y6" s="257"/>
      <c r="AA6" s="274"/>
    </row>
    <row r="7" spans="1:27" x14ac:dyDescent="0.25">
      <c r="A7" s="257"/>
      <c r="B7" s="266"/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V7" s="273"/>
      <c r="W7" s="257" t="s">
        <v>278</v>
      </c>
      <c r="X7" s="257" t="s">
        <v>279</v>
      </c>
      <c r="Y7" t="s">
        <v>314</v>
      </c>
      <c r="Z7" s="257" t="s">
        <v>284</v>
      </c>
      <c r="AA7" s="274"/>
    </row>
    <row r="8" spans="1:27" x14ac:dyDescent="0.25">
      <c r="A8" s="257" t="s">
        <v>112</v>
      </c>
      <c r="B8" s="266" t="s">
        <v>113</v>
      </c>
      <c r="C8" s="258">
        <v>0.2</v>
      </c>
      <c r="D8" s="258">
        <v>0.2</v>
      </c>
      <c r="E8" s="258">
        <v>0.1</v>
      </c>
      <c r="F8" s="258">
        <v>0.1</v>
      </c>
      <c r="G8" s="258">
        <v>0.1</v>
      </c>
      <c r="H8" s="258">
        <v>0.3</v>
      </c>
      <c r="I8" s="258">
        <v>0.1</v>
      </c>
      <c r="J8" s="258">
        <v>0.1</v>
      </c>
      <c r="K8" s="258">
        <v>0.1</v>
      </c>
      <c r="L8" s="258">
        <v>0.2</v>
      </c>
      <c r="M8" s="258">
        <v>0</v>
      </c>
      <c r="N8" s="258">
        <v>0.1</v>
      </c>
      <c r="O8" s="258">
        <v>0.2</v>
      </c>
      <c r="P8" s="258">
        <v>0</v>
      </c>
      <c r="Q8" s="258" t="s">
        <v>114</v>
      </c>
      <c r="R8" s="258">
        <v>0.2</v>
      </c>
      <c r="S8" s="258">
        <v>0.2</v>
      </c>
      <c r="T8" s="258">
        <v>0.1</v>
      </c>
      <c r="V8" s="273"/>
      <c r="W8" s="275">
        <f>115382+117879</f>
        <v>233261</v>
      </c>
      <c r="X8" s="275">
        <f>324132+167515</f>
        <v>491647</v>
      </c>
      <c r="Y8" s="275">
        <f>517243+448780</f>
        <v>966023</v>
      </c>
      <c r="Z8" s="360">
        <f>SUM(W8:Y8)/2</f>
        <v>845465.5</v>
      </c>
      <c r="AA8" s="274"/>
    </row>
    <row r="9" spans="1:27" x14ac:dyDescent="0.25">
      <c r="A9" s="257"/>
      <c r="B9" s="266" t="s">
        <v>115</v>
      </c>
      <c r="C9" s="258">
        <v>4.7</v>
      </c>
      <c r="D9" s="258">
        <v>4.5999999999999996</v>
      </c>
      <c r="E9" s="258">
        <v>3.1</v>
      </c>
      <c r="F9" s="258">
        <v>3.4</v>
      </c>
      <c r="G9" s="258">
        <v>3</v>
      </c>
      <c r="H9" s="258">
        <v>4</v>
      </c>
      <c r="I9" s="258">
        <v>3.1</v>
      </c>
      <c r="J9" s="258">
        <v>3.2</v>
      </c>
      <c r="K9" s="258">
        <v>2.6</v>
      </c>
      <c r="L9" s="258">
        <v>2.2000000000000002</v>
      </c>
      <c r="M9" s="258">
        <v>2.6</v>
      </c>
      <c r="N9" s="258">
        <v>3</v>
      </c>
      <c r="O9" s="258">
        <v>2.4</v>
      </c>
      <c r="P9" s="258">
        <v>2.2000000000000002</v>
      </c>
      <c r="Q9" s="258">
        <v>2.2000000000000002</v>
      </c>
      <c r="R9" s="258">
        <v>2.1</v>
      </c>
      <c r="S9" s="258">
        <v>2.1</v>
      </c>
      <c r="T9" s="258">
        <v>1.9</v>
      </c>
      <c r="V9" s="273"/>
      <c r="W9" s="257"/>
      <c r="X9" s="257"/>
      <c r="Y9" s="257"/>
      <c r="AA9" s="274"/>
    </row>
    <row r="10" spans="1:27" x14ac:dyDescent="0.25">
      <c r="A10" s="257"/>
      <c r="B10" s="266" t="s">
        <v>116</v>
      </c>
      <c r="C10" s="258">
        <v>7.5</v>
      </c>
      <c r="D10" s="258">
        <v>10</v>
      </c>
      <c r="E10" s="258">
        <v>6.6</v>
      </c>
      <c r="F10" s="258">
        <v>9.1999999999999993</v>
      </c>
      <c r="G10" s="258">
        <v>6.6</v>
      </c>
      <c r="H10" s="258">
        <v>8.9</v>
      </c>
      <c r="I10" s="258">
        <v>8.6</v>
      </c>
      <c r="J10" s="258">
        <v>7.5</v>
      </c>
      <c r="K10" s="258">
        <v>7</v>
      </c>
      <c r="L10" s="258">
        <v>8.6999999999999993</v>
      </c>
      <c r="M10" s="258">
        <v>8.4</v>
      </c>
      <c r="N10" s="258">
        <v>6.2</v>
      </c>
      <c r="O10" s="258">
        <v>6.4</v>
      </c>
      <c r="P10" s="258">
        <v>6.5</v>
      </c>
      <c r="Q10" s="258">
        <v>5.4</v>
      </c>
      <c r="R10" s="258">
        <v>5.8</v>
      </c>
      <c r="S10" s="258">
        <v>5.8</v>
      </c>
      <c r="T10" s="258">
        <v>4.7</v>
      </c>
      <c r="V10" s="273"/>
      <c r="W10" s="257" t="s">
        <v>276</v>
      </c>
      <c r="X10" s="257"/>
      <c r="Y10" s="257"/>
      <c r="AA10" s="274"/>
    </row>
    <row r="11" spans="1:27" x14ac:dyDescent="0.25">
      <c r="A11" s="257"/>
      <c r="B11" s="266" t="s">
        <v>117</v>
      </c>
      <c r="C11" s="258">
        <v>8.1999999999999993</v>
      </c>
      <c r="D11" s="258">
        <v>7.9</v>
      </c>
      <c r="E11" s="258">
        <v>8.1</v>
      </c>
      <c r="F11" s="258">
        <v>5.4</v>
      </c>
      <c r="G11" s="258">
        <v>7.5</v>
      </c>
      <c r="H11" s="258">
        <v>11.1</v>
      </c>
      <c r="I11" s="258">
        <v>9.4</v>
      </c>
      <c r="J11" s="258">
        <v>11.3</v>
      </c>
      <c r="K11" s="258">
        <v>11.8</v>
      </c>
      <c r="L11" s="258">
        <v>8</v>
      </c>
      <c r="M11" s="258">
        <v>8.3000000000000007</v>
      </c>
      <c r="N11" s="258">
        <v>6.5</v>
      </c>
      <c r="O11" s="258">
        <v>7.2</v>
      </c>
      <c r="P11" s="258">
        <v>5.7</v>
      </c>
      <c r="Q11" s="258">
        <v>5.8</v>
      </c>
      <c r="R11" s="258">
        <v>6.3</v>
      </c>
      <c r="S11" s="258">
        <v>6.3</v>
      </c>
      <c r="T11" s="258">
        <v>7.2</v>
      </c>
      <c r="V11" s="273"/>
      <c r="W11" s="257" t="s">
        <v>22</v>
      </c>
      <c r="X11" s="257" t="s">
        <v>23</v>
      </c>
      <c r="Y11" s="257" t="s">
        <v>284</v>
      </c>
      <c r="AA11" s="274"/>
    </row>
    <row r="12" spans="1:27" x14ac:dyDescent="0.25">
      <c r="A12" s="261"/>
      <c r="B12" s="268" t="s">
        <v>118</v>
      </c>
      <c r="C12" s="269">
        <v>2.2000000000000002</v>
      </c>
      <c r="D12" s="269">
        <v>2.2999999999999998</v>
      </c>
      <c r="E12" s="269">
        <v>2.2999999999999998</v>
      </c>
      <c r="F12" s="269">
        <v>2.5</v>
      </c>
      <c r="G12" s="269">
        <v>2.2999999999999998</v>
      </c>
      <c r="H12" s="269">
        <v>3.2</v>
      </c>
      <c r="I12" s="269">
        <v>2.5</v>
      </c>
      <c r="J12" s="269">
        <v>2.5</v>
      </c>
      <c r="K12" s="269">
        <v>2.4</v>
      </c>
      <c r="L12" s="269">
        <v>2.2999999999999998</v>
      </c>
      <c r="M12" s="269">
        <v>2.2999999999999998</v>
      </c>
      <c r="N12" s="269">
        <v>2.1</v>
      </c>
      <c r="O12" s="269">
        <v>2</v>
      </c>
      <c r="P12" s="269">
        <v>1.8</v>
      </c>
      <c r="Q12" s="269">
        <v>1.7</v>
      </c>
      <c r="R12" s="269">
        <v>1.9</v>
      </c>
      <c r="S12" s="269">
        <v>1.9</v>
      </c>
      <c r="T12" s="269">
        <v>1.7</v>
      </c>
      <c r="V12" s="273"/>
      <c r="W12" s="275">
        <v>78240</v>
      </c>
      <c r="X12" s="275">
        <v>76399</v>
      </c>
      <c r="Y12" s="276">
        <f>SUM(W12:X12)</f>
        <v>154639</v>
      </c>
      <c r="AA12" s="274"/>
    </row>
    <row r="13" spans="1:27" x14ac:dyDescent="0.25">
      <c r="A13" s="257"/>
      <c r="B13" s="266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8"/>
      <c r="T13" s="258"/>
      <c r="V13" s="273"/>
      <c r="W13" s="257" t="s">
        <v>280</v>
      </c>
      <c r="X13" s="257"/>
      <c r="Y13" s="257"/>
      <c r="AA13" s="274"/>
    </row>
    <row r="14" spans="1:27" ht="15.75" thickBot="1" x14ac:dyDescent="0.3">
      <c r="A14" s="257" t="s">
        <v>119</v>
      </c>
      <c r="B14" s="266" t="s">
        <v>113</v>
      </c>
      <c r="C14" s="258">
        <v>0</v>
      </c>
      <c r="D14" s="258">
        <v>0</v>
      </c>
      <c r="E14" s="258">
        <v>0.1</v>
      </c>
      <c r="F14" s="258">
        <v>0</v>
      </c>
      <c r="G14" s="258">
        <v>0.1</v>
      </c>
      <c r="H14" s="258">
        <v>0.1</v>
      </c>
      <c r="I14" s="258">
        <v>0.1</v>
      </c>
      <c r="J14" s="258">
        <v>0.2</v>
      </c>
      <c r="K14" s="258">
        <v>0.1</v>
      </c>
      <c r="L14" s="258">
        <v>0.1</v>
      </c>
      <c r="M14" s="258">
        <v>0.1</v>
      </c>
      <c r="N14" s="258">
        <v>0.1</v>
      </c>
      <c r="O14" s="258">
        <v>0.1</v>
      </c>
      <c r="P14" s="258">
        <v>0</v>
      </c>
      <c r="Q14" s="258">
        <v>0.1</v>
      </c>
      <c r="R14" s="258" t="s">
        <v>114</v>
      </c>
      <c r="S14" s="258" t="s">
        <v>114</v>
      </c>
      <c r="T14" s="258">
        <v>0.1</v>
      </c>
      <c r="V14" s="277" t="s">
        <v>277</v>
      </c>
      <c r="W14" s="278"/>
      <c r="X14" s="278"/>
      <c r="Y14" s="278">
        <f>Y12/Z8</f>
        <v>0.1829039742011945</v>
      </c>
      <c r="Z14" s="278">
        <f>Z8/Y12</f>
        <v>5.4673497629963981</v>
      </c>
      <c r="AA14" s="279"/>
    </row>
    <row r="15" spans="1:27" x14ac:dyDescent="0.25">
      <c r="A15" s="257"/>
      <c r="B15" s="266" t="s">
        <v>115</v>
      </c>
      <c r="C15" s="258">
        <v>1</v>
      </c>
      <c r="D15" s="258">
        <v>1</v>
      </c>
      <c r="E15" s="258">
        <v>1</v>
      </c>
      <c r="F15" s="258">
        <v>0.6</v>
      </c>
      <c r="G15" s="258">
        <v>0.9</v>
      </c>
      <c r="H15" s="258">
        <v>0.8</v>
      </c>
      <c r="I15" s="258">
        <v>1.1000000000000001</v>
      </c>
      <c r="J15" s="258">
        <v>1.1000000000000001</v>
      </c>
      <c r="K15" s="258">
        <v>0.8</v>
      </c>
      <c r="L15" s="258">
        <v>0.9</v>
      </c>
      <c r="M15" s="258">
        <v>0.8</v>
      </c>
      <c r="N15" s="258">
        <v>1</v>
      </c>
      <c r="O15" s="258">
        <v>0.7</v>
      </c>
      <c r="P15" s="258">
        <v>0.8</v>
      </c>
      <c r="Q15" s="258">
        <v>0.6</v>
      </c>
      <c r="R15" s="258">
        <v>0.8</v>
      </c>
      <c r="S15" s="258">
        <v>0.8</v>
      </c>
      <c r="T15" s="258">
        <v>0.8</v>
      </c>
    </row>
    <row r="16" spans="1:27" x14ac:dyDescent="0.25">
      <c r="A16" s="257"/>
      <c r="B16" s="266" t="s">
        <v>116</v>
      </c>
      <c r="C16" s="258">
        <v>3.9</v>
      </c>
      <c r="D16" s="258">
        <v>3</v>
      </c>
      <c r="E16" s="258">
        <v>3</v>
      </c>
      <c r="F16" s="258">
        <v>2</v>
      </c>
      <c r="G16" s="258">
        <v>2.7</v>
      </c>
      <c r="H16" s="258">
        <v>2.6</v>
      </c>
      <c r="I16" s="258">
        <v>3.6</v>
      </c>
      <c r="J16" s="258">
        <v>1.8</v>
      </c>
      <c r="K16" s="258">
        <v>2.6</v>
      </c>
      <c r="L16" s="258">
        <v>2</v>
      </c>
      <c r="M16" s="258">
        <v>1.7</v>
      </c>
      <c r="N16" s="258">
        <v>1.8</v>
      </c>
      <c r="O16" s="258">
        <v>3.2</v>
      </c>
      <c r="P16" s="258">
        <v>2.8</v>
      </c>
      <c r="Q16" s="258">
        <v>2.4</v>
      </c>
      <c r="R16" s="258">
        <v>2.2999999999999998</v>
      </c>
      <c r="S16" s="258">
        <v>2.2999999999999998</v>
      </c>
      <c r="T16" s="258">
        <v>1.7</v>
      </c>
    </row>
    <row r="17" spans="1:26" x14ac:dyDescent="0.25">
      <c r="A17" s="257"/>
      <c r="B17" s="266" t="s">
        <v>117</v>
      </c>
      <c r="C17" s="258">
        <v>3.8</v>
      </c>
      <c r="D17" s="258">
        <v>4.8</v>
      </c>
      <c r="E17" s="258">
        <v>3.7</v>
      </c>
      <c r="F17" s="258">
        <v>3.1</v>
      </c>
      <c r="G17" s="258">
        <v>4.3</v>
      </c>
      <c r="H17" s="258">
        <v>3</v>
      </c>
      <c r="I17" s="258">
        <v>3.6</v>
      </c>
      <c r="J17" s="258">
        <v>2.2999999999999998</v>
      </c>
      <c r="K17" s="258">
        <v>3.9</v>
      </c>
      <c r="L17" s="258">
        <v>3.7</v>
      </c>
      <c r="M17" s="258">
        <v>5.4</v>
      </c>
      <c r="N17" s="258">
        <v>3.5</v>
      </c>
      <c r="O17" s="258">
        <v>3.5</v>
      </c>
      <c r="P17" s="258">
        <v>3.8</v>
      </c>
      <c r="Q17" s="258">
        <v>3.3</v>
      </c>
      <c r="R17" s="258">
        <v>3.1</v>
      </c>
      <c r="S17" s="258">
        <v>3.1</v>
      </c>
      <c r="T17" s="258">
        <v>2.6</v>
      </c>
    </row>
    <row r="18" spans="1:26" x14ac:dyDescent="0.25">
      <c r="A18" s="261"/>
      <c r="B18" s="268" t="s">
        <v>118</v>
      </c>
      <c r="C18" s="269">
        <v>0.8</v>
      </c>
      <c r="D18" s="269">
        <v>0.7</v>
      </c>
      <c r="E18" s="269">
        <v>0.9</v>
      </c>
      <c r="F18" s="269">
        <v>0.6</v>
      </c>
      <c r="G18" s="269">
        <v>1</v>
      </c>
      <c r="H18" s="269">
        <v>0.8</v>
      </c>
      <c r="I18" s="269">
        <v>1</v>
      </c>
      <c r="J18" s="269">
        <v>0.8</v>
      </c>
      <c r="K18" s="269">
        <v>0.9</v>
      </c>
      <c r="L18" s="269">
        <v>0.8</v>
      </c>
      <c r="M18" s="269">
        <v>0.8</v>
      </c>
      <c r="N18" s="269">
        <v>0.8</v>
      </c>
      <c r="O18" s="269">
        <v>0.9</v>
      </c>
      <c r="P18" s="269">
        <v>0.8</v>
      </c>
      <c r="Q18" s="269">
        <v>0.7</v>
      </c>
      <c r="R18" s="269">
        <v>0.7</v>
      </c>
      <c r="S18" s="269">
        <v>0.7</v>
      </c>
      <c r="T18" s="269">
        <v>0.7</v>
      </c>
    </row>
    <row r="19" spans="1:26" x14ac:dyDescent="0.25">
      <c r="A19" s="257"/>
      <c r="B19" s="266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  <c r="S19" s="258"/>
      <c r="T19" s="258"/>
    </row>
    <row r="20" spans="1:26" x14ac:dyDescent="0.25">
      <c r="A20" s="259" t="s">
        <v>120</v>
      </c>
      <c r="B20" s="266" t="s">
        <v>113</v>
      </c>
      <c r="C20" s="258">
        <v>1.7</v>
      </c>
      <c r="D20" s="258">
        <v>1.2</v>
      </c>
      <c r="E20" s="258">
        <v>1.6</v>
      </c>
      <c r="F20" s="258">
        <v>1.2</v>
      </c>
      <c r="G20" s="258">
        <v>1.4</v>
      </c>
      <c r="H20" s="258">
        <v>1.9</v>
      </c>
      <c r="I20" s="258">
        <v>1.8</v>
      </c>
      <c r="J20" s="258">
        <v>2.2000000000000002</v>
      </c>
      <c r="K20" s="258">
        <v>1.7</v>
      </c>
      <c r="L20" s="258">
        <v>1.7</v>
      </c>
      <c r="M20" s="258">
        <v>1.4</v>
      </c>
      <c r="N20" s="258">
        <v>1.5</v>
      </c>
      <c r="O20" s="258">
        <v>1.3</v>
      </c>
      <c r="P20" s="258">
        <v>1</v>
      </c>
      <c r="Q20" s="258">
        <v>1.4</v>
      </c>
      <c r="R20" s="258">
        <v>1.6</v>
      </c>
      <c r="S20" s="258">
        <v>1.5</v>
      </c>
      <c r="T20" s="258">
        <v>1.5</v>
      </c>
    </row>
    <row r="21" spans="1:26" x14ac:dyDescent="0.25">
      <c r="A21" s="259"/>
      <c r="B21" s="266" t="s">
        <v>115</v>
      </c>
      <c r="C21" s="258">
        <v>14.3</v>
      </c>
      <c r="D21" s="258">
        <v>13.3</v>
      </c>
      <c r="E21" s="258">
        <v>13.8</v>
      </c>
      <c r="F21" s="258">
        <v>12.9</v>
      </c>
      <c r="G21" s="258">
        <v>14.1</v>
      </c>
      <c r="H21" s="258">
        <v>15.5</v>
      </c>
      <c r="I21" s="258">
        <v>13.7</v>
      </c>
      <c r="J21" s="258">
        <v>15</v>
      </c>
      <c r="K21" s="258">
        <v>15.2</v>
      </c>
      <c r="L21" s="258">
        <v>14.7</v>
      </c>
      <c r="M21" s="258">
        <v>14.6</v>
      </c>
      <c r="N21" s="258">
        <v>16.7</v>
      </c>
      <c r="O21" s="258">
        <v>15.9</v>
      </c>
      <c r="P21" s="258">
        <v>14.7</v>
      </c>
      <c r="Q21" s="258">
        <v>15.6</v>
      </c>
      <c r="R21" s="258">
        <v>14.9</v>
      </c>
      <c r="S21" s="258">
        <v>14.6</v>
      </c>
      <c r="T21" s="260">
        <v>14.6</v>
      </c>
    </row>
    <row r="22" spans="1:26" x14ac:dyDescent="0.25">
      <c r="A22" s="257"/>
      <c r="B22" s="266" t="s">
        <v>116</v>
      </c>
      <c r="C22" s="258">
        <v>24.7</v>
      </c>
      <c r="D22" s="258">
        <v>25.9</v>
      </c>
      <c r="E22" s="258">
        <v>24.6</v>
      </c>
      <c r="F22" s="258">
        <v>27.2</v>
      </c>
      <c r="G22" s="258">
        <v>26.8</v>
      </c>
      <c r="H22" s="258">
        <v>28.1</v>
      </c>
      <c r="I22" s="258">
        <v>29</v>
      </c>
      <c r="J22" s="258">
        <v>31.3</v>
      </c>
      <c r="K22" s="258">
        <v>33</v>
      </c>
      <c r="L22" s="258">
        <v>34.5</v>
      </c>
      <c r="M22" s="258">
        <v>29.5</v>
      </c>
      <c r="N22" s="258">
        <v>28.8</v>
      </c>
      <c r="O22" s="258">
        <v>35.5</v>
      </c>
      <c r="P22" s="258">
        <v>32</v>
      </c>
      <c r="Q22" s="258">
        <v>31.2</v>
      </c>
      <c r="R22" s="258">
        <v>32.200000000000003</v>
      </c>
      <c r="S22" s="258">
        <v>33.9</v>
      </c>
      <c r="T22" s="260">
        <v>28.5</v>
      </c>
    </row>
    <row r="23" spans="1:26" x14ac:dyDescent="0.25">
      <c r="A23" s="257"/>
      <c r="B23" s="266" t="s">
        <v>117</v>
      </c>
      <c r="C23" s="258">
        <v>22.3</v>
      </c>
      <c r="D23" s="258">
        <v>22.1</v>
      </c>
      <c r="E23" s="258">
        <v>23.6</v>
      </c>
      <c r="F23" s="258">
        <v>23.8</v>
      </c>
      <c r="G23" s="258">
        <v>24.9</v>
      </c>
      <c r="H23" s="258">
        <v>31</v>
      </c>
      <c r="I23" s="258">
        <v>30.8</v>
      </c>
      <c r="J23" s="258">
        <v>33.299999999999997</v>
      </c>
      <c r="K23" s="258">
        <v>39.799999999999997</v>
      </c>
      <c r="L23" s="258">
        <v>31.7</v>
      </c>
      <c r="M23" s="258">
        <v>37.299999999999997</v>
      </c>
      <c r="N23" s="258">
        <v>32.9</v>
      </c>
      <c r="O23" s="258">
        <v>38.4</v>
      </c>
      <c r="P23" s="258">
        <v>33.799999999999997</v>
      </c>
      <c r="Q23" s="258">
        <v>31.1</v>
      </c>
      <c r="R23" s="258">
        <v>33.700000000000003</v>
      </c>
      <c r="S23" s="258">
        <v>35.5</v>
      </c>
      <c r="T23" s="267">
        <v>34.1</v>
      </c>
    </row>
    <row r="24" spans="1:26" x14ac:dyDescent="0.25">
      <c r="A24" s="261"/>
      <c r="B24" s="268" t="s">
        <v>118</v>
      </c>
      <c r="C24" s="269">
        <v>7.3</v>
      </c>
      <c r="D24" s="269">
        <v>6.9</v>
      </c>
      <c r="E24" s="269">
        <v>9.3000000000000007</v>
      </c>
      <c r="F24" s="269">
        <v>9.3000000000000007</v>
      </c>
      <c r="G24" s="269">
        <v>9.9</v>
      </c>
      <c r="H24" s="269">
        <v>11.3</v>
      </c>
      <c r="I24" s="269">
        <v>10.7</v>
      </c>
      <c r="J24" s="269">
        <v>11</v>
      </c>
      <c r="K24" s="269">
        <v>11.9</v>
      </c>
      <c r="L24" s="269">
        <v>11.3</v>
      </c>
      <c r="M24" s="269">
        <v>11.1</v>
      </c>
      <c r="N24" s="269">
        <v>11.4</v>
      </c>
      <c r="O24" s="269">
        <v>12</v>
      </c>
      <c r="P24" s="269">
        <v>10.9</v>
      </c>
      <c r="Q24" s="269">
        <v>11.1</v>
      </c>
      <c r="R24" s="269">
        <v>11.4</v>
      </c>
      <c r="S24" s="269">
        <v>11.7</v>
      </c>
      <c r="T24" s="269">
        <v>11.1</v>
      </c>
    </row>
    <row r="26" spans="1:26" x14ac:dyDescent="0.25">
      <c r="A26" s="95" t="s">
        <v>121</v>
      </c>
      <c r="B26" s="95" t="s">
        <v>122</v>
      </c>
      <c r="C26" s="95"/>
      <c r="D26" s="95"/>
      <c r="E26" s="95"/>
      <c r="F26" s="95"/>
      <c r="G26" s="95"/>
      <c r="H26" s="95"/>
    </row>
    <row r="28" spans="1:26" ht="15.75" thickBot="1" x14ac:dyDescent="0.3">
      <c r="A28" s="95" t="s">
        <v>82</v>
      </c>
      <c r="B28" s="95" t="s">
        <v>123</v>
      </c>
      <c r="C28" s="95"/>
      <c r="D28" s="95"/>
      <c r="E28" s="95"/>
      <c r="F28" s="95"/>
      <c r="G28" s="95"/>
      <c r="H28" s="95"/>
    </row>
    <row r="29" spans="1:26" x14ac:dyDescent="0.25">
      <c r="B29" s="95" t="s">
        <v>124</v>
      </c>
      <c r="C29" s="95"/>
      <c r="D29" s="95"/>
      <c r="E29" s="95"/>
      <c r="F29" s="95"/>
      <c r="G29" s="95"/>
      <c r="H29" s="95"/>
      <c r="V29" s="270" t="s">
        <v>324</v>
      </c>
      <c r="W29" s="271"/>
      <c r="X29" s="271"/>
      <c r="Y29" s="271"/>
      <c r="Z29" s="272"/>
    </row>
    <row r="30" spans="1:26" x14ac:dyDescent="0.25">
      <c r="V30" s="273"/>
      <c r="W30" s="257"/>
      <c r="X30" s="257"/>
      <c r="Y30" s="257"/>
      <c r="Z30" s="274"/>
    </row>
    <row r="31" spans="1:26" x14ac:dyDescent="0.25">
      <c r="V31" s="273"/>
      <c r="W31" s="257" t="s">
        <v>326</v>
      </c>
      <c r="X31" s="257" t="s">
        <v>327</v>
      </c>
      <c r="Y31" s="257" t="s">
        <v>328</v>
      </c>
      <c r="Z31" s="274"/>
    </row>
    <row r="32" spans="1:26" x14ac:dyDescent="0.25">
      <c r="V32" s="273" t="s">
        <v>325</v>
      </c>
      <c r="W32" s="357">
        <v>3832</v>
      </c>
      <c r="X32" s="357">
        <v>4354</v>
      </c>
      <c r="Y32" s="356">
        <f>X32-W32</f>
        <v>522</v>
      </c>
      <c r="Z32" s="274"/>
    </row>
    <row r="33" spans="1:26" x14ac:dyDescent="0.25">
      <c r="V33" s="273" t="s">
        <v>329</v>
      </c>
      <c r="W33" s="357">
        <v>1548</v>
      </c>
      <c r="X33" s="357">
        <v>1960</v>
      </c>
      <c r="Y33" s="356">
        <f>X33-W33</f>
        <v>412</v>
      </c>
      <c r="Z33" s="274"/>
    </row>
    <row r="34" spans="1:26" ht="18.75" x14ac:dyDescent="0.3">
      <c r="A34" s="93" t="s">
        <v>127</v>
      </c>
      <c r="B34" s="93"/>
      <c r="C34" s="93"/>
      <c r="D34" s="93"/>
      <c r="E34" s="93"/>
      <c r="F34" s="93"/>
      <c r="G34" s="93"/>
      <c r="H34" s="93"/>
      <c r="V34" s="273" t="s">
        <v>330</v>
      </c>
      <c r="W34" s="257"/>
      <c r="X34" s="257"/>
      <c r="Y34" s="257"/>
      <c r="Z34" s="274"/>
    </row>
    <row r="35" spans="1:26" x14ac:dyDescent="0.25">
      <c r="V35" s="273" t="s">
        <v>331</v>
      </c>
      <c r="W35" s="357">
        <v>3337</v>
      </c>
      <c r="X35" s="357">
        <v>4420</v>
      </c>
      <c r="Y35" s="357">
        <f>X35-W35</f>
        <v>1083</v>
      </c>
      <c r="Z35" s="274"/>
    </row>
    <row r="36" spans="1:26" x14ac:dyDescent="0.25">
      <c r="A36" s="262"/>
      <c r="B36" s="264"/>
      <c r="C36" s="263">
        <v>1988</v>
      </c>
      <c r="D36" s="263">
        <v>1989</v>
      </c>
      <c r="E36" s="263">
        <v>1994</v>
      </c>
      <c r="F36" s="263">
        <v>1995</v>
      </c>
      <c r="G36" s="263">
        <v>1996</v>
      </c>
      <c r="H36" s="263">
        <v>1998</v>
      </c>
      <c r="I36" s="263">
        <v>2000</v>
      </c>
      <c r="J36" s="263">
        <v>2001</v>
      </c>
      <c r="K36" s="263">
        <v>2002</v>
      </c>
      <c r="L36" s="263">
        <v>2003</v>
      </c>
      <c r="M36" s="263">
        <v>2004</v>
      </c>
      <c r="N36" s="263">
        <v>2005</v>
      </c>
      <c r="O36" s="263">
        <v>2006</v>
      </c>
      <c r="P36" s="263">
        <v>2007</v>
      </c>
      <c r="Q36" s="263">
        <v>2008</v>
      </c>
      <c r="R36" s="263">
        <v>2009</v>
      </c>
      <c r="S36" s="263">
        <v>2010</v>
      </c>
      <c r="T36" s="263">
        <v>2011</v>
      </c>
      <c r="V36" s="273" t="s">
        <v>332</v>
      </c>
      <c r="W36" s="357">
        <f>W35-W33</f>
        <v>1789</v>
      </c>
      <c r="X36" s="357">
        <f t="shared" ref="X36:Y36" si="0">X35-X33</f>
        <v>2460</v>
      </c>
      <c r="Y36" s="357">
        <f t="shared" si="0"/>
        <v>671</v>
      </c>
      <c r="Z36" s="274"/>
    </row>
    <row r="37" spans="1:26" x14ac:dyDescent="0.25">
      <c r="A37" s="261"/>
      <c r="B37" s="265"/>
      <c r="C37" s="94" t="s">
        <v>111</v>
      </c>
      <c r="D37" s="94" t="s">
        <v>111</v>
      </c>
      <c r="E37" s="94" t="s">
        <v>111</v>
      </c>
      <c r="F37" s="94" t="s">
        <v>111</v>
      </c>
      <c r="G37" s="94" t="s">
        <v>111</v>
      </c>
      <c r="H37" s="94" t="s">
        <v>111</v>
      </c>
      <c r="I37" s="94" t="s">
        <v>111</v>
      </c>
      <c r="J37" s="94" t="s">
        <v>111</v>
      </c>
      <c r="K37" s="94" t="s">
        <v>111</v>
      </c>
      <c r="L37" s="94" t="s">
        <v>111</v>
      </c>
      <c r="M37" s="94" t="s">
        <v>111</v>
      </c>
      <c r="N37" s="94" t="s">
        <v>111</v>
      </c>
      <c r="O37" s="94" t="s">
        <v>111</v>
      </c>
      <c r="P37" s="94" t="s">
        <v>111</v>
      </c>
      <c r="Q37" s="94" t="s">
        <v>111</v>
      </c>
      <c r="R37" s="94" t="s">
        <v>111</v>
      </c>
      <c r="S37" s="94" t="s">
        <v>111</v>
      </c>
      <c r="T37" s="94" t="s">
        <v>111</v>
      </c>
      <c r="V37" s="273"/>
      <c r="W37" s="257"/>
      <c r="X37" s="257"/>
      <c r="Y37" s="257"/>
      <c r="Z37" s="274"/>
    </row>
    <row r="38" spans="1:26" ht="15.75" thickBot="1" x14ac:dyDescent="0.3">
      <c r="A38" s="257"/>
      <c r="B38" s="266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V38" s="277"/>
      <c r="W38" s="355"/>
      <c r="X38" s="355" t="s">
        <v>277</v>
      </c>
      <c r="Y38" s="358">
        <f>Y33/Y36</f>
        <v>0.61400894187779431</v>
      </c>
      <c r="Z38" s="359">
        <f>Y36/Y33</f>
        <v>1.6286407766990292</v>
      </c>
    </row>
    <row r="39" spans="1:26" x14ac:dyDescent="0.25">
      <c r="A39" s="257" t="s">
        <v>112</v>
      </c>
      <c r="B39" s="266" t="s">
        <v>113</v>
      </c>
      <c r="C39" s="258">
        <v>0.1</v>
      </c>
      <c r="D39" s="258">
        <v>0.1</v>
      </c>
      <c r="E39" s="258">
        <v>0.1</v>
      </c>
      <c r="F39" s="258">
        <v>0.1</v>
      </c>
      <c r="G39" s="258">
        <v>0.1</v>
      </c>
      <c r="H39" s="258">
        <v>0</v>
      </c>
      <c r="I39" s="258">
        <v>0.1</v>
      </c>
      <c r="J39" s="258">
        <v>0</v>
      </c>
      <c r="K39" s="258">
        <v>0</v>
      </c>
      <c r="L39" s="258">
        <v>0.1</v>
      </c>
      <c r="M39" s="258">
        <v>0</v>
      </c>
      <c r="N39" s="258">
        <v>0</v>
      </c>
      <c r="O39" s="258">
        <v>0.1</v>
      </c>
      <c r="P39" s="258">
        <v>0.1</v>
      </c>
      <c r="Q39" s="258" t="s">
        <v>114</v>
      </c>
      <c r="R39" s="258">
        <v>0.1</v>
      </c>
      <c r="S39" s="258">
        <v>0.1</v>
      </c>
      <c r="T39" s="258">
        <v>0.1</v>
      </c>
    </row>
    <row r="40" spans="1:26" x14ac:dyDescent="0.25">
      <c r="A40" s="257"/>
      <c r="B40" s="266" t="s">
        <v>115</v>
      </c>
      <c r="C40" s="258">
        <v>2</v>
      </c>
      <c r="D40" s="258">
        <v>2.4</v>
      </c>
      <c r="E40" s="258">
        <v>2</v>
      </c>
      <c r="F40" s="258">
        <v>1.7</v>
      </c>
      <c r="G40" s="258">
        <v>2.8</v>
      </c>
      <c r="H40" s="258">
        <v>1.8</v>
      </c>
      <c r="I40" s="258">
        <v>1.8</v>
      </c>
      <c r="J40" s="258">
        <v>1.6</v>
      </c>
      <c r="K40" s="258">
        <v>1.5</v>
      </c>
      <c r="L40" s="258">
        <v>1.3</v>
      </c>
      <c r="M40" s="258">
        <v>1.8</v>
      </c>
      <c r="N40" s="258">
        <v>1.4</v>
      </c>
      <c r="O40" s="258">
        <v>1.2</v>
      </c>
      <c r="P40" s="258">
        <v>0.8</v>
      </c>
      <c r="Q40" s="258">
        <v>0.8</v>
      </c>
      <c r="R40" s="258">
        <v>0.9</v>
      </c>
      <c r="S40" s="258">
        <v>0.7</v>
      </c>
      <c r="T40" s="258">
        <v>0.8</v>
      </c>
    </row>
    <row r="41" spans="1:26" x14ac:dyDescent="0.25">
      <c r="A41" s="257"/>
      <c r="B41" s="266" t="s">
        <v>116</v>
      </c>
      <c r="C41" s="258">
        <v>6.7</v>
      </c>
      <c r="D41" s="258">
        <v>6.4</v>
      </c>
      <c r="E41" s="258">
        <v>5.9</v>
      </c>
      <c r="F41" s="258">
        <v>4.5</v>
      </c>
      <c r="G41" s="258">
        <v>6.5</v>
      </c>
      <c r="H41" s="258">
        <v>6.5</v>
      </c>
      <c r="I41" s="258">
        <v>5.4</v>
      </c>
      <c r="J41" s="258">
        <v>3.9</v>
      </c>
      <c r="K41" s="258">
        <v>5.8</v>
      </c>
      <c r="L41" s="258">
        <v>6.3</v>
      </c>
      <c r="M41" s="258">
        <v>5.0999999999999996</v>
      </c>
      <c r="N41" s="258">
        <v>4.8</v>
      </c>
      <c r="O41" s="258">
        <v>3.9</v>
      </c>
      <c r="P41" s="258">
        <v>2.6</v>
      </c>
      <c r="Q41" s="258">
        <v>2.6</v>
      </c>
      <c r="R41" s="258">
        <v>2.9</v>
      </c>
      <c r="S41" s="258">
        <v>3.1</v>
      </c>
      <c r="T41" s="258">
        <v>3.1</v>
      </c>
    </row>
    <row r="42" spans="1:26" x14ac:dyDescent="0.25">
      <c r="A42" s="257"/>
      <c r="B42" s="266" t="s">
        <v>117</v>
      </c>
      <c r="C42" s="258">
        <v>6.6</v>
      </c>
      <c r="D42" s="258">
        <v>6.5</v>
      </c>
      <c r="E42" s="258">
        <v>7.3</v>
      </c>
      <c r="F42" s="258">
        <v>7.3</v>
      </c>
      <c r="G42" s="258">
        <v>8.3000000000000007</v>
      </c>
      <c r="H42" s="258">
        <v>8.6</v>
      </c>
      <c r="I42" s="258">
        <v>7.8</v>
      </c>
      <c r="J42" s="258">
        <v>5.3</v>
      </c>
      <c r="K42" s="258">
        <v>9</v>
      </c>
      <c r="L42" s="258">
        <v>5.2</v>
      </c>
      <c r="M42" s="258">
        <v>6.7</v>
      </c>
      <c r="N42" s="258">
        <v>7</v>
      </c>
      <c r="O42" s="258">
        <v>6.5</v>
      </c>
      <c r="P42" s="258">
        <v>5.0999999999999996</v>
      </c>
      <c r="Q42" s="258">
        <v>4.5</v>
      </c>
      <c r="R42" s="258">
        <v>4.9000000000000004</v>
      </c>
      <c r="S42" s="258">
        <v>4.5999999999999996</v>
      </c>
      <c r="T42" s="258">
        <v>3.7</v>
      </c>
    </row>
    <row r="43" spans="1:26" x14ac:dyDescent="0.25">
      <c r="A43" s="261"/>
      <c r="B43" s="268" t="s">
        <v>118</v>
      </c>
      <c r="C43" s="269">
        <v>1.7</v>
      </c>
      <c r="D43" s="269">
        <v>1.7</v>
      </c>
      <c r="E43" s="269">
        <v>2.1</v>
      </c>
      <c r="F43" s="269">
        <v>1.8</v>
      </c>
      <c r="G43" s="269">
        <v>2.4</v>
      </c>
      <c r="H43" s="269">
        <v>2.2000000000000002</v>
      </c>
      <c r="I43" s="269">
        <v>2</v>
      </c>
      <c r="J43" s="269">
        <v>1.5</v>
      </c>
      <c r="K43" s="269">
        <v>2</v>
      </c>
      <c r="L43" s="269">
        <v>1.7</v>
      </c>
      <c r="M43" s="269">
        <v>1.8</v>
      </c>
      <c r="N43" s="269">
        <v>1.7</v>
      </c>
      <c r="O43" s="269">
        <v>1.5</v>
      </c>
      <c r="P43" s="269">
        <v>1.1000000000000001</v>
      </c>
      <c r="Q43" s="269">
        <v>1</v>
      </c>
      <c r="R43" s="269">
        <v>1.2</v>
      </c>
      <c r="S43" s="269">
        <v>1.1000000000000001</v>
      </c>
      <c r="T43" s="269">
        <v>1</v>
      </c>
    </row>
    <row r="44" spans="1:26" x14ac:dyDescent="0.25">
      <c r="A44" s="257"/>
      <c r="B44" s="266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8"/>
    </row>
    <row r="45" spans="1:26" x14ac:dyDescent="0.25">
      <c r="A45" s="257" t="s">
        <v>119</v>
      </c>
      <c r="B45" s="266" t="s">
        <v>113</v>
      </c>
      <c r="C45" s="258">
        <v>0.1</v>
      </c>
      <c r="D45" s="258">
        <v>0.1</v>
      </c>
      <c r="E45" s="258">
        <v>0.2</v>
      </c>
      <c r="F45" s="258">
        <v>0</v>
      </c>
      <c r="G45" s="258">
        <v>0</v>
      </c>
      <c r="H45" s="258">
        <v>0.1</v>
      </c>
      <c r="I45" s="258">
        <v>0.1</v>
      </c>
      <c r="J45" s="258">
        <v>0</v>
      </c>
      <c r="K45" s="258">
        <v>0.1</v>
      </c>
      <c r="L45" s="258">
        <v>0</v>
      </c>
      <c r="M45" s="258">
        <v>0</v>
      </c>
      <c r="N45" s="258">
        <v>0.1</v>
      </c>
      <c r="O45" s="258">
        <v>0.1</v>
      </c>
      <c r="P45" s="258">
        <v>0.1</v>
      </c>
      <c r="Q45" s="258" t="s">
        <v>114</v>
      </c>
      <c r="R45" s="258">
        <v>0.1</v>
      </c>
      <c r="S45" s="258">
        <v>0.1</v>
      </c>
      <c r="T45" s="258">
        <v>0.1</v>
      </c>
    </row>
    <row r="46" spans="1:26" x14ac:dyDescent="0.25">
      <c r="A46" s="257"/>
      <c r="B46" s="266" t="s">
        <v>115</v>
      </c>
      <c r="C46" s="258">
        <v>0.4</v>
      </c>
      <c r="D46" s="258">
        <v>0.4</v>
      </c>
      <c r="E46" s="258">
        <v>0.5</v>
      </c>
      <c r="F46" s="258">
        <v>0.5</v>
      </c>
      <c r="G46" s="258">
        <v>0.5</v>
      </c>
      <c r="H46" s="258">
        <v>0.5</v>
      </c>
      <c r="I46" s="258">
        <v>0.7</v>
      </c>
      <c r="J46" s="258">
        <v>0.7</v>
      </c>
      <c r="K46" s="258">
        <v>0.8</v>
      </c>
      <c r="L46" s="258">
        <v>0.4</v>
      </c>
      <c r="M46" s="258">
        <v>0.5</v>
      </c>
      <c r="N46" s="258">
        <v>0.4</v>
      </c>
      <c r="O46" s="258">
        <v>0.5</v>
      </c>
      <c r="P46" s="258">
        <v>0.5</v>
      </c>
      <c r="Q46" s="258">
        <v>0.6</v>
      </c>
      <c r="R46" s="258">
        <v>0.4</v>
      </c>
      <c r="S46" s="258">
        <v>0.7</v>
      </c>
      <c r="T46" s="258">
        <v>0.3</v>
      </c>
    </row>
    <row r="47" spans="1:26" x14ac:dyDescent="0.25">
      <c r="A47" s="257"/>
      <c r="B47" s="266" t="s">
        <v>116</v>
      </c>
      <c r="C47" s="258">
        <v>2.4</v>
      </c>
      <c r="D47" s="258">
        <v>1.5</v>
      </c>
      <c r="E47" s="258">
        <v>1.8</v>
      </c>
      <c r="F47" s="258">
        <v>1.9</v>
      </c>
      <c r="G47" s="258">
        <v>1.7</v>
      </c>
      <c r="H47" s="258">
        <v>1.5</v>
      </c>
      <c r="I47" s="258">
        <v>1.7</v>
      </c>
      <c r="J47" s="258">
        <v>2</v>
      </c>
      <c r="K47" s="258">
        <v>2.2000000000000002</v>
      </c>
      <c r="L47" s="258">
        <v>1.9</v>
      </c>
      <c r="M47" s="258">
        <v>1.2</v>
      </c>
      <c r="N47" s="258">
        <v>1.5</v>
      </c>
      <c r="O47" s="258">
        <v>1.7</v>
      </c>
      <c r="P47" s="258">
        <v>1.2</v>
      </c>
      <c r="Q47" s="258">
        <v>1.6</v>
      </c>
      <c r="R47" s="258">
        <v>1.3</v>
      </c>
      <c r="S47" s="258">
        <v>1.4</v>
      </c>
      <c r="T47" s="258">
        <v>1.2</v>
      </c>
    </row>
    <row r="48" spans="1:26" x14ac:dyDescent="0.25">
      <c r="A48" s="257"/>
      <c r="B48" s="266" t="s">
        <v>117</v>
      </c>
      <c r="C48" s="258">
        <v>3</v>
      </c>
      <c r="D48" s="258">
        <v>4</v>
      </c>
      <c r="E48" s="258">
        <v>3.6</v>
      </c>
      <c r="F48" s="258">
        <v>3.5</v>
      </c>
      <c r="G48" s="258">
        <v>2.2000000000000002</v>
      </c>
      <c r="H48" s="258">
        <v>4.0999999999999996</v>
      </c>
      <c r="I48" s="258">
        <v>3.3</v>
      </c>
      <c r="J48" s="258">
        <v>3.9</v>
      </c>
      <c r="K48" s="258">
        <v>3.7</v>
      </c>
      <c r="L48" s="258">
        <v>2.6</v>
      </c>
      <c r="M48" s="258">
        <v>2.8</v>
      </c>
      <c r="N48" s="258">
        <v>3</v>
      </c>
      <c r="O48" s="258">
        <v>2.1</v>
      </c>
      <c r="P48" s="258">
        <v>1.9</v>
      </c>
      <c r="Q48" s="258">
        <v>2.7</v>
      </c>
      <c r="R48" s="258">
        <v>2.1</v>
      </c>
      <c r="S48" s="258">
        <v>1.8</v>
      </c>
      <c r="T48" s="258">
        <v>1.4</v>
      </c>
    </row>
    <row r="49" spans="1:20" x14ac:dyDescent="0.25">
      <c r="A49" s="261"/>
      <c r="B49" s="268" t="s">
        <v>118</v>
      </c>
      <c r="C49" s="269">
        <v>0.6</v>
      </c>
      <c r="D49" s="269">
        <v>0.6</v>
      </c>
      <c r="E49" s="269">
        <v>0.8</v>
      </c>
      <c r="F49" s="269">
        <v>0.7</v>
      </c>
      <c r="G49" s="269">
        <v>0.6</v>
      </c>
      <c r="H49" s="269">
        <v>0.8</v>
      </c>
      <c r="I49" s="269">
        <v>0.8</v>
      </c>
      <c r="J49" s="269">
        <v>0.9</v>
      </c>
      <c r="K49" s="269">
        <v>0.9</v>
      </c>
      <c r="L49" s="269">
        <v>0.6</v>
      </c>
      <c r="M49" s="269">
        <v>0.6</v>
      </c>
      <c r="N49" s="269">
        <v>0.6</v>
      </c>
      <c r="O49" s="269">
        <v>0.6</v>
      </c>
      <c r="P49" s="269">
        <v>0.5</v>
      </c>
      <c r="Q49" s="269">
        <v>0.6</v>
      </c>
      <c r="R49" s="269">
        <v>0.5</v>
      </c>
      <c r="S49" s="269">
        <v>0.6</v>
      </c>
      <c r="T49" s="269">
        <v>0.4</v>
      </c>
    </row>
    <row r="50" spans="1:20" x14ac:dyDescent="0.25">
      <c r="A50" s="257"/>
      <c r="B50" s="266"/>
      <c r="C50" s="258"/>
      <c r="D50" s="258"/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8"/>
    </row>
    <row r="51" spans="1:20" x14ac:dyDescent="0.25">
      <c r="A51" s="259" t="s">
        <v>120</v>
      </c>
      <c r="B51" s="266" t="s">
        <v>113</v>
      </c>
      <c r="C51" s="258">
        <v>1.7</v>
      </c>
      <c r="D51" s="258">
        <v>2.2000000000000002</v>
      </c>
      <c r="E51" s="258">
        <v>1.7</v>
      </c>
      <c r="F51" s="258">
        <v>1.3</v>
      </c>
      <c r="G51" s="258">
        <v>1.5</v>
      </c>
      <c r="H51" s="258">
        <v>1.3</v>
      </c>
      <c r="I51" s="258">
        <v>1.8</v>
      </c>
      <c r="J51" s="258">
        <v>1.5</v>
      </c>
      <c r="K51" s="258">
        <v>1.9</v>
      </c>
      <c r="L51" s="258">
        <v>2.2000000000000002</v>
      </c>
      <c r="M51" s="258">
        <v>1.7</v>
      </c>
      <c r="N51" s="258">
        <v>2</v>
      </c>
      <c r="O51" s="258">
        <v>2.2999999999999998</v>
      </c>
      <c r="P51" s="258">
        <v>1.8</v>
      </c>
      <c r="Q51" s="258">
        <v>1.2</v>
      </c>
      <c r="R51" s="258">
        <v>1.7</v>
      </c>
      <c r="S51" s="258">
        <v>2.1</v>
      </c>
      <c r="T51" s="258">
        <v>1.9</v>
      </c>
    </row>
    <row r="52" spans="1:20" x14ac:dyDescent="0.25">
      <c r="A52" s="259"/>
      <c r="B52" s="266" t="s">
        <v>115</v>
      </c>
      <c r="C52" s="258">
        <v>10.8</v>
      </c>
      <c r="D52" s="258">
        <v>11.5</v>
      </c>
      <c r="E52" s="258">
        <v>10.6</v>
      </c>
      <c r="F52" s="258">
        <v>9.6999999999999993</v>
      </c>
      <c r="G52" s="258">
        <v>12.4</v>
      </c>
      <c r="H52" s="258">
        <v>10.6</v>
      </c>
      <c r="I52" s="258">
        <v>11.7</v>
      </c>
      <c r="J52" s="258">
        <v>11.5</v>
      </c>
      <c r="K52" s="258">
        <v>12.9</v>
      </c>
      <c r="L52" s="258">
        <v>11.8</v>
      </c>
      <c r="M52" s="258">
        <v>13.2</v>
      </c>
      <c r="N52" s="258">
        <v>12.3</v>
      </c>
      <c r="O52" s="258">
        <v>12.8</v>
      </c>
      <c r="P52" s="258">
        <v>11</v>
      </c>
      <c r="Q52" s="258">
        <v>9.9</v>
      </c>
      <c r="R52" s="258">
        <v>9.8000000000000007</v>
      </c>
      <c r="S52" s="258">
        <v>10.6</v>
      </c>
      <c r="T52" s="260">
        <v>8.4</v>
      </c>
    </row>
    <row r="53" spans="1:20" x14ac:dyDescent="0.25">
      <c r="A53" s="257"/>
      <c r="B53" s="266" t="s">
        <v>116</v>
      </c>
      <c r="C53" s="258">
        <v>22.8</v>
      </c>
      <c r="D53" s="258">
        <v>22</v>
      </c>
      <c r="E53" s="258">
        <v>23.9</v>
      </c>
      <c r="F53" s="258">
        <v>19.7</v>
      </c>
      <c r="G53" s="258">
        <v>22.4</v>
      </c>
      <c r="H53" s="258">
        <v>26.8</v>
      </c>
      <c r="I53" s="258">
        <v>26.2</v>
      </c>
      <c r="J53" s="258">
        <v>25.2</v>
      </c>
      <c r="K53" s="258">
        <v>29.1</v>
      </c>
      <c r="L53" s="258">
        <v>29.7</v>
      </c>
      <c r="M53" s="258">
        <v>26.6</v>
      </c>
      <c r="N53" s="258">
        <v>26</v>
      </c>
      <c r="O53" s="258">
        <v>29</v>
      </c>
      <c r="P53" s="258">
        <v>23.9</v>
      </c>
      <c r="Q53" s="258">
        <v>23</v>
      </c>
      <c r="R53" s="258">
        <v>26.2</v>
      </c>
      <c r="S53" s="258">
        <v>22.3</v>
      </c>
      <c r="T53" s="260">
        <v>22.5</v>
      </c>
    </row>
    <row r="54" spans="1:20" x14ac:dyDescent="0.25">
      <c r="A54" s="257"/>
      <c r="B54" s="266" t="s">
        <v>117</v>
      </c>
      <c r="C54" s="258">
        <v>26.5</v>
      </c>
      <c r="D54" s="258">
        <v>26.8</v>
      </c>
      <c r="E54" s="258">
        <v>25.1</v>
      </c>
      <c r="F54" s="258">
        <v>29.2</v>
      </c>
      <c r="G54" s="258">
        <v>25.4</v>
      </c>
      <c r="H54" s="258">
        <v>29.9</v>
      </c>
      <c r="I54" s="258">
        <v>30.6</v>
      </c>
      <c r="J54" s="258">
        <v>32.200000000000003</v>
      </c>
      <c r="K54" s="258">
        <v>37.9</v>
      </c>
      <c r="L54" s="258">
        <v>30.3</v>
      </c>
      <c r="M54" s="258">
        <v>31.9</v>
      </c>
      <c r="N54" s="258">
        <v>31.3</v>
      </c>
      <c r="O54" s="258">
        <v>33.299999999999997</v>
      </c>
      <c r="P54" s="258">
        <v>27.7</v>
      </c>
      <c r="Q54" s="258">
        <v>32.5</v>
      </c>
      <c r="R54" s="258">
        <v>27.5</v>
      </c>
      <c r="S54" s="258">
        <v>31.7</v>
      </c>
      <c r="T54" s="267">
        <v>29.8</v>
      </c>
    </row>
    <row r="55" spans="1:20" x14ac:dyDescent="0.25">
      <c r="A55" s="261"/>
      <c r="B55" s="268" t="s">
        <v>118</v>
      </c>
      <c r="C55" s="269">
        <v>7.7</v>
      </c>
      <c r="D55" s="269">
        <v>7.7</v>
      </c>
      <c r="E55" s="269">
        <v>9.1999999999999993</v>
      </c>
      <c r="F55" s="269">
        <v>8.6999999999999993</v>
      </c>
      <c r="G55" s="269">
        <v>9.5</v>
      </c>
      <c r="H55" s="269">
        <v>9.9</v>
      </c>
      <c r="I55" s="269">
        <v>10.4</v>
      </c>
      <c r="J55" s="269">
        <v>10.199999999999999</v>
      </c>
      <c r="K55" s="269">
        <v>11.9</v>
      </c>
      <c r="L55" s="269">
        <v>10.9</v>
      </c>
      <c r="M55" s="269">
        <v>11</v>
      </c>
      <c r="N55" s="269">
        <v>10.8</v>
      </c>
      <c r="O55" s="269">
        <v>11.5</v>
      </c>
      <c r="P55" s="269">
        <v>9.6999999999999993</v>
      </c>
      <c r="Q55" s="269">
        <v>9.4</v>
      </c>
      <c r="R55" s="269">
        <v>9.5</v>
      </c>
      <c r="S55" s="269">
        <v>10.1</v>
      </c>
      <c r="T55" s="269">
        <v>9.1</v>
      </c>
    </row>
    <row r="57" spans="1:20" x14ac:dyDescent="0.25">
      <c r="A57" s="95" t="s">
        <v>121</v>
      </c>
      <c r="B57" s="95" t="s">
        <v>122</v>
      </c>
      <c r="C57" s="95"/>
      <c r="D57" s="95"/>
      <c r="E57" s="95"/>
      <c r="F57" s="95"/>
      <c r="G57" s="95"/>
      <c r="H57" s="95"/>
    </row>
    <row r="59" spans="1:20" x14ac:dyDescent="0.25">
      <c r="A59" s="95" t="s">
        <v>82</v>
      </c>
      <c r="B59" s="95" t="s">
        <v>123</v>
      </c>
      <c r="C59" s="95"/>
      <c r="D59" s="95"/>
      <c r="E59" s="95"/>
      <c r="F59" s="95"/>
      <c r="G59" s="95"/>
      <c r="H59" s="95"/>
    </row>
    <row r="60" spans="1:20" x14ac:dyDescent="0.25">
      <c r="B60" s="95" t="s">
        <v>124</v>
      </c>
      <c r="C60" s="95"/>
      <c r="D60" s="95"/>
      <c r="E60" s="95"/>
      <c r="F60" s="95"/>
      <c r="G60" s="95"/>
      <c r="H60" s="95"/>
    </row>
  </sheetData>
  <hyperlinks>
    <hyperlink ref="C1" r:id="rId1"/>
  </hyperlinks>
  <pageMargins left="0.7" right="0.7" top="0.75" bottom="0.75" header="0.3" footer="0.3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AH42"/>
  <sheetViews>
    <sheetView zoomScale="65" zoomScaleNormal="65" workbookViewId="0">
      <selection activeCell="D6" sqref="D6:AH36"/>
    </sheetView>
  </sheetViews>
  <sheetFormatPr defaultColWidth="8.85546875" defaultRowHeight="15" x14ac:dyDescent="0.25"/>
  <cols>
    <col min="1" max="2" width="8.85546875" style="156"/>
    <col min="3" max="3" width="7.28515625" style="156" customWidth="1"/>
    <col min="4" max="34" width="6.28515625" style="156" customWidth="1"/>
    <col min="35" max="16384" width="8.85546875" style="156"/>
  </cols>
  <sheetData>
    <row r="1" spans="2:34" s="155" customFormat="1" ht="11.25" x14ac:dyDescent="0.2"/>
    <row r="2" spans="2:34" x14ac:dyDescent="0.25">
      <c r="K2" s="405" t="s">
        <v>188</v>
      </c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5"/>
      <c r="AH2" s="405"/>
    </row>
    <row r="3" spans="2:34" x14ac:dyDescent="0.25">
      <c r="K3" s="405"/>
      <c r="L3" s="405"/>
      <c r="M3" s="405"/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5"/>
      <c r="AA3" s="405"/>
      <c r="AB3" s="405"/>
      <c r="AC3" s="405"/>
      <c r="AD3" s="405"/>
      <c r="AE3" s="405"/>
      <c r="AF3" s="405"/>
      <c r="AG3" s="405"/>
      <c r="AH3" s="405"/>
    </row>
    <row r="4" spans="2:34" x14ac:dyDescent="0.25">
      <c r="K4" s="405" t="s">
        <v>189</v>
      </c>
      <c r="L4" s="405"/>
      <c r="M4" s="405"/>
      <c r="N4" s="405"/>
      <c r="O4" s="405"/>
      <c r="P4" s="405"/>
      <c r="Q4" s="405"/>
      <c r="R4" s="405"/>
      <c r="S4" s="405"/>
      <c r="T4" s="405"/>
      <c r="U4" s="405"/>
      <c r="V4" s="405"/>
      <c r="W4" s="405"/>
      <c r="X4" s="405"/>
      <c r="Y4" s="405"/>
      <c r="Z4" s="405"/>
      <c r="AA4" s="405"/>
      <c r="AB4" s="405"/>
      <c r="AC4" s="405"/>
      <c r="AD4" s="405"/>
      <c r="AE4" s="405"/>
      <c r="AF4" s="405"/>
      <c r="AG4" s="405"/>
      <c r="AH4" s="405"/>
    </row>
    <row r="5" spans="2:34" ht="15.75" customHeight="1" thickBot="1" x14ac:dyDescent="0.3">
      <c r="K5" s="405"/>
      <c r="L5" s="405"/>
      <c r="M5" s="405"/>
      <c r="N5" s="405"/>
      <c r="O5" s="405"/>
      <c r="P5" s="405"/>
      <c r="Q5" s="405"/>
      <c r="R5" s="405"/>
      <c r="S5" s="405"/>
      <c r="T5" s="405"/>
      <c r="U5" s="405"/>
      <c r="V5" s="405"/>
      <c r="W5" s="405"/>
      <c r="X5" s="405"/>
      <c r="Y5" s="405"/>
      <c r="Z5" s="405"/>
      <c r="AA5" s="405"/>
      <c r="AB5" s="405"/>
      <c r="AC5" s="405"/>
      <c r="AD5" s="405"/>
      <c r="AE5" s="405"/>
      <c r="AF5" s="405"/>
      <c r="AG5" s="405"/>
      <c r="AH5" s="405"/>
    </row>
    <row r="6" spans="2:34" s="157" customFormat="1" ht="24" customHeight="1" x14ac:dyDescent="0.25">
      <c r="B6" s="406" t="s">
        <v>185</v>
      </c>
      <c r="C6" s="158">
        <v>1999.9999999999602</v>
      </c>
      <c r="D6" s="159">
        <v>-269.09368896484375</v>
      </c>
      <c r="E6" s="160">
        <v>-258.16732788085937</v>
      </c>
      <c r="F6" s="160">
        <v>-247.25038146972656</v>
      </c>
      <c r="G6" s="160">
        <v>-236.34280395507812</v>
      </c>
      <c r="H6" s="160">
        <v>-225.44461059570312</v>
      </c>
      <c r="I6" s="160">
        <v>-214.55577087402344</v>
      </c>
      <c r="J6" s="160">
        <v>-203.67628479003906</v>
      </c>
      <c r="K6" s="160">
        <v>-192.80613708496094</v>
      </c>
      <c r="L6" s="160">
        <v>-181.9453125</v>
      </c>
      <c r="M6" s="160">
        <v>-171.09381103515625</v>
      </c>
      <c r="N6" s="160">
        <v>-160.25161743164063</v>
      </c>
      <c r="O6" s="160">
        <v>-149.41871643066406</v>
      </c>
      <c r="P6" s="160">
        <v>-138.5950927734375</v>
      </c>
      <c r="Q6" s="160">
        <v>-127.78075408935547</v>
      </c>
      <c r="R6" s="160">
        <v>-116.97566986083984</v>
      </c>
      <c r="S6" s="160">
        <v>-106.17983245849609</v>
      </c>
      <c r="T6" s="160">
        <v>-95.393241882324219</v>
      </c>
      <c r="U6" s="160">
        <v>-84.615875244140625</v>
      </c>
      <c r="V6" s="160">
        <v>-73.847732543945313</v>
      </c>
      <c r="W6" s="160">
        <v>-63.088790893554688</v>
      </c>
      <c r="X6" s="160">
        <v>-52.339046478271484</v>
      </c>
      <c r="Y6" s="160">
        <v>-41.598487854003906</v>
      </c>
      <c r="Z6" s="160">
        <v>-30.867101669311523</v>
      </c>
      <c r="AA6" s="160">
        <v>-20.144878387451172</v>
      </c>
      <c r="AB6" s="160">
        <v>-9.4318065643310547</v>
      </c>
      <c r="AC6" s="160">
        <v>1.2721240520477295</v>
      </c>
      <c r="AD6" s="160">
        <v>11.966924667358398</v>
      </c>
      <c r="AE6" s="160">
        <v>22.652605056762695</v>
      </c>
      <c r="AF6" s="160">
        <v>33.329177856445313</v>
      </c>
      <c r="AG6" s="160">
        <v>43.996650695800781</v>
      </c>
      <c r="AH6" s="161">
        <v>54.655040740966797</v>
      </c>
    </row>
    <row r="7" spans="2:34" s="157" customFormat="1" ht="24" customHeight="1" x14ac:dyDescent="0.25">
      <c r="B7" s="406"/>
      <c r="C7" s="158">
        <v>1933.3333333332603</v>
      </c>
      <c r="D7" s="162">
        <v>-260.1239013671875</v>
      </c>
      <c r="E7" s="163">
        <v>-249.19754028320312</v>
      </c>
      <c r="F7" s="163">
        <v>-238.28059387207031</v>
      </c>
      <c r="G7" s="163">
        <v>-227.37301635742187</v>
      </c>
      <c r="H7" s="163">
        <v>-216.47482299804687</v>
      </c>
      <c r="I7" s="163">
        <v>-205.58598327636719</v>
      </c>
      <c r="J7" s="163">
        <v>-194.70649719238281</v>
      </c>
      <c r="K7" s="163">
        <v>-183.83634948730469</v>
      </c>
      <c r="L7" s="163">
        <v>-172.97552490234375</v>
      </c>
      <c r="M7" s="163">
        <v>-162.1240234375</v>
      </c>
      <c r="N7" s="163">
        <v>-151.28182983398437</v>
      </c>
      <c r="O7" s="163">
        <v>-140.44892883300781</v>
      </c>
      <c r="P7" s="163">
        <v>-129.62530517578125</v>
      </c>
      <c r="Q7" s="163">
        <v>-118.81096649169922</v>
      </c>
      <c r="R7" s="163">
        <v>-108.00588226318359</v>
      </c>
      <c r="S7" s="163">
        <v>-97.210052490234375</v>
      </c>
      <c r="T7" s="163">
        <v>-86.4234619140625</v>
      </c>
      <c r="U7" s="163">
        <v>-75.646095275878906</v>
      </c>
      <c r="V7" s="163">
        <v>-64.877944946289063</v>
      </c>
      <c r="W7" s="163">
        <v>-54.119007110595703</v>
      </c>
      <c r="X7" s="163">
        <v>-43.3692626953125</v>
      </c>
      <c r="Y7" s="163">
        <v>-32.628704071044922</v>
      </c>
      <c r="Z7" s="163">
        <v>-21.897317886352539</v>
      </c>
      <c r="AA7" s="163">
        <v>-11.175093650817871</v>
      </c>
      <c r="AB7" s="163">
        <v>-0.46202242374420166</v>
      </c>
      <c r="AC7" s="163">
        <v>10.241908073425293</v>
      </c>
      <c r="AD7" s="163">
        <v>20.936708450317383</v>
      </c>
      <c r="AE7" s="163">
        <v>31.62238883972168</v>
      </c>
      <c r="AF7" s="163">
        <v>42.298961639404297</v>
      </c>
      <c r="AG7" s="163">
        <v>52.966438293457031</v>
      </c>
      <c r="AH7" s="164">
        <v>63.624824523925781</v>
      </c>
    </row>
    <row r="8" spans="2:34" s="157" customFormat="1" ht="24" customHeight="1" x14ac:dyDescent="0.25">
      <c r="B8" s="406"/>
      <c r="C8" s="158">
        <v>1866.6666666665603</v>
      </c>
      <c r="D8" s="162">
        <v>-251.15409851074219</v>
      </c>
      <c r="E8" s="163">
        <v>-240.22775268554687</v>
      </c>
      <c r="F8" s="163">
        <v>-229.310791015625</v>
      </c>
      <c r="G8" s="163">
        <v>-218.40321350097656</v>
      </c>
      <c r="H8" s="163">
        <v>-207.50502014160156</v>
      </c>
      <c r="I8" s="163">
        <v>-196.61618041992187</v>
      </c>
      <c r="J8" s="163">
        <v>-185.7366943359375</v>
      </c>
      <c r="K8" s="163">
        <v>-174.86654663085937</v>
      </c>
      <c r="L8" s="163">
        <v>-164.00572204589844</v>
      </c>
      <c r="M8" s="163">
        <v>-153.15422058105469</v>
      </c>
      <c r="N8" s="163">
        <v>-142.31202697753906</v>
      </c>
      <c r="O8" s="163">
        <v>-131.4791259765625</v>
      </c>
      <c r="P8" s="163">
        <v>-120.65550994873047</v>
      </c>
      <c r="Q8" s="163">
        <v>-109.84117126464844</v>
      </c>
      <c r="R8" s="163">
        <v>-99.036087036132813</v>
      </c>
      <c r="S8" s="163">
        <v>-88.240249633789063</v>
      </c>
      <c r="T8" s="163">
        <v>-77.453659057617188</v>
      </c>
      <c r="U8" s="163">
        <v>-66.676292419433594</v>
      </c>
      <c r="V8" s="163">
        <v>-55.908149719238281</v>
      </c>
      <c r="W8" s="163">
        <v>-45.149208068847656</v>
      </c>
      <c r="X8" s="163">
        <v>-34.399463653564453</v>
      </c>
      <c r="Y8" s="163">
        <v>-23.658903121948242</v>
      </c>
      <c r="Z8" s="163">
        <v>-12.927516937255859</v>
      </c>
      <c r="AA8" s="163">
        <v>-2.2052934169769287</v>
      </c>
      <c r="AB8" s="163">
        <v>8.5077781677246094</v>
      </c>
      <c r="AC8" s="163">
        <v>19.211708068847656</v>
      </c>
      <c r="AD8" s="163">
        <v>29.906509399414063</v>
      </c>
      <c r="AE8" s="163">
        <v>40.592189788818359</v>
      </c>
      <c r="AF8" s="163">
        <v>51.268760681152344</v>
      </c>
      <c r="AG8" s="163">
        <v>61.936237335205078</v>
      </c>
      <c r="AH8" s="164">
        <v>72.594627380371094</v>
      </c>
    </row>
    <row r="9" spans="2:34" s="157" customFormat="1" ht="24" customHeight="1" x14ac:dyDescent="0.25">
      <c r="B9" s="406"/>
      <c r="C9" s="158">
        <v>1799.9999999998604</v>
      </c>
      <c r="D9" s="162">
        <v>-242.18431091308594</v>
      </c>
      <c r="E9" s="163">
        <v>-231.25796508789062</v>
      </c>
      <c r="F9" s="163">
        <v>-220.34100341796875</v>
      </c>
      <c r="G9" s="163">
        <v>-209.43344116210937</v>
      </c>
      <c r="H9" s="163">
        <v>-198.53523254394531</v>
      </c>
      <c r="I9" s="163">
        <v>-187.64639282226562</v>
      </c>
      <c r="J9" s="163">
        <v>-176.76690673828125</v>
      </c>
      <c r="K9" s="163">
        <v>-165.89675903320312</v>
      </c>
      <c r="L9" s="163">
        <v>-155.03594970703125</v>
      </c>
      <c r="M9" s="163">
        <v>-144.1844482421875</v>
      </c>
      <c r="N9" s="163">
        <v>-133.34223937988281</v>
      </c>
      <c r="O9" s="163">
        <v>-122.50934600830078</v>
      </c>
      <c r="P9" s="163">
        <v>-111.68572998046875</v>
      </c>
      <c r="Q9" s="163">
        <v>-100.87138366699219</v>
      </c>
      <c r="R9" s="163">
        <v>-90.066299438476563</v>
      </c>
      <c r="S9" s="163">
        <v>-79.270469665527344</v>
      </c>
      <c r="T9" s="163">
        <v>-68.483871459960937</v>
      </c>
      <c r="U9" s="163">
        <v>-57.706512451171875</v>
      </c>
      <c r="V9" s="163">
        <v>-46.938362121582031</v>
      </c>
      <c r="W9" s="163">
        <v>-36.179424285888672</v>
      </c>
      <c r="X9" s="163">
        <v>-25.429679870605469</v>
      </c>
      <c r="Y9" s="163">
        <v>-14.689119338989258</v>
      </c>
      <c r="Z9" s="163">
        <v>-3.9577329158782959</v>
      </c>
      <c r="AA9" s="163">
        <v>6.7644906044006348</v>
      </c>
      <c r="AB9" s="163">
        <v>17.477561950683594</v>
      </c>
      <c r="AC9" s="163">
        <v>28.181491851806641</v>
      </c>
      <c r="AD9" s="163">
        <v>38.876293182373047</v>
      </c>
      <c r="AE9" s="163">
        <v>49.561973571777344</v>
      </c>
      <c r="AF9" s="163">
        <v>60.238544464111328</v>
      </c>
      <c r="AG9" s="163">
        <v>70.906021118164062</v>
      </c>
      <c r="AH9" s="164">
        <v>81.564407348632813</v>
      </c>
    </row>
    <row r="10" spans="2:34" s="157" customFormat="1" ht="24" customHeight="1" x14ac:dyDescent="0.25">
      <c r="B10" s="406"/>
      <c r="C10" s="158">
        <v>1733.3333333331605</v>
      </c>
      <c r="D10" s="162">
        <v>-233.21452331542969</v>
      </c>
      <c r="E10" s="163">
        <v>-222.28817749023437</v>
      </c>
      <c r="F10" s="163">
        <v>-211.3712158203125</v>
      </c>
      <c r="G10" s="163">
        <v>-200.46365356445312</v>
      </c>
      <c r="H10" s="163">
        <v>-189.56544494628906</v>
      </c>
      <c r="I10" s="163">
        <v>-178.67662048339844</v>
      </c>
      <c r="J10" s="163">
        <v>-167.79713439941406</v>
      </c>
      <c r="K10" s="163">
        <v>-156.92698669433594</v>
      </c>
      <c r="L10" s="163">
        <v>-146.066162109375</v>
      </c>
      <c r="M10" s="163">
        <v>-135.21466064453125</v>
      </c>
      <c r="N10" s="163">
        <v>-124.37245941162109</v>
      </c>
      <c r="O10" s="163">
        <v>-113.53955841064453</v>
      </c>
      <c r="P10" s="163">
        <v>-102.7159423828125</v>
      </c>
      <c r="Q10" s="163">
        <v>-91.901596069335937</v>
      </c>
      <c r="R10" s="163">
        <v>-81.096519470214844</v>
      </c>
      <c r="S10" s="163">
        <v>-70.300682067871094</v>
      </c>
      <c r="T10" s="163">
        <v>-59.514091491699219</v>
      </c>
      <c r="U10" s="163">
        <v>-48.736728668212891</v>
      </c>
      <c r="V10" s="163">
        <v>-37.968578338623047</v>
      </c>
      <c r="W10" s="163">
        <v>-27.209640502929688</v>
      </c>
      <c r="X10" s="163">
        <v>-16.459896087646484</v>
      </c>
      <c r="Y10" s="163">
        <v>-5.7193350791931152</v>
      </c>
      <c r="Z10" s="163">
        <v>5.0120511054992676</v>
      </c>
      <c r="AA10" s="163">
        <v>15.734273910522461</v>
      </c>
      <c r="AB10" s="163">
        <v>26.447345733642578</v>
      </c>
      <c r="AC10" s="163">
        <v>37.151275634765625</v>
      </c>
      <c r="AD10" s="163">
        <v>47.846076965332031</v>
      </c>
      <c r="AE10" s="163">
        <v>58.531757354736328</v>
      </c>
      <c r="AF10" s="163">
        <v>69.208328247070313</v>
      </c>
      <c r="AG10" s="163">
        <v>79.875801086425781</v>
      </c>
      <c r="AH10" s="164">
        <v>90.534194946289063</v>
      </c>
    </row>
    <row r="11" spans="2:34" s="157" customFormat="1" ht="24" customHeight="1" x14ac:dyDescent="0.25">
      <c r="B11" s="406"/>
      <c r="C11" s="158">
        <v>1666.6666666664605</v>
      </c>
      <c r="D11" s="162">
        <v>-224.24473571777344</v>
      </c>
      <c r="E11" s="163">
        <v>-213.31837463378906</v>
      </c>
      <c r="F11" s="163">
        <v>-202.40142822265625</v>
      </c>
      <c r="G11" s="163">
        <v>-191.49385070800781</v>
      </c>
      <c r="H11" s="163">
        <v>-180.59565734863281</v>
      </c>
      <c r="I11" s="163">
        <v>-169.70681762695312</v>
      </c>
      <c r="J11" s="163">
        <v>-158.82733154296875</v>
      </c>
      <c r="K11" s="163">
        <v>-147.95718383789062</v>
      </c>
      <c r="L11" s="163">
        <v>-137.09635925292969</v>
      </c>
      <c r="M11" s="163">
        <v>-126.24485778808594</v>
      </c>
      <c r="N11" s="163">
        <v>-115.40266418457031</v>
      </c>
      <c r="O11" s="163">
        <v>-104.56976318359375</v>
      </c>
      <c r="P11" s="163">
        <v>-93.746147155761719</v>
      </c>
      <c r="Q11" s="163">
        <v>-82.931800842285156</v>
      </c>
      <c r="R11" s="163">
        <v>-72.126716613769531</v>
      </c>
      <c r="S11" s="163">
        <v>-61.330883026123047</v>
      </c>
      <c r="T11" s="163">
        <v>-50.544292449951172</v>
      </c>
      <c r="U11" s="163">
        <v>-39.766925811767578</v>
      </c>
      <c r="V11" s="163">
        <v>-28.998779296875</v>
      </c>
      <c r="W11" s="163">
        <v>-18.239839553833008</v>
      </c>
      <c r="X11" s="163">
        <v>-7.4900946617126465</v>
      </c>
      <c r="Y11" s="163">
        <v>3.2504651546478271</v>
      </c>
      <c r="Z11" s="163">
        <v>13.981851577758789</v>
      </c>
      <c r="AA11" s="163">
        <v>24.704074859619141</v>
      </c>
      <c r="AB11" s="163">
        <v>35.417144775390625</v>
      </c>
      <c r="AC11" s="163">
        <v>46.121074676513672</v>
      </c>
      <c r="AD11" s="163">
        <v>56.815876007080078</v>
      </c>
      <c r="AE11" s="163">
        <v>67.501556396484375</v>
      </c>
      <c r="AF11" s="163">
        <v>78.178131103515625</v>
      </c>
      <c r="AG11" s="163">
        <v>88.845603942871094</v>
      </c>
      <c r="AH11" s="164">
        <v>99.503990173339844</v>
      </c>
    </row>
    <row r="12" spans="2:34" s="157" customFormat="1" ht="24" customHeight="1" x14ac:dyDescent="0.25">
      <c r="B12" s="406"/>
      <c r="C12" s="158">
        <v>1599.9999999997606</v>
      </c>
      <c r="D12" s="162">
        <v>-215.27494812011719</v>
      </c>
      <c r="E12" s="163">
        <v>-204.34858703613281</v>
      </c>
      <c r="F12" s="163">
        <v>-193.431640625</v>
      </c>
      <c r="G12" s="163">
        <v>-182.52406311035156</v>
      </c>
      <c r="H12" s="163">
        <v>-171.62586975097656</v>
      </c>
      <c r="I12" s="163">
        <v>-160.73703002929687</v>
      </c>
      <c r="J12" s="163">
        <v>-149.8575439453125</v>
      </c>
      <c r="K12" s="163">
        <v>-138.98739624023437</v>
      </c>
      <c r="L12" s="163">
        <v>-128.12657165527344</v>
      </c>
      <c r="M12" s="163">
        <v>-117.27507781982422</v>
      </c>
      <c r="N12" s="163">
        <v>-106.43287658691406</v>
      </c>
      <c r="O12" s="163">
        <v>-95.5999755859375</v>
      </c>
      <c r="P12" s="163">
        <v>-84.776359558105469</v>
      </c>
      <c r="Q12" s="163">
        <v>-73.962013244628906</v>
      </c>
      <c r="R12" s="163">
        <v>-63.156932830810547</v>
      </c>
      <c r="S12" s="163">
        <v>-52.361099243164063</v>
      </c>
      <c r="T12" s="163">
        <v>-41.574508666992188</v>
      </c>
      <c r="U12" s="163">
        <v>-30.797142028808594</v>
      </c>
      <c r="V12" s="163">
        <v>-20.028995513916016</v>
      </c>
      <c r="W12" s="163">
        <v>-9.2700557708740234</v>
      </c>
      <c r="X12" s="163">
        <v>1.4796890020370483</v>
      </c>
      <c r="Y12" s="163">
        <v>12.220249176025391</v>
      </c>
      <c r="Z12" s="163">
        <v>22.951635360717773</v>
      </c>
      <c r="AA12" s="163">
        <v>33.673858642578125</v>
      </c>
      <c r="AB12" s="163">
        <v>44.386928558349609</v>
      </c>
      <c r="AC12" s="163">
        <v>55.090858459472656</v>
      </c>
      <c r="AD12" s="163">
        <v>65.785659790039063</v>
      </c>
      <c r="AE12" s="163">
        <v>76.471343994140625</v>
      </c>
      <c r="AF12" s="163">
        <v>87.147911071777344</v>
      </c>
      <c r="AG12" s="163">
        <v>97.815391540527344</v>
      </c>
      <c r="AH12" s="164">
        <v>108.47377777099609</v>
      </c>
    </row>
    <row r="13" spans="2:34" s="157" customFormat="1" ht="24" customHeight="1" x14ac:dyDescent="0.25">
      <c r="B13" s="406"/>
      <c r="C13" s="158">
        <v>1533.3333333330606</v>
      </c>
      <c r="D13" s="162">
        <v>-206.30516052246094</v>
      </c>
      <c r="E13" s="163">
        <v>-195.37881469726562</v>
      </c>
      <c r="F13" s="163">
        <v>-184.46185302734375</v>
      </c>
      <c r="G13" s="163">
        <v>-173.55427551269531</v>
      </c>
      <c r="H13" s="163">
        <v>-162.65608215332031</v>
      </c>
      <c r="I13" s="163">
        <v>-151.76724243164062</v>
      </c>
      <c r="J13" s="163">
        <v>-140.88775634765625</v>
      </c>
      <c r="K13" s="163">
        <v>-130.01760864257812</v>
      </c>
      <c r="L13" s="163">
        <v>-119.15679168701172</v>
      </c>
      <c r="M13" s="163">
        <v>-108.30529022216797</v>
      </c>
      <c r="N13" s="163">
        <v>-97.463096618652344</v>
      </c>
      <c r="O13" s="163">
        <v>-86.630195617675781</v>
      </c>
      <c r="P13" s="163">
        <v>-75.80657958984375</v>
      </c>
      <c r="Q13" s="163">
        <v>-64.992233276367188</v>
      </c>
      <c r="R13" s="163">
        <v>-54.187149047851563</v>
      </c>
      <c r="S13" s="163">
        <v>-43.391315460205078</v>
      </c>
      <c r="T13" s="163">
        <v>-32.604724884033203</v>
      </c>
      <c r="U13" s="163">
        <v>-21.827358245849609</v>
      </c>
      <c r="V13" s="163">
        <v>-11.059211730957031</v>
      </c>
      <c r="W13" s="163">
        <v>-0.30027168989181519</v>
      </c>
      <c r="X13" s="163">
        <v>10.44947338104248</v>
      </c>
      <c r="Y13" s="163">
        <v>21.190032958984375</v>
      </c>
      <c r="Z13" s="163">
        <v>31.921419143676758</v>
      </c>
      <c r="AA13" s="163">
        <v>42.643642425537109</v>
      </c>
      <c r="AB13" s="163">
        <v>53.356712341308594</v>
      </c>
      <c r="AC13" s="163">
        <v>64.060646057128906</v>
      </c>
      <c r="AD13" s="163">
        <v>74.755447387695313</v>
      </c>
      <c r="AE13" s="163">
        <v>85.441123962402344</v>
      </c>
      <c r="AF13" s="163">
        <v>96.117698669433594</v>
      </c>
      <c r="AG13" s="163">
        <v>106.78517150878906</v>
      </c>
      <c r="AH13" s="164">
        <v>117.44355773925781</v>
      </c>
    </row>
    <row r="14" spans="2:34" s="157" customFormat="1" ht="24" customHeight="1" x14ac:dyDescent="0.25">
      <c r="B14" s="406"/>
      <c r="C14" s="158">
        <v>1466.6666666663607</v>
      </c>
      <c r="D14" s="162">
        <v>-197.33535766601562</v>
      </c>
      <c r="E14" s="163">
        <v>-186.40901184082031</v>
      </c>
      <c r="F14" s="163">
        <v>-175.49205017089844</v>
      </c>
      <c r="G14" s="163">
        <v>-164.58448791503906</v>
      </c>
      <c r="H14" s="163">
        <v>-153.686279296875</v>
      </c>
      <c r="I14" s="163">
        <v>-142.79743957519531</v>
      </c>
      <c r="J14" s="163">
        <v>-131.91795349121094</v>
      </c>
      <c r="K14" s="163">
        <v>-121.04781341552734</v>
      </c>
      <c r="L14" s="163">
        <v>-110.18699645996094</v>
      </c>
      <c r="M14" s="163">
        <v>-99.335487365722656</v>
      </c>
      <c r="N14" s="163">
        <v>-88.493293762207031</v>
      </c>
      <c r="O14" s="163">
        <v>-77.660392761230469</v>
      </c>
      <c r="P14" s="163">
        <v>-66.836776733398438</v>
      </c>
      <c r="Q14" s="163">
        <v>-56.022430419921875</v>
      </c>
      <c r="R14" s="163">
        <v>-45.217350006103516</v>
      </c>
      <c r="S14" s="163">
        <v>-34.421516418457031</v>
      </c>
      <c r="T14" s="163">
        <v>-23.634922027587891</v>
      </c>
      <c r="U14" s="163">
        <v>-12.857558250427246</v>
      </c>
      <c r="V14" s="163">
        <v>-2.0894114971160889</v>
      </c>
      <c r="W14" s="163">
        <v>8.6695289611816406</v>
      </c>
      <c r="X14" s="163">
        <v>19.419273376464844</v>
      </c>
      <c r="Y14" s="163">
        <v>30.159833908081055</v>
      </c>
      <c r="Z14" s="163">
        <v>40.891220092773437</v>
      </c>
      <c r="AA14" s="163">
        <v>51.613441467285156</v>
      </c>
      <c r="AB14" s="163">
        <v>62.326515197753906</v>
      </c>
      <c r="AC14" s="163">
        <v>73.030441284179688</v>
      </c>
      <c r="AD14" s="163">
        <v>83.725242614746094</v>
      </c>
      <c r="AE14" s="163">
        <v>94.410926818847656</v>
      </c>
      <c r="AF14" s="163">
        <v>105.08750152587891</v>
      </c>
      <c r="AG14" s="163">
        <v>115.75497436523437</v>
      </c>
      <c r="AH14" s="164">
        <v>126.41336059570312</v>
      </c>
    </row>
    <row r="15" spans="2:34" s="157" customFormat="1" ht="24" customHeight="1" x14ac:dyDescent="0.25">
      <c r="B15" s="406"/>
      <c r="C15" s="158">
        <v>1399.9999999996608</v>
      </c>
      <c r="D15" s="162">
        <v>-188.36557006835937</v>
      </c>
      <c r="E15" s="163">
        <v>-177.43922424316406</v>
      </c>
      <c r="F15" s="163">
        <v>-166.52226257324219</v>
      </c>
      <c r="G15" s="163">
        <v>-155.61470031738281</v>
      </c>
      <c r="H15" s="163">
        <v>-144.71649169921875</v>
      </c>
      <c r="I15" s="163">
        <v>-133.82766723632812</v>
      </c>
      <c r="J15" s="163">
        <v>-122.94817352294922</v>
      </c>
      <c r="K15" s="163">
        <v>-112.07802581787109</v>
      </c>
      <c r="L15" s="163">
        <v>-101.21720886230469</v>
      </c>
      <c r="M15" s="163">
        <v>-90.365707397460938</v>
      </c>
      <c r="N15" s="163">
        <v>-79.523513793945313</v>
      </c>
      <c r="O15" s="163">
        <v>-68.69061279296875</v>
      </c>
      <c r="P15" s="163">
        <v>-57.866992950439453</v>
      </c>
      <c r="Q15" s="163">
        <v>-47.052646636962891</v>
      </c>
      <c r="R15" s="163">
        <v>-36.247562408447266</v>
      </c>
      <c r="S15" s="163">
        <v>-25.451732635498047</v>
      </c>
      <c r="T15" s="163">
        <v>-14.665139198303223</v>
      </c>
      <c r="U15" s="163">
        <v>-3.8877744674682617</v>
      </c>
      <c r="V15" s="163">
        <v>6.8803725242614746</v>
      </c>
      <c r="W15" s="163">
        <v>17.639312744140625</v>
      </c>
      <c r="X15" s="163">
        <v>28.389057159423828</v>
      </c>
      <c r="Y15" s="163">
        <v>39.129615783691406</v>
      </c>
      <c r="Z15" s="163">
        <v>49.861003875732422</v>
      </c>
      <c r="AA15" s="163">
        <v>60.583225250244141</v>
      </c>
      <c r="AB15" s="163">
        <v>71.296295166015625</v>
      </c>
      <c r="AC15" s="163">
        <v>82.000228881835938</v>
      </c>
      <c r="AD15" s="163">
        <v>92.695030212402344</v>
      </c>
      <c r="AE15" s="163">
        <v>103.38070678710937</v>
      </c>
      <c r="AF15" s="163">
        <v>114.05728149414062</v>
      </c>
      <c r="AG15" s="163">
        <v>124.72475433349609</v>
      </c>
      <c r="AH15" s="164">
        <v>135.38314819335937</v>
      </c>
    </row>
    <row r="16" spans="2:34" s="157" customFormat="1" ht="24" customHeight="1" x14ac:dyDescent="0.25">
      <c r="B16" s="406"/>
      <c r="C16" s="158">
        <v>1333.3333333329608</v>
      </c>
      <c r="D16" s="162">
        <v>-179.39579772949219</v>
      </c>
      <c r="E16" s="163">
        <v>-168.46943664550781</v>
      </c>
      <c r="F16" s="163">
        <v>-157.552490234375</v>
      </c>
      <c r="G16" s="163">
        <v>-146.64491271972656</v>
      </c>
      <c r="H16" s="163">
        <v>-135.74671936035156</v>
      </c>
      <c r="I16" s="163">
        <v>-124.85787963867187</v>
      </c>
      <c r="J16" s="163">
        <v>-113.9783935546875</v>
      </c>
      <c r="K16" s="163">
        <v>-103.10824584960937</v>
      </c>
      <c r="L16" s="163">
        <v>-92.247421264648438</v>
      </c>
      <c r="M16" s="163">
        <v>-81.395919799804687</v>
      </c>
      <c r="N16" s="163">
        <v>-70.553726196289063</v>
      </c>
      <c r="O16" s="163">
        <v>-59.7208251953125</v>
      </c>
      <c r="P16" s="163">
        <v>-48.897209167480469</v>
      </c>
      <c r="Q16" s="163">
        <v>-38.082862854003906</v>
      </c>
      <c r="R16" s="163">
        <v>-27.277780532836914</v>
      </c>
      <c r="S16" s="163">
        <v>-16.48194694519043</v>
      </c>
      <c r="T16" s="163">
        <v>-5.6953549385070801</v>
      </c>
      <c r="U16" s="163">
        <v>5.0820093154907227</v>
      </c>
      <c r="V16" s="163">
        <v>15.850155830383301</v>
      </c>
      <c r="W16" s="163">
        <v>26.609096527099609</v>
      </c>
      <c r="X16" s="163">
        <v>37.358840942382813</v>
      </c>
      <c r="Y16" s="163">
        <v>48.099399566650391</v>
      </c>
      <c r="Z16" s="163">
        <v>58.830787658691406</v>
      </c>
      <c r="AA16" s="163">
        <v>69.553009033203125</v>
      </c>
      <c r="AB16" s="163">
        <v>80.266082763671875</v>
      </c>
      <c r="AC16" s="163">
        <v>90.970008850097656</v>
      </c>
      <c r="AD16" s="163">
        <v>101.66481018066406</v>
      </c>
      <c r="AE16" s="163">
        <v>112.35049438476562</v>
      </c>
      <c r="AF16" s="163">
        <v>123.02706909179687</v>
      </c>
      <c r="AG16" s="163">
        <v>133.69453430175781</v>
      </c>
      <c r="AH16" s="164">
        <v>144.35293579101562</v>
      </c>
    </row>
    <row r="17" spans="1:34" s="157" customFormat="1" ht="24" customHeight="1" x14ac:dyDescent="0.25">
      <c r="B17" s="406"/>
      <c r="C17" s="158">
        <v>1266.6666666662609</v>
      </c>
      <c r="D17" s="162">
        <v>-170.42599487304687</v>
      </c>
      <c r="E17" s="163">
        <v>-159.4996337890625</v>
      </c>
      <c r="F17" s="163">
        <v>-148.58268737792969</v>
      </c>
      <c r="G17" s="163">
        <v>-137.67510986328125</v>
      </c>
      <c r="H17" s="163">
        <v>-126.77691650390625</v>
      </c>
      <c r="I17" s="163">
        <v>-115.88807678222656</v>
      </c>
      <c r="J17" s="163">
        <v>-105.00859069824219</v>
      </c>
      <c r="K17" s="163">
        <v>-94.138442993164062</v>
      </c>
      <c r="L17" s="163">
        <v>-83.277626037597656</v>
      </c>
      <c r="M17" s="163">
        <v>-72.426124572753906</v>
      </c>
      <c r="N17" s="163">
        <v>-61.583927154541016</v>
      </c>
      <c r="O17" s="163">
        <v>-50.751026153564453</v>
      </c>
      <c r="P17" s="163">
        <v>-39.927406311035156</v>
      </c>
      <c r="Q17" s="163">
        <v>-29.113063812255859</v>
      </c>
      <c r="R17" s="163">
        <v>-18.307979583740234</v>
      </c>
      <c r="S17" s="163">
        <v>-7.5121474266052246</v>
      </c>
      <c r="T17" s="163">
        <v>3.2744452953338623</v>
      </c>
      <c r="U17" s="163">
        <v>14.051809310913086</v>
      </c>
      <c r="V17" s="163">
        <v>24.819955825805664</v>
      </c>
      <c r="W17" s="163">
        <v>35.578895568847656</v>
      </c>
      <c r="X17" s="163">
        <v>46.328639984130859</v>
      </c>
      <c r="Y17" s="163">
        <v>57.069202423095703</v>
      </c>
      <c r="Z17" s="163">
        <v>67.800590515136719</v>
      </c>
      <c r="AA17" s="163">
        <v>78.522811889648437</v>
      </c>
      <c r="AB17" s="163">
        <v>89.235885620117187</v>
      </c>
      <c r="AC17" s="163">
        <v>99.939811706542969</v>
      </c>
      <c r="AD17" s="163">
        <v>110.63461303710937</v>
      </c>
      <c r="AE17" s="163">
        <v>121.32029724121094</v>
      </c>
      <c r="AF17" s="163">
        <v>131.99687194824219</v>
      </c>
      <c r="AG17" s="163">
        <v>142.66433715820312</v>
      </c>
      <c r="AH17" s="164">
        <v>153.32272338867187</v>
      </c>
    </row>
    <row r="18" spans="1:34" s="157" customFormat="1" ht="24" customHeight="1" x14ac:dyDescent="0.25">
      <c r="B18" s="406"/>
      <c r="C18" s="158">
        <v>1199.9999999995609</v>
      </c>
      <c r="D18" s="162">
        <v>-161.45620727539062</v>
      </c>
      <c r="E18" s="163">
        <v>-150.52986145019531</v>
      </c>
      <c r="F18" s="163">
        <v>-139.61289978027344</v>
      </c>
      <c r="G18" s="163">
        <v>-128.705322265625</v>
      </c>
      <c r="H18" s="163">
        <v>-117.80712890625</v>
      </c>
      <c r="I18" s="163">
        <v>-106.91829681396484</v>
      </c>
      <c r="J18" s="163">
        <v>-96.038810729980469</v>
      </c>
      <c r="K18" s="163">
        <v>-85.168663024902344</v>
      </c>
      <c r="L18" s="163">
        <v>-74.307838439941406</v>
      </c>
      <c r="M18" s="163">
        <v>-63.456336975097656</v>
      </c>
      <c r="N18" s="163">
        <v>-52.614143371582031</v>
      </c>
      <c r="O18" s="163">
        <v>-41.781242370605469</v>
      </c>
      <c r="P18" s="163">
        <v>-30.957624435424805</v>
      </c>
      <c r="Q18" s="163">
        <v>-20.143280029296875</v>
      </c>
      <c r="R18" s="163">
        <v>-9.33819580078125</v>
      </c>
      <c r="S18" s="163">
        <v>1.4576363563537598</v>
      </c>
      <c r="T18" s="163">
        <v>12.244229316711426</v>
      </c>
      <c r="U18" s="163">
        <v>23.02159309387207</v>
      </c>
      <c r="V18" s="163">
        <v>33.789741516113281</v>
      </c>
      <c r="W18" s="163">
        <v>44.548679351806641</v>
      </c>
      <c r="X18" s="163">
        <v>55.298423767089844</v>
      </c>
      <c r="Y18" s="163">
        <v>66.038986206054688</v>
      </c>
      <c r="Z18" s="163">
        <v>76.770370483398438</v>
      </c>
      <c r="AA18" s="163">
        <v>87.492591857910156</v>
      </c>
      <c r="AB18" s="163">
        <v>98.205665588378906</v>
      </c>
      <c r="AC18" s="163">
        <v>108.90959930419922</v>
      </c>
      <c r="AD18" s="163">
        <v>119.60440063476562</v>
      </c>
      <c r="AE18" s="163">
        <v>130.29008483886719</v>
      </c>
      <c r="AF18" s="163">
        <v>140.96664428710937</v>
      </c>
      <c r="AG18" s="163">
        <v>151.63412475585937</v>
      </c>
      <c r="AH18" s="164">
        <v>162.29251098632812</v>
      </c>
    </row>
    <row r="19" spans="1:34" s="157" customFormat="1" ht="24" customHeight="1" x14ac:dyDescent="0.25">
      <c r="B19" s="406"/>
      <c r="C19" s="158">
        <v>1133.333333332861</v>
      </c>
      <c r="D19" s="162">
        <v>-152.48641967773437</v>
      </c>
      <c r="E19" s="163">
        <v>-141.56007385253906</v>
      </c>
      <c r="F19" s="163">
        <v>-130.64311218261719</v>
      </c>
      <c r="G19" s="163">
        <v>-119.73554229736328</v>
      </c>
      <c r="H19" s="163">
        <v>-108.83734893798828</v>
      </c>
      <c r="I19" s="163">
        <v>-97.948509216308594</v>
      </c>
      <c r="J19" s="163">
        <v>-87.069023132324219</v>
      </c>
      <c r="K19" s="163">
        <v>-76.198875427246094</v>
      </c>
      <c r="L19" s="163">
        <v>-65.338058471679688</v>
      </c>
      <c r="M19" s="163">
        <v>-54.486553192138672</v>
      </c>
      <c r="N19" s="163">
        <v>-43.644359588623047</v>
      </c>
      <c r="O19" s="163">
        <v>-32.811458587646484</v>
      </c>
      <c r="P19" s="163">
        <v>-21.98784065246582</v>
      </c>
      <c r="Q19" s="163">
        <v>-11.173495292663574</v>
      </c>
      <c r="R19" s="163">
        <v>-0.36841225624084473</v>
      </c>
      <c r="S19" s="163">
        <v>10.427420616149902</v>
      </c>
      <c r="T19" s="163">
        <v>21.214014053344727</v>
      </c>
      <c r="U19" s="163">
        <v>31.991376876831055</v>
      </c>
      <c r="V19" s="163">
        <v>42.759525299072266</v>
      </c>
      <c r="W19" s="163">
        <v>53.518463134765625</v>
      </c>
      <c r="X19" s="163">
        <v>64.268211364746094</v>
      </c>
      <c r="Y19" s="163">
        <v>75.008766174316406</v>
      </c>
      <c r="Z19" s="163">
        <v>85.740158081054688</v>
      </c>
      <c r="AA19" s="163">
        <v>96.462379455566406</v>
      </c>
      <c r="AB19" s="163">
        <v>107.17545318603516</v>
      </c>
      <c r="AC19" s="163">
        <v>117.87937927246094</v>
      </c>
      <c r="AD19" s="163">
        <v>128.57418823242187</v>
      </c>
      <c r="AE19" s="163">
        <v>139.25985717773437</v>
      </c>
      <c r="AF19" s="163">
        <v>149.93643188476562</v>
      </c>
      <c r="AG19" s="163">
        <v>160.60391235351562</v>
      </c>
      <c r="AH19" s="164">
        <v>171.26229858398437</v>
      </c>
    </row>
    <row r="20" spans="1:34" s="157" customFormat="1" ht="24" customHeight="1" x14ac:dyDescent="0.25">
      <c r="B20" s="406"/>
      <c r="C20" s="158">
        <v>1066.6666666661611</v>
      </c>
      <c r="D20" s="162">
        <v>-143.51663208007812</v>
      </c>
      <c r="E20" s="163">
        <v>-132.59027099609375</v>
      </c>
      <c r="F20" s="163">
        <v>-121.67331695556641</v>
      </c>
      <c r="G20" s="163">
        <v>-110.7657470703125</v>
      </c>
      <c r="H20" s="163">
        <v>-99.867546081542969</v>
      </c>
      <c r="I20" s="163">
        <v>-88.978706359863281</v>
      </c>
      <c r="J20" s="163">
        <v>-78.099220275878906</v>
      </c>
      <c r="K20" s="163">
        <v>-67.229072570800781</v>
      </c>
      <c r="L20" s="163">
        <v>-56.368255615234375</v>
      </c>
      <c r="M20" s="163">
        <v>-45.516754150390625</v>
      </c>
      <c r="N20" s="163">
        <v>-34.674556732177734</v>
      </c>
      <c r="O20" s="163">
        <v>-23.841657638549805</v>
      </c>
      <c r="P20" s="163">
        <v>-13.018039703369141</v>
      </c>
      <c r="Q20" s="163">
        <v>-2.2036950588226318</v>
      </c>
      <c r="R20" s="163">
        <v>8.6013879776000977</v>
      </c>
      <c r="S20" s="163">
        <v>19.397220611572266</v>
      </c>
      <c r="T20" s="163">
        <v>30.183813095092773</v>
      </c>
      <c r="U20" s="163">
        <v>40.961177825927734</v>
      </c>
      <c r="V20" s="163">
        <v>51.729324340820312</v>
      </c>
      <c r="W20" s="163">
        <v>62.488265991210938</v>
      </c>
      <c r="X20" s="163">
        <v>73.238006591796875</v>
      </c>
      <c r="Y20" s="163">
        <v>83.978569030761719</v>
      </c>
      <c r="Z20" s="163">
        <v>94.709953308105469</v>
      </c>
      <c r="AA20" s="163">
        <v>105.43218231201172</v>
      </c>
      <c r="AB20" s="163">
        <v>116.14524841308594</v>
      </c>
      <c r="AC20" s="163">
        <v>126.84918212890625</v>
      </c>
      <c r="AD20" s="163">
        <v>137.54397583007812</v>
      </c>
      <c r="AE20" s="163">
        <v>148.22966003417969</v>
      </c>
      <c r="AF20" s="163">
        <v>158.90623474121094</v>
      </c>
      <c r="AG20" s="163">
        <v>169.57371520996094</v>
      </c>
      <c r="AH20" s="164">
        <v>180.23210144042969</v>
      </c>
    </row>
    <row r="21" spans="1:34" s="157" customFormat="1" ht="24" customHeight="1" x14ac:dyDescent="0.25">
      <c r="B21" s="406"/>
      <c r="C21" s="158">
        <v>999.99999999946112</v>
      </c>
      <c r="D21" s="162">
        <v>-134.54684448242187</v>
      </c>
      <c r="E21" s="163">
        <v>-123.62049102783203</v>
      </c>
      <c r="F21" s="163">
        <v>-112.70353698730469</v>
      </c>
      <c r="G21" s="163">
        <v>-101.79595947265625</v>
      </c>
      <c r="H21" s="163">
        <v>-90.89776611328125</v>
      </c>
      <c r="I21" s="163">
        <v>-80.008926391601563</v>
      </c>
      <c r="J21" s="163">
        <v>-69.129440307617188</v>
      </c>
      <c r="K21" s="163">
        <v>-58.259292602539063</v>
      </c>
      <c r="L21" s="163">
        <v>-47.398471832275391</v>
      </c>
      <c r="M21" s="163">
        <v>-36.546970367431641</v>
      </c>
      <c r="N21" s="163">
        <v>-25.704774856567383</v>
      </c>
      <c r="O21" s="163">
        <v>-14.871872901916504</v>
      </c>
      <c r="P21" s="163">
        <v>-4.0482559204101563</v>
      </c>
      <c r="Q21" s="163">
        <v>6.7660889625549316</v>
      </c>
      <c r="R21" s="163">
        <v>17.571172714233398</v>
      </c>
      <c r="S21" s="163">
        <v>28.36700439453125</v>
      </c>
      <c r="T21" s="163">
        <v>39.153598785400391</v>
      </c>
      <c r="U21" s="163">
        <v>49.930961608886719</v>
      </c>
      <c r="V21" s="163">
        <v>60.699108123779297</v>
      </c>
      <c r="W21" s="163">
        <v>71.458045959472656</v>
      </c>
      <c r="X21" s="163">
        <v>82.207794189453125</v>
      </c>
      <c r="Y21" s="163">
        <v>92.948356628417969</v>
      </c>
      <c r="Z21" s="163">
        <v>103.67974090576172</v>
      </c>
      <c r="AA21" s="163">
        <v>114.40196228027344</v>
      </c>
      <c r="AB21" s="163">
        <v>125.11503601074219</v>
      </c>
      <c r="AC21" s="163">
        <v>135.8189697265625</v>
      </c>
      <c r="AD21" s="163">
        <v>146.51376342773437</v>
      </c>
      <c r="AE21" s="163">
        <v>157.19944763183594</v>
      </c>
      <c r="AF21" s="163">
        <v>167.87602233886719</v>
      </c>
      <c r="AG21" s="163">
        <v>178.54348754882812</v>
      </c>
      <c r="AH21" s="164">
        <v>189.20187377929687</v>
      </c>
    </row>
    <row r="22" spans="1:34" s="157" customFormat="1" ht="24" customHeight="1" x14ac:dyDescent="0.25">
      <c r="B22" s="406"/>
      <c r="C22" s="158">
        <v>933.33333333276119</v>
      </c>
      <c r="D22" s="162">
        <v>-125.57704925537109</v>
      </c>
      <c r="E22" s="163">
        <v>-114.65069580078125</v>
      </c>
      <c r="F22" s="163">
        <v>-103.73374176025391</v>
      </c>
      <c r="G22" s="163">
        <v>-92.826171875</v>
      </c>
      <c r="H22" s="163">
        <v>-81.927970886230469</v>
      </c>
      <c r="I22" s="163">
        <v>-71.039131164550781</v>
      </c>
      <c r="J22" s="163">
        <v>-60.159645080566406</v>
      </c>
      <c r="K22" s="163">
        <v>-49.289501190185547</v>
      </c>
      <c r="L22" s="163">
        <v>-38.428680419921875</v>
      </c>
      <c r="M22" s="163">
        <v>-27.577178955078125</v>
      </c>
      <c r="N22" s="163">
        <v>-16.734981536865234</v>
      </c>
      <c r="O22" s="163">
        <v>-5.9020810127258301</v>
      </c>
      <c r="P22" s="163">
        <v>4.9215364456176758</v>
      </c>
      <c r="Q22" s="163">
        <v>15.735880851745605</v>
      </c>
      <c r="R22" s="163">
        <v>26.540964126586914</v>
      </c>
      <c r="S22" s="163">
        <v>37.336795806884766</v>
      </c>
      <c r="T22" s="163">
        <v>48.123390197753906</v>
      </c>
      <c r="U22" s="163">
        <v>58.900753021240234</v>
      </c>
      <c r="V22" s="163">
        <v>69.668899536132813</v>
      </c>
      <c r="W22" s="163">
        <v>80.427841186523437</v>
      </c>
      <c r="X22" s="163">
        <v>91.177581787109375</v>
      </c>
      <c r="Y22" s="163">
        <v>101.91814422607422</v>
      </c>
      <c r="Z22" s="163">
        <v>112.64952850341797</v>
      </c>
      <c r="AA22" s="163">
        <v>123.37175750732422</v>
      </c>
      <c r="AB22" s="163">
        <v>134.08482360839844</v>
      </c>
      <c r="AC22" s="163">
        <v>144.78875732421875</v>
      </c>
      <c r="AD22" s="163">
        <v>155.48355102539062</v>
      </c>
      <c r="AE22" s="163">
        <v>166.16923522949219</v>
      </c>
      <c r="AF22" s="163">
        <v>176.84580993652344</v>
      </c>
      <c r="AG22" s="163">
        <v>187.51329040527344</v>
      </c>
      <c r="AH22" s="164">
        <v>198.17167663574219</v>
      </c>
    </row>
    <row r="23" spans="1:34" s="157" customFormat="1" ht="24" customHeight="1" x14ac:dyDescent="0.25">
      <c r="B23" s="406"/>
      <c r="C23" s="158">
        <v>866.66666666606125</v>
      </c>
      <c r="D23" s="162">
        <v>-116.60726165771484</v>
      </c>
      <c r="E23" s="163">
        <v>-105.68091583251953</v>
      </c>
      <c r="F23" s="163">
        <v>-94.763954162597656</v>
      </c>
      <c r="G23" s="163">
        <v>-83.85638427734375</v>
      </c>
      <c r="H23" s="163">
        <v>-72.958183288574219</v>
      </c>
      <c r="I23" s="163">
        <v>-62.069351196289063</v>
      </c>
      <c r="J23" s="163">
        <v>-51.189861297607422</v>
      </c>
      <c r="K23" s="163">
        <v>-40.319717407226563</v>
      </c>
      <c r="L23" s="163">
        <v>-29.458896636962891</v>
      </c>
      <c r="M23" s="163">
        <v>-18.607395172119141</v>
      </c>
      <c r="N23" s="163">
        <v>-7.7651982307434082</v>
      </c>
      <c r="O23" s="163">
        <v>3.0677027702331543</v>
      </c>
      <c r="P23" s="163">
        <v>13.89132022857666</v>
      </c>
      <c r="Q23" s="163">
        <v>24.705665588378906</v>
      </c>
      <c r="R23" s="163">
        <v>35.510749816894531</v>
      </c>
      <c r="S23" s="163">
        <v>46.30657958984375</v>
      </c>
      <c r="T23" s="163">
        <v>57.093173980712891</v>
      </c>
      <c r="U23" s="163">
        <v>67.870536804199219</v>
      </c>
      <c r="V23" s="163">
        <v>78.638687133789063</v>
      </c>
      <c r="W23" s="163">
        <v>89.397621154785156</v>
      </c>
      <c r="X23" s="163">
        <v>100.14736938476562</v>
      </c>
      <c r="Y23" s="163">
        <v>110.88793182373047</v>
      </c>
      <c r="Z23" s="163">
        <v>121.61931610107422</v>
      </c>
      <c r="AA23" s="163">
        <v>132.34153747558594</v>
      </c>
      <c r="AB23" s="163">
        <v>143.05461120605469</v>
      </c>
      <c r="AC23" s="163">
        <v>153.758544921875</v>
      </c>
      <c r="AD23" s="163">
        <v>164.45333862304688</v>
      </c>
      <c r="AE23" s="163">
        <v>175.13902282714844</v>
      </c>
      <c r="AF23" s="163">
        <v>185.81559753417969</v>
      </c>
      <c r="AG23" s="163">
        <v>196.48306274414062</v>
      </c>
      <c r="AH23" s="164">
        <v>207.14146423339844</v>
      </c>
    </row>
    <row r="24" spans="1:34" s="157" customFormat="1" ht="24" customHeight="1" x14ac:dyDescent="0.25">
      <c r="B24" s="406"/>
      <c r="C24" s="158">
        <v>799.99999999936131</v>
      </c>
      <c r="D24" s="162">
        <v>-107.63747406005859</v>
      </c>
      <c r="E24" s="163">
        <v>-96.71112060546875</v>
      </c>
      <c r="F24" s="163">
        <v>-85.794166564941406</v>
      </c>
      <c r="G24" s="163">
        <v>-74.8865966796875</v>
      </c>
      <c r="H24" s="163">
        <v>-63.988395690917969</v>
      </c>
      <c r="I24" s="163">
        <v>-53.099555969238281</v>
      </c>
      <c r="J24" s="163">
        <v>-42.220069885253906</v>
      </c>
      <c r="K24" s="163">
        <v>-31.349924087524414</v>
      </c>
      <c r="L24" s="163">
        <v>-20.489105224609375</v>
      </c>
      <c r="M24" s="163">
        <v>-9.6376028060913086</v>
      </c>
      <c r="N24" s="163">
        <v>1.2045936584472656</v>
      </c>
      <c r="O24" s="163">
        <v>12.037494659423828</v>
      </c>
      <c r="P24" s="163">
        <v>22.861112594604492</v>
      </c>
      <c r="Q24" s="163">
        <v>33.675457000732422</v>
      </c>
      <c r="R24" s="163">
        <v>44.480541229248047</v>
      </c>
      <c r="S24" s="163">
        <v>55.276371002197266</v>
      </c>
      <c r="T24" s="163">
        <v>66.062965393066406</v>
      </c>
      <c r="U24" s="163">
        <v>76.84033203125</v>
      </c>
      <c r="V24" s="163">
        <v>87.608474731445313</v>
      </c>
      <c r="W24" s="163">
        <v>98.367416381835938</v>
      </c>
      <c r="X24" s="163">
        <v>109.11716461181641</v>
      </c>
      <c r="Y24" s="163">
        <v>119.85771942138672</v>
      </c>
      <c r="Z24" s="163">
        <v>130.589111328125</v>
      </c>
      <c r="AA24" s="163">
        <v>141.31132507324219</v>
      </c>
      <c r="AB24" s="163">
        <v>152.02439880371094</v>
      </c>
      <c r="AC24" s="163">
        <v>162.72833251953125</v>
      </c>
      <c r="AD24" s="163">
        <v>173.42312622070312</v>
      </c>
      <c r="AE24" s="163">
        <v>184.10881042480469</v>
      </c>
      <c r="AF24" s="163">
        <v>194.78538513183594</v>
      </c>
      <c r="AG24" s="163">
        <v>205.45286560058594</v>
      </c>
      <c r="AH24" s="164">
        <v>216.11125183105469</v>
      </c>
    </row>
    <row r="25" spans="1:34" s="157" customFormat="1" ht="24" customHeight="1" x14ac:dyDescent="0.25">
      <c r="B25" s="406"/>
      <c r="C25" s="158">
        <v>733.33333333266137</v>
      </c>
      <c r="D25" s="162">
        <v>-98.667678833007813</v>
      </c>
      <c r="E25" s="163">
        <v>-87.741325378417969</v>
      </c>
      <c r="F25" s="163">
        <v>-76.824371337890625</v>
      </c>
      <c r="G25" s="163">
        <v>-65.916801452636719</v>
      </c>
      <c r="H25" s="163">
        <v>-55.018604278564453</v>
      </c>
      <c r="I25" s="163">
        <v>-44.129764556884766</v>
      </c>
      <c r="J25" s="163">
        <v>-33.250278472900391</v>
      </c>
      <c r="K25" s="163">
        <v>-22.380130767822266</v>
      </c>
      <c r="L25" s="163">
        <v>-11.519311904907227</v>
      </c>
      <c r="M25" s="163">
        <v>-0.66781026124954224</v>
      </c>
      <c r="N25" s="163">
        <v>10.174386024475098</v>
      </c>
      <c r="O25" s="163">
        <v>21.007286071777344</v>
      </c>
      <c r="P25" s="163">
        <v>31.830904006958008</v>
      </c>
      <c r="Q25" s="163">
        <v>42.645248413085938</v>
      </c>
      <c r="R25" s="163">
        <v>53.450332641601563</v>
      </c>
      <c r="S25" s="163">
        <v>64.246162414550781</v>
      </c>
      <c r="T25" s="163">
        <v>75.032760620117188</v>
      </c>
      <c r="U25" s="163">
        <v>85.81011962890625</v>
      </c>
      <c r="V25" s="163">
        <v>96.578269958496094</v>
      </c>
      <c r="W25" s="163">
        <v>107.33721160888672</v>
      </c>
      <c r="X25" s="163">
        <v>118.08695220947266</v>
      </c>
      <c r="Y25" s="163">
        <v>128.8275146484375</v>
      </c>
      <c r="Z25" s="163">
        <v>139.55889892578125</v>
      </c>
      <c r="AA25" s="163">
        <v>150.2811279296875</v>
      </c>
      <c r="AB25" s="163">
        <v>160.99420166015625</v>
      </c>
      <c r="AC25" s="163">
        <v>171.6981201171875</v>
      </c>
      <c r="AD25" s="163">
        <v>182.39292907714844</v>
      </c>
      <c r="AE25" s="163">
        <v>193.07861328125</v>
      </c>
      <c r="AF25" s="163">
        <v>203.75517272949219</v>
      </c>
      <c r="AG25" s="163">
        <v>214.42265319824219</v>
      </c>
      <c r="AH25" s="164">
        <v>225.08103942871094</v>
      </c>
    </row>
    <row r="26" spans="1:34" s="157" customFormat="1" ht="24" customHeight="1" x14ac:dyDescent="0.25">
      <c r="B26" s="406"/>
      <c r="C26" s="158">
        <v>666.66666666596143</v>
      </c>
      <c r="D26" s="162">
        <v>-89.697898864746094</v>
      </c>
      <c r="E26" s="163">
        <v>-78.77154541015625</v>
      </c>
      <c r="F26" s="163">
        <v>-67.854591369628906</v>
      </c>
      <c r="G26" s="163">
        <v>-56.947017669677734</v>
      </c>
      <c r="H26" s="163">
        <v>-46.048816680908203</v>
      </c>
      <c r="I26" s="163">
        <v>-35.159980773925781</v>
      </c>
      <c r="J26" s="163">
        <v>-24.280494689941406</v>
      </c>
      <c r="K26" s="163">
        <v>-13.410346984863281</v>
      </c>
      <c r="L26" s="163">
        <v>-2.5495283603668213</v>
      </c>
      <c r="M26" s="163">
        <v>8.3019733428955078</v>
      </c>
      <c r="N26" s="163">
        <v>19.144168853759766</v>
      </c>
      <c r="O26" s="163">
        <v>29.977071762084961</v>
      </c>
      <c r="P26" s="163">
        <v>40.800689697265625</v>
      </c>
      <c r="Q26" s="163">
        <v>51.615032196044922</v>
      </c>
      <c r="R26" s="163">
        <v>62.420116424560547</v>
      </c>
      <c r="S26" s="163">
        <v>73.215950012207031</v>
      </c>
      <c r="T26" s="163">
        <v>84.002540588378906</v>
      </c>
      <c r="U26" s="163">
        <v>94.7799072265625</v>
      </c>
      <c r="V26" s="163">
        <v>105.54804992675781</v>
      </c>
      <c r="W26" s="163">
        <v>116.30699157714844</v>
      </c>
      <c r="X26" s="163">
        <v>127.05673980712891</v>
      </c>
      <c r="Y26" s="163">
        <v>137.79730224609375</v>
      </c>
      <c r="Z26" s="163">
        <v>148.5286865234375</v>
      </c>
      <c r="AA26" s="163">
        <v>159.25090026855469</v>
      </c>
      <c r="AB26" s="163">
        <v>169.96397399902344</v>
      </c>
      <c r="AC26" s="163">
        <v>180.66790771484375</v>
      </c>
      <c r="AD26" s="163">
        <v>191.36271667480469</v>
      </c>
      <c r="AE26" s="163">
        <v>202.04838562011719</v>
      </c>
      <c r="AF26" s="163">
        <v>212.72496032714844</v>
      </c>
      <c r="AG26" s="163">
        <v>223.39244079589844</v>
      </c>
      <c r="AH26" s="164">
        <v>234.05082702636719</v>
      </c>
    </row>
    <row r="27" spans="1:34" s="168" customFormat="1" ht="24" customHeight="1" x14ac:dyDescent="0.25">
      <c r="A27" s="157"/>
      <c r="B27" s="406"/>
      <c r="C27" s="158">
        <v>599.99999999926149</v>
      </c>
      <c r="D27" s="165">
        <v>-80.728103637695313</v>
      </c>
      <c r="E27" s="166">
        <v>-69.801750183105469</v>
      </c>
      <c r="F27" s="166">
        <v>-58.884796142578125</v>
      </c>
      <c r="G27" s="166">
        <v>-47.977226257324219</v>
      </c>
      <c r="H27" s="166">
        <v>-37.079025268554687</v>
      </c>
      <c r="I27" s="166">
        <v>-26.190189361572266</v>
      </c>
      <c r="J27" s="166">
        <v>-15.310702323913574</v>
      </c>
      <c r="K27" s="166">
        <v>-4.4405550956726074</v>
      </c>
      <c r="L27" s="166">
        <v>6.4202637672424316</v>
      </c>
      <c r="M27" s="166">
        <v>17.271766662597656</v>
      </c>
      <c r="N27" s="166">
        <v>28.113962173461914</v>
      </c>
      <c r="O27" s="166">
        <v>38.946861267089844</v>
      </c>
      <c r="P27" s="166">
        <v>49.770481109619141</v>
      </c>
      <c r="Q27" s="166">
        <v>60.584823608398438</v>
      </c>
      <c r="R27" s="166">
        <v>71.389907836914063</v>
      </c>
      <c r="S27" s="166">
        <v>82.185737609863281</v>
      </c>
      <c r="T27" s="166">
        <v>92.972335815429688</v>
      </c>
      <c r="U27" s="166">
        <v>103.74969482421875</v>
      </c>
      <c r="V27" s="166">
        <v>114.51784515380859</v>
      </c>
      <c r="W27" s="166">
        <v>125.27678680419922</v>
      </c>
      <c r="X27" s="166">
        <v>136.02653503417969</v>
      </c>
      <c r="Y27" s="166">
        <v>146.76708984375</v>
      </c>
      <c r="Z27" s="166">
        <v>157.49847412109375</v>
      </c>
      <c r="AA27" s="166">
        <v>168.220703125</v>
      </c>
      <c r="AB27" s="166">
        <v>178.93377685546875</v>
      </c>
      <c r="AC27" s="166">
        <v>189.6376953125</v>
      </c>
      <c r="AD27" s="166">
        <v>200.33250427246094</v>
      </c>
      <c r="AE27" s="166">
        <v>211.0181884765625</v>
      </c>
      <c r="AF27" s="166">
        <v>221.69474792480469</v>
      </c>
      <c r="AG27" s="166">
        <v>232.36222839355469</v>
      </c>
      <c r="AH27" s="167">
        <v>243.02061462402344</v>
      </c>
    </row>
    <row r="28" spans="1:34" s="157" customFormat="1" ht="24" customHeight="1" x14ac:dyDescent="0.25">
      <c r="B28" s="406"/>
      <c r="C28" s="158">
        <v>533.33333333256155</v>
      </c>
      <c r="D28" s="162">
        <v>-71.758316040039063</v>
      </c>
      <c r="E28" s="163">
        <v>-60.831962585449219</v>
      </c>
      <c r="F28" s="163">
        <v>-49.915004730224609</v>
      </c>
      <c r="G28" s="163">
        <v>-39.007434844970703</v>
      </c>
      <c r="H28" s="163">
        <v>-28.109233856201172</v>
      </c>
      <c r="I28" s="163">
        <v>-17.22039794921875</v>
      </c>
      <c r="J28" s="163">
        <v>-6.3409104347229004</v>
      </c>
      <c r="K28" s="163">
        <v>4.5292367935180664</v>
      </c>
      <c r="L28" s="163">
        <v>15.390055656433105</v>
      </c>
      <c r="M28" s="163">
        <v>26.241558074951172</v>
      </c>
      <c r="N28" s="163">
        <v>37.083755493164063</v>
      </c>
      <c r="O28" s="163">
        <v>47.916656494140625</v>
      </c>
      <c r="P28" s="163">
        <v>58.740272521972656</v>
      </c>
      <c r="Q28" s="163">
        <v>69.554618835449219</v>
      </c>
      <c r="R28" s="163">
        <v>80.359703063964844</v>
      </c>
      <c r="S28" s="163">
        <v>91.155532836914062</v>
      </c>
      <c r="T28" s="163">
        <v>101.94212341308594</v>
      </c>
      <c r="U28" s="163">
        <v>112.71949005126953</v>
      </c>
      <c r="V28" s="163">
        <v>123.48764038085937</v>
      </c>
      <c r="W28" s="163">
        <v>134.24658203125</v>
      </c>
      <c r="X28" s="163">
        <v>144.99632263183594</v>
      </c>
      <c r="Y28" s="163">
        <v>155.73687744140625</v>
      </c>
      <c r="Z28" s="163">
        <v>166.46826171875</v>
      </c>
      <c r="AA28" s="163">
        <v>177.19049072265625</v>
      </c>
      <c r="AB28" s="163">
        <v>187.903564453125</v>
      </c>
      <c r="AC28" s="163">
        <v>198.60749816894531</v>
      </c>
      <c r="AD28" s="163">
        <v>209.30229187011719</v>
      </c>
      <c r="AE28" s="163">
        <v>219.98797607421875</v>
      </c>
      <c r="AF28" s="163">
        <v>230.66455078125</v>
      </c>
      <c r="AG28" s="163">
        <v>241.33201599121094</v>
      </c>
      <c r="AH28" s="164">
        <v>251.99040222167969</v>
      </c>
    </row>
    <row r="29" spans="1:34" s="157" customFormat="1" ht="24" customHeight="1" x14ac:dyDescent="0.25">
      <c r="B29" s="406"/>
      <c r="C29" s="158">
        <v>466.66666666586156</v>
      </c>
      <c r="D29" s="162">
        <v>-62.788524627685547</v>
      </c>
      <c r="E29" s="163">
        <v>-51.862171173095703</v>
      </c>
      <c r="F29" s="163">
        <v>-40.945217132568359</v>
      </c>
      <c r="G29" s="163">
        <v>-30.03764533996582</v>
      </c>
      <c r="H29" s="163">
        <v>-19.139446258544922</v>
      </c>
      <c r="I29" s="163">
        <v>-8.2506093978881836</v>
      </c>
      <c r="J29" s="163">
        <v>2.6288774013519287</v>
      </c>
      <c r="K29" s="163">
        <v>13.499024391174316</v>
      </c>
      <c r="L29" s="163">
        <v>24.359844207763672</v>
      </c>
      <c r="M29" s="163">
        <v>35.211345672607422</v>
      </c>
      <c r="N29" s="163">
        <v>46.053543090820313</v>
      </c>
      <c r="O29" s="163">
        <v>56.886444091796875</v>
      </c>
      <c r="P29" s="163">
        <v>67.710060119628906</v>
      </c>
      <c r="Q29" s="163">
        <v>78.524406433105469</v>
      </c>
      <c r="R29" s="163">
        <v>89.329490661621094</v>
      </c>
      <c r="S29" s="163">
        <v>100.12532043457031</v>
      </c>
      <c r="T29" s="163">
        <v>110.91191101074219</v>
      </c>
      <c r="U29" s="163">
        <v>121.68927764892578</v>
      </c>
      <c r="V29" s="163">
        <v>132.45742797851563</v>
      </c>
      <c r="W29" s="163">
        <v>143.21636962890625</v>
      </c>
      <c r="X29" s="163">
        <v>153.96611022949219</v>
      </c>
      <c r="Y29" s="163">
        <v>164.7066650390625</v>
      </c>
      <c r="Z29" s="163">
        <v>175.43804931640625</v>
      </c>
      <c r="AA29" s="163">
        <v>186.1602783203125</v>
      </c>
      <c r="AB29" s="163">
        <v>196.87335205078125</v>
      </c>
      <c r="AC29" s="163">
        <v>207.57728576660156</v>
      </c>
      <c r="AD29" s="163">
        <v>218.27207946777344</v>
      </c>
      <c r="AE29" s="163">
        <v>228.957763671875</v>
      </c>
      <c r="AF29" s="163">
        <v>239.63433837890625</v>
      </c>
      <c r="AG29" s="163">
        <v>250.30180358886719</v>
      </c>
      <c r="AH29" s="164">
        <v>260.960205078125</v>
      </c>
    </row>
    <row r="30" spans="1:34" s="157" customFormat="1" ht="24" customHeight="1" x14ac:dyDescent="0.25">
      <c r="B30" s="406"/>
      <c r="C30" s="158">
        <v>399.99999999916156</v>
      </c>
      <c r="D30" s="162">
        <v>-53.818737030029297</v>
      </c>
      <c r="E30" s="163">
        <v>-42.892383575439453</v>
      </c>
      <c r="F30" s="163">
        <v>-31.975429534912109</v>
      </c>
      <c r="G30" s="163">
        <v>-21.06785774230957</v>
      </c>
      <c r="H30" s="163">
        <v>-10.169658660888672</v>
      </c>
      <c r="I30" s="163">
        <v>0.71917885541915894</v>
      </c>
      <c r="J30" s="163">
        <v>11.598665237426758</v>
      </c>
      <c r="K30" s="163">
        <v>22.468812942504883</v>
      </c>
      <c r="L30" s="163">
        <v>33.329631805419922</v>
      </c>
      <c r="M30" s="163">
        <v>44.181133270263672</v>
      </c>
      <c r="N30" s="163">
        <v>55.023330688476563</v>
      </c>
      <c r="O30" s="163">
        <v>65.856231689453125</v>
      </c>
      <c r="P30" s="163">
        <v>76.679847717285156</v>
      </c>
      <c r="Q30" s="163">
        <v>87.494194030761719</v>
      </c>
      <c r="R30" s="163">
        <v>98.299278259277344</v>
      </c>
      <c r="S30" s="163">
        <v>109.09510803222656</v>
      </c>
      <c r="T30" s="163">
        <v>119.88169860839844</v>
      </c>
      <c r="U30" s="163">
        <v>130.65907287597656</v>
      </c>
      <c r="V30" s="163">
        <v>141.42721557617187</v>
      </c>
      <c r="W30" s="163">
        <v>152.1861572265625</v>
      </c>
      <c r="X30" s="163">
        <v>162.93589782714844</v>
      </c>
      <c r="Y30" s="163">
        <v>173.67645263671875</v>
      </c>
      <c r="Z30" s="163">
        <v>184.4078369140625</v>
      </c>
      <c r="AA30" s="163">
        <v>195.13006591796875</v>
      </c>
      <c r="AB30" s="163">
        <v>205.8431396484375</v>
      </c>
      <c r="AC30" s="163">
        <v>216.54707336425781</v>
      </c>
      <c r="AD30" s="163">
        <v>227.24186706542969</v>
      </c>
      <c r="AE30" s="163">
        <v>237.92755126953125</v>
      </c>
      <c r="AF30" s="163">
        <v>248.6041259765625</v>
      </c>
      <c r="AG30" s="163">
        <v>259.2716064453125</v>
      </c>
      <c r="AH30" s="164">
        <v>269.92999267578125</v>
      </c>
    </row>
    <row r="31" spans="1:34" s="157" customFormat="1" ht="24" customHeight="1" x14ac:dyDescent="0.25">
      <c r="B31" s="406"/>
      <c r="C31" s="158">
        <v>333.33333333246156</v>
      </c>
      <c r="D31" s="162">
        <v>-44.848949432373047</v>
      </c>
      <c r="E31" s="163">
        <v>-33.922595977783203</v>
      </c>
      <c r="F31" s="163">
        <v>-23.005641937255859</v>
      </c>
      <c r="G31" s="163">
        <v>-12.098069190979004</v>
      </c>
      <c r="H31" s="163">
        <v>-1.1998703479766846</v>
      </c>
      <c r="I31" s="163">
        <v>9.6889667510986328</v>
      </c>
      <c r="J31" s="163">
        <v>20.568452835083008</v>
      </c>
      <c r="K31" s="163">
        <v>31.438600540161133</v>
      </c>
      <c r="L31" s="163">
        <v>42.299419403076172</v>
      </c>
      <c r="M31" s="163">
        <v>53.150920867919922</v>
      </c>
      <c r="N31" s="163">
        <v>63.993118286132813</v>
      </c>
      <c r="O31" s="163">
        <v>74.826019287109375</v>
      </c>
      <c r="P31" s="163">
        <v>85.649635314941406</v>
      </c>
      <c r="Q31" s="163">
        <v>96.463981628417969</v>
      </c>
      <c r="R31" s="163">
        <v>107.26906585693359</v>
      </c>
      <c r="S31" s="163">
        <v>118.06489562988281</v>
      </c>
      <c r="T31" s="163">
        <v>128.85148620605469</v>
      </c>
      <c r="U31" s="163">
        <v>139.62886047363281</v>
      </c>
      <c r="V31" s="163">
        <v>150.39700317382812</v>
      </c>
      <c r="W31" s="163">
        <v>161.15594482421875</v>
      </c>
      <c r="X31" s="163">
        <v>171.90568542480469</v>
      </c>
      <c r="Y31" s="163">
        <v>182.646240234375</v>
      </c>
      <c r="Z31" s="163">
        <v>193.37762451171875</v>
      </c>
      <c r="AA31" s="163">
        <v>204.099853515625</v>
      </c>
      <c r="AB31" s="163">
        <v>214.81292724609375</v>
      </c>
      <c r="AC31" s="163">
        <v>225.51686096191406</v>
      </c>
      <c r="AD31" s="163">
        <v>236.21165466308594</v>
      </c>
      <c r="AE31" s="163">
        <v>246.8973388671875</v>
      </c>
      <c r="AF31" s="163">
        <v>257.57391357421875</v>
      </c>
      <c r="AG31" s="163">
        <v>268.24139404296875</v>
      </c>
      <c r="AH31" s="164">
        <v>278.8997802734375</v>
      </c>
    </row>
    <row r="32" spans="1:34" s="157" customFormat="1" ht="24" customHeight="1" x14ac:dyDescent="0.25">
      <c r="B32" s="406"/>
      <c r="C32" s="158">
        <v>266.66666666576157</v>
      </c>
      <c r="D32" s="162">
        <v>-35.879158020019531</v>
      </c>
      <c r="E32" s="163">
        <v>-24.952804565429688</v>
      </c>
      <c r="F32" s="163">
        <v>-14.035848617553711</v>
      </c>
      <c r="G32" s="163">
        <v>-3.128277063369751</v>
      </c>
      <c r="H32" s="163">
        <v>7.7699217796325684</v>
      </c>
      <c r="I32" s="163">
        <v>18.658758163452148</v>
      </c>
      <c r="J32" s="163">
        <v>29.538246154785156</v>
      </c>
      <c r="K32" s="163">
        <v>40.408393859863281</v>
      </c>
      <c r="L32" s="163">
        <v>51.269210815429688</v>
      </c>
      <c r="M32" s="163">
        <v>62.120712280273438</v>
      </c>
      <c r="N32" s="163">
        <v>72.962913513183594</v>
      </c>
      <c r="O32" s="163">
        <v>83.795814514160156</v>
      </c>
      <c r="P32" s="163">
        <v>94.619430541992188</v>
      </c>
      <c r="Q32" s="163">
        <v>105.43377685546875</v>
      </c>
      <c r="R32" s="163">
        <v>116.23885345458984</v>
      </c>
      <c r="S32" s="163">
        <v>127.03469085693359</v>
      </c>
      <c r="T32" s="163">
        <v>137.8212890625</v>
      </c>
      <c r="U32" s="163">
        <v>148.59864807128906</v>
      </c>
      <c r="V32" s="163">
        <v>159.36679077148437</v>
      </c>
      <c r="W32" s="163">
        <v>170.125732421875</v>
      </c>
      <c r="X32" s="163">
        <v>180.87547302246094</v>
      </c>
      <c r="Y32" s="163">
        <v>191.61604309082031</v>
      </c>
      <c r="Z32" s="163">
        <v>202.34742736816406</v>
      </c>
      <c r="AA32" s="163">
        <v>213.06964111328125</v>
      </c>
      <c r="AB32" s="163">
        <v>223.78271484375</v>
      </c>
      <c r="AC32" s="163">
        <v>234.48664855957031</v>
      </c>
      <c r="AD32" s="163">
        <v>245.18144226074219</v>
      </c>
      <c r="AE32" s="163">
        <v>255.86712646484375</v>
      </c>
      <c r="AF32" s="163">
        <v>266.543701171875</v>
      </c>
      <c r="AG32" s="163">
        <v>277.211181640625</v>
      </c>
      <c r="AH32" s="164">
        <v>287.86956787109375</v>
      </c>
    </row>
    <row r="33" spans="2:34" s="157" customFormat="1" ht="24" customHeight="1" x14ac:dyDescent="0.25">
      <c r="B33" s="406"/>
      <c r="C33" s="158">
        <v>199.99999999906157</v>
      </c>
      <c r="D33" s="162">
        <v>-26.909368515014648</v>
      </c>
      <c r="E33" s="163">
        <v>-15.983016967773438</v>
      </c>
      <c r="F33" s="163">
        <v>-5.0660610198974609</v>
      </c>
      <c r="G33" s="163">
        <v>5.8415107727050781</v>
      </c>
      <c r="H33" s="163">
        <v>16.739709854125977</v>
      </c>
      <c r="I33" s="163">
        <v>27.628547668457031</v>
      </c>
      <c r="J33" s="163">
        <v>38.508033752441406</v>
      </c>
      <c r="K33" s="163">
        <v>49.378181457519531</v>
      </c>
      <c r="L33" s="163">
        <v>60.238998413085938</v>
      </c>
      <c r="M33" s="163">
        <v>71.090499877929688</v>
      </c>
      <c r="N33" s="163">
        <v>81.932701110839844</v>
      </c>
      <c r="O33" s="163">
        <v>92.765602111816406</v>
      </c>
      <c r="P33" s="163">
        <v>103.58921813964844</v>
      </c>
      <c r="Q33" s="163">
        <v>114.403564453125</v>
      </c>
      <c r="R33" s="163">
        <v>125.20864105224609</v>
      </c>
      <c r="S33" s="163">
        <v>136.00447082519531</v>
      </c>
      <c r="T33" s="163">
        <v>146.79107666015625</v>
      </c>
      <c r="U33" s="163">
        <v>157.56843566894531</v>
      </c>
      <c r="V33" s="163">
        <v>168.33657836914062</v>
      </c>
      <c r="W33" s="163">
        <v>179.09552001953125</v>
      </c>
      <c r="X33" s="163">
        <v>189.84526062011719</v>
      </c>
      <c r="Y33" s="163">
        <v>200.58583068847656</v>
      </c>
      <c r="Z33" s="163">
        <v>211.31721496582031</v>
      </c>
      <c r="AA33" s="163">
        <v>222.0394287109375</v>
      </c>
      <c r="AB33" s="163">
        <v>232.75250244140625</v>
      </c>
      <c r="AC33" s="163">
        <v>243.45643615722656</v>
      </c>
      <c r="AD33" s="163">
        <v>254.1512451171875</v>
      </c>
      <c r="AE33" s="163">
        <v>264.8369140625</v>
      </c>
      <c r="AF33" s="163">
        <v>275.51348876953125</v>
      </c>
      <c r="AG33" s="163">
        <v>286.18096923828125</v>
      </c>
      <c r="AH33" s="164">
        <v>296.83935546875</v>
      </c>
    </row>
    <row r="34" spans="2:34" s="157" customFormat="1" ht="24" customHeight="1" x14ac:dyDescent="0.25">
      <c r="B34" s="406"/>
      <c r="C34" s="158">
        <v>133.33333333236158</v>
      </c>
      <c r="D34" s="162">
        <v>-17.939579010009766</v>
      </c>
      <c r="E34" s="163">
        <v>-7.0132269859313965</v>
      </c>
      <c r="F34" s="163">
        <v>3.9037292003631592</v>
      </c>
      <c r="G34" s="163">
        <v>14.811301231384277</v>
      </c>
      <c r="H34" s="163">
        <v>25.709499359130859</v>
      </c>
      <c r="I34" s="163">
        <v>36.598335266113281</v>
      </c>
      <c r="J34" s="163">
        <v>47.477825164794922</v>
      </c>
      <c r="K34" s="163">
        <v>58.347972869873047</v>
      </c>
      <c r="L34" s="163">
        <v>69.208793640136719</v>
      </c>
      <c r="M34" s="163">
        <v>80.060295104980469</v>
      </c>
      <c r="N34" s="163">
        <v>90.902488708496094</v>
      </c>
      <c r="O34" s="163">
        <v>101.73538970947266</v>
      </c>
      <c r="P34" s="163">
        <v>112.55900573730469</v>
      </c>
      <c r="Q34" s="163">
        <v>123.37335205078125</v>
      </c>
      <c r="R34" s="163">
        <v>134.17843627929687</v>
      </c>
      <c r="S34" s="163">
        <v>144.97427368164062</v>
      </c>
      <c r="T34" s="163">
        <v>155.7608642578125</v>
      </c>
      <c r="U34" s="163">
        <v>166.53822326660156</v>
      </c>
      <c r="V34" s="163">
        <v>177.30636596679687</v>
      </c>
      <c r="W34" s="163">
        <v>188.0653076171875</v>
      </c>
      <c r="X34" s="163">
        <v>198.8150634765625</v>
      </c>
      <c r="Y34" s="163">
        <v>209.55561828613281</v>
      </c>
      <c r="Z34" s="163">
        <v>220.28700256347656</v>
      </c>
      <c r="AA34" s="163">
        <v>231.00923156738281</v>
      </c>
      <c r="AB34" s="163">
        <v>241.7222900390625</v>
      </c>
      <c r="AC34" s="163">
        <v>252.42622375488281</v>
      </c>
      <c r="AD34" s="163">
        <v>263.12103271484375</v>
      </c>
      <c r="AE34" s="163">
        <v>273.80670166015625</v>
      </c>
      <c r="AF34" s="163">
        <v>284.4832763671875</v>
      </c>
      <c r="AG34" s="163">
        <v>295.1507568359375</v>
      </c>
      <c r="AH34" s="164">
        <v>305.80914306640625</v>
      </c>
    </row>
    <row r="35" spans="2:34" s="157" customFormat="1" ht="24" customHeight="1" x14ac:dyDescent="0.25">
      <c r="B35" s="406"/>
      <c r="C35" s="158">
        <v>66.66666666566158</v>
      </c>
      <c r="D35" s="162">
        <v>-8.9697895050048828</v>
      </c>
      <c r="E35" s="163">
        <v>1.9565622806549072</v>
      </c>
      <c r="F35" s="163">
        <v>12.873517990112305</v>
      </c>
      <c r="G35" s="163">
        <v>23.781089782714844</v>
      </c>
      <c r="H35" s="163">
        <v>34.679290771484375</v>
      </c>
      <c r="I35" s="163">
        <v>45.568126678466797</v>
      </c>
      <c r="J35" s="163">
        <v>56.447612762451172</v>
      </c>
      <c r="K35" s="163">
        <v>67.317756652832031</v>
      </c>
      <c r="L35" s="163">
        <v>78.178581237792969</v>
      </c>
      <c r="M35" s="163">
        <v>89.030082702636719</v>
      </c>
      <c r="N35" s="163">
        <v>99.872276306152344</v>
      </c>
      <c r="O35" s="163">
        <v>110.70517730712891</v>
      </c>
      <c r="P35" s="163">
        <v>121.52879333496094</v>
      </c>
      <c r="Q35" s="163">
        <v>132.3431396484375</v>
      </c>
      <c r="R35" s="163">
        <v>143.14822387695312</v>
      </c>
      <c r="S35" s="163">
        <v>153.94406127929687</v>
      </c>
      <c r="T35" s="163">
        <v>164.73065185546875</v>
      </c>
      <c r="U35" s="163">
        <v>175.50801086425781</v>
      </c>
      <c r="V35" s="163">
        <v>186.27615356445312</v>
      </c>
      <c r="W35" s="163">
        <v>197.03509521484375</v>
      </c>
      <c r="X35" s="163">
        <v>207.78485107421875</v>
      </c>
      <c r="Y35" s="163">
        <v>218.52540588378906</v>
      </c>
      <c r="Z35" s="163">
        <v>229.25679016113281</v>
      </c>
      <c r="AA35" s="163">
        <v>239.97901916503906</v>
      </c>
      <c r="AB35" s="163">
        <v>250.69209289550781</v>
      </c>
      <c r="AC35" s="163">
        <v>261.39602661132812</v>
      </c>
      <c r="AD35" s="163">
        <v>272.0908203125</v>
      </c>
      <c r="AE35" s="163">
        <v>282.7764892578125</v>
      </c>
      <c r="AF35" s="163">
        <v>293.45306396484375</v>
      </c>
      <c r="AG35" s="163">
        <v>304.12054443359375</v>
      </c>
      <c r="AH35" s="164">
        <v>314.7789306640625</v>
      </c>
    </row>
    <row r="36" spans="2:34" s="157" customFormat="1" ht="24" customHeight="1" thickBot="1" x14ac:dyDescent="0.3">
      <c r="B36" s="406"/>
      <c r="C36" s="158">
        <v>0</v>
      </c>
      <c r="D36" s="169">
        <v>-8.2812053113327788E-14</v>
      </c>
      <c r="E36" s="170">
        <v>10.926351547241211</v>
      </c>
      <c r="F36" s="170">
        <v>21.843307495117188</v>
      </c>
      <c r="G36" s="170">
        <v>32.750877380371094</v>
      </c>
      <c r="H36" s="170">
        <v>43.649078369140625</v>
      </c>
      <c r="I36" s="170">
        <v>54.537914276123047</v>
      </c>
      <c r="J36" s="170">
        <v>65.417404174804687</v>
      </c>
      <c r="K36" s="170">
        <v>76.287551879882813</v>
      </c>
      <c r="L36" s="170">
        <v>87.148368835449219</v>
      </c>
      <c r="M36" s="170">
        <v>97.999870300292969</v>
      </c>
      <c r="N36" s="170">
        <v>108.84206390380859</v>
      </c>
      <c r="O36" s="170">
        <v>119.67496490478516</v>
      </c>
      <c r="P36" s="170">
        <v>130.49858093261719</v>
      </c>
      <c r="Q36" s="170">
        <v>141.31292724609375</v>
      </c>
      <c r="R36" s="170">
        <v>152.11801147460937</v>
      </c>
      <c r="S36" s="170">
        <v>162.91384887695312</v>
      </c>
      <c r="T36" s="170">
        <v>173.700439453125</v>
      </c>
      <c r="U36" s="170">
        <v>184.47779846191406</v>
      </c>
      <c r="V36" s="170">
        <v>195.24595642089844</v>
      </c>
      <c r="W36" s="170">
        <v>206.0048828125</v>
      </c>
      <c r="X36" s="170">
        <v>216.754638671875</v>
      </c>
      <c r="Y36" s="170">
        <v>227.49519348144531</v>
      </c>
      <c r="Z36" s="170">
        <v>238.22657775878906</v>
      </c>
      <c r="AA36" s="170">
        <v>248.94880676269531</v>
      </c>
      <c r="AB36" s="170">
        <v>259.661865234375</v>
      </c>
      <c r="AC36" s="170">
        <v>270.36581420898437</v>
      </c>
      <c r="AD36" s="170">
        <v>281.06060791015625</v>
      </c>
      <c r="AE36" s="170">
        <v>291.74627685546875</v>
      </c>
      <c r="AF36" s="170">
        <v>302.4228515625</v>
      </c>
      <c r="AG36" s="170">
        <v>313.09033203125</v>
      </c>
      <c r="AH36" s="171">
        <v>323.74871826171875</v>
      </c>
    </row>
    <row r="37" spans="2:34" x14ac:dyDescent="0.25">
      <c r="D37" s="172">
        <v>0</v>
      </c>
      <c r="E37" s="172">
        <f>D37+(1/3)</f>
        <v>0.33333333333333331</v>
      </c>
      <c r="F37" s="172">
        <f t="shared" ref="F37:AH37" si="0">E37+(1/3)</f>
        <v>0.66666666666666663</v>
      </c>
      <c r="G37" s="172">
        <f t="shared" si="0"/>
        <v>1</v>
      </c>
      <c r="H37" s="172">
        <f t="shared" si="0"/>
        <v>1.3333333333333333</v>
      </c>
      <c r="I37" s="172">
        <f t="shared" si="0"/>
        <v>1.6666666666666665</v>
      </c>
      <c r="J37" s="172">
        <f t="shared" si="0"/>
        <v>1.9999999999999998</v>
      </c>
      <c r="K37" s="172">
        <f t="shared" si="0"/>
        <v>2.333333333333333</v>
      </c>
      <c r="L37" s="172">
        <f t="shared" si="0"/>
        <v>2.6666666666666665</v>
      </c>
      <c r="M37" s="172">
        <f t="shared" si="0"/>
        <v>3</v>
      </c>
      <c r="N37" s="172">
        <f t="shared" si="0"/>
        <v>3.3333333333333335</v>
      </c>
      <c r="O37" s="172">
        <f t="shared" si="0"/>
        <v>3.666666666666667</v>
      </c>
      <c r="P37" s="172">
        <f t="shared" si="0"/>
        <v>4</v>
      </c>
      <c r="Q37" s="172">
        <f t="shared" si="0"/>
        <v>4.333333333333333</v>
      </c>
      <c r="R37" s="172">
        <f t="shared" si="0"/>
        <v>4.6666666666666661</v>
      </c>
      <c r="S37" s="172">
        <f t="shared" si="0"/>
        <v>4.9999999999999991</v>
      </c>
      <c r="T37" s="172">
        <f t="shared" si="0"/>
        <v>5.3333333333333321</v>
      </c>
      <c r="U37" s="172">
        <f t="shared" si="0"/>
        <v>5.6666666666666652</v>
      </c>
      <c r="V37" s="172">
        <f t="shared" si="0"/>
        <v>5.9999999999999982</v>
      </c>
      <c r="W37" s="172">
        <f t="shared" si="0"/>
        <v>6.3333333333333313</v>
      </c>
      <c r="X37" s="172">
        <f t="shared" si="0"/>
        <v>6.6666666666666643</v>
      </c>
      <c r="Y37" s="172">
        <f t="shared" si="0"/>
        <v>6.9999999999999973</v>
      </c>
      <c r="Z37" s="172">
        <f t="shared" si="0"/>
        <v>7.3333333333333304</v>
      </c>
      <c r="AA37" s="172">
        <f t="shared" si="0"/>
        <v>7.6666666666666634</v>
      </c>
      <c r="AB37" s="172">
        <f t="shared" si="0"/>
        <v>7.9999999999999964</v>
      </c>
      <c r="AC37" s="172">
        <f t="shared" si="0"/>
        <v>8.3333333333333304</v>
      </c>
      <c r="AD37" s="172">
        <f t="shared" si="0"/>
        <v>8.6666666666666643</v>
      </c>
      <c r="AE37" s="172">
        <f t="shared" si="0"/>
        <v>8.9999999999999982</v>
      </c>
      <c r="AF37" s="172">
        <f t="shared" si="0"/>
        <v>9.3333333333333321</v>
      </c>
      <c r="AG37" s="172">
        <f t="shared" si="0"/>
        <v>9.6666666666666661</v>
      </c>
      <c r="AH37" s="172">
        <f t="shared" si="0"/>
        <v>10</v>
      </c>
    </row>
    <row r="38" spans="2:34" ht="23.25" x14ac:dyDescent="0.25">
      <c r="D38" s="405" t="s">
        <v>186</v>
      </c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5"/>
      <c r="R38" s="405"/>
      <c r="S38" s="405"/>
      <c r="T38" s="405"/>
      <c r="U38" s="405"/>
      <c r="V38" s="405"/>
      <c r="W38" s="405"/>
      <c r="X38" s="405"/>
      <c r="Y38" s="405"/>
      <c r="Z38" s="405"/>
      <c r="AA38" s="405"/>
      <c r="AB38" s="405"/>
      <c r="AC38" s="405"/>
      <c r="AD38" s="405"/>
      <c r="AE38" s="405"/>
      <c r="AF38" s="405"/>
      <c r="AG38" s="405"/>
      <c r="AH38" s="405"/>
    </row>
    <row r="39" spans="2:34" x14ac:dyDescent="0.25"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</row>
    <row r="41" spans="2:34" x14ac:dyDescent="0.25">
      <c r="E41" s="156">
        <f>10/30</f>
        <v>0.33333333333333331</v>
      </c>
    </row>
    <row r="42" spans="2:34" x14ac:dyDescent="0.25">
      <c r="E42" s="156">
        <f>2000/30</f>
        <v>66.666666666666671</v>
      </c>
    </row>
  </sheetData>
  <mergeCells count="4">
    <mergeCell ref="D38:AH38"/>
    <mergeCell ref="B6:B36"/>
    <mergeCell ref="K2:AH3"/>
    <mergeCell ref="K4:AH5"/>
  </mergeCells>
  <conditionalFormatting sqref="D6:AH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TwoWay.TwoWay">
                <anchor moveWithCells="1" sizeWithCells="1">
                  <from>
                    <xdr:col>0</xdr:col>
                    <xdr:colOff>76200</xdr:colOff>
                    <xdr:row>0</xdr:row>
                    <xdr:rowOff>114300</xdr:rowOff>
                  </from>
                  <to>
                    <xdr:col>4</xdr:col>
                    <xdr:colOff>276225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InterfaceReturn">
                <anchor moveWithCells="1" sizeWithCells="1">
                  <from>
                    <xdr:col>5</xdr:col>
                    <xdr:colOff>9525</xdr:colOff>
                    <xdr:row>1</xdr:row>
                    <xdr:rowOff>0</xdr:rowOff>
                  </from>
                  <to>
                    <xdr:col>9</xdr:col>
                    <xdr:colOff>66675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AH41"/>
  <sheetViews>
    <sheetView topLeftCell="A4" zoomScaleNormal="100" workbookViewId="0">
      <selection activeCell="AI38" sqref="AI38"/>
    </sheetView>
  </sheetViews>
  <sheetFormatPr defaultColWidth="8.85546875" defaultRowHeight="15" x14ac:dyDescent="0.25"/>
  <cols>
    <col min="1" max="2" width="8.85546875" style="156"/>
    <col min="3" max="3" width="8.28515625" style="156" customWidth="1"/>
    <col min="4" max="34" width="4.28515625" style="156" customWidth="1"/>
    <col min="35" max="36" width="8.85546875" style="156"/>
    <col min="37" max="37" width="10" style="156" customWidth="1"/>
    <col min="38" max="16384" width="8.85546875" style="156"/>
  </cols>
  <sheetData>
    <row r="1" spans="2:34" s="155" customFormat="1" ht="15" customHeight="1" x14ac:dyDescent="0.2">
      <c r="D1" s="407" t="s">
        <v>188</v>
      </c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7"/>
      <c r="AH1" s="407"/>
    </row>
    <row r="2" spans="2:34" ht="15" customHeight="1" x14ac:dyDescent="0.25"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7"/>
      <c r="AH2" s="407"/>
    </row>
    <row r="3" spans="2:34" ht="15" customHeight="1" x14ac:dyDescent="0.25"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7"/>
      <c r="AA3" s="407"/>
      <c r="AB3" s="407"/>
      <c r="AC3" s="407"/>
      <c r="AD3" s="407"/>
      <c r="AE3" s="407"/>
      <c r="AF3" s="407"/>
      <c r="AG3" s="407"/>
      <c r="AH3" s="407"/>
    </row>
    <row r="4" spans="2:34" ht="15" customHeight="1" x14ac:dyDescent="0.25">
      <c r="D4" s="407" t="s">
        <v>189</v>
      </c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</row>
    <row r="5" spans="2:34" ht="15" customHeight="1" x14ac:dyDescent="0.25">
      <c r="D5" s="407"/>
      <c r="E5" s="407"/>
      <c r="F5" s="407"/>
      <c r="G5" s="407"/>
      <c r="H5" s="407"/>
      <c r="I5" s="407"/>
      <c r="J5" s="407"/>
      <c r="K5" s="407"/>
      <c r="L5" s="407"/>
      <c r="M5" s="407"/>
      <c r="N5" s="407"/>
      <c r="O5" s="407"/>
      <c r="P5" s="407"/>
      <c r="Q5" s="407"/>
      <c r="R5" s="407"/>
      <c r="S5" s="407"/>
      <c r="T5" s="407"/>
      <c r="U5" s="407"/>
      <c r="V5" s="407"/>
      <c r="W5" s="407"/>
      <c r="X5" s="407"/>
      <c r="Y5" s="407"/>
      <c r="Z5" s="407"/>
      <c r="AA5" s="407"/>
      <c r="AB5" s="407"/>
      <c r="AC5" s="407"/>
      <c r="AD5" s="407"/>
      <c r="AE5" s="407"/>
      <c r="AF5" s="407"/>
      <c r="AG5" s="407"/>
      <c r="AH5" s="407"/>
    </row>
    <row r="6" spans="2:34" ht="15.75" customHeight="1" thickBot="1" x14ac:dyDescent="0.3"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7"/>
      <c r="R6" s="407"/>
      <c r="S6" s="407"/>
      <c r="T6" s="407"/>
      <c r="U6" s="407"/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</row>
    <row r="7" spans="2:34" s="157" customFormat="1" ht="18.75" customHeight="1" x14ac:dyDescent="0.25">
      <c r="B7" s="406" t="s">
        <v>185</v>
      </c>
      <c r="C7" s="158">
        <v>1999.9999999999602</v>
      </c>
      <c r="D7" s="173">
        <v>-269.09368896484375</v>
      </c>
      <c r="E7" s="174">
        <v>-258.16732788085937</v>
      </c>
      <c r="F7" s="174">
        <v>-247.25038146972656</v>
      </c>
      <c r="G7" s="174">
        <v>-236.34280395507812</v>
      </c>
      <c r="H7" s="174">
        <v>-225.44461059570312</v>
      </c>
      <c r="I7" s="174">
        <v>-214.55577087402344</v>
      </c>
      <c r="J7" s="174">
        <v>-203.67628479003906</v>
      </c>
      <c r="K7" s="174">
        <v>-192.80613708496094</v>
      </c>
      <c r="L7" s="174">
        <v>-181.9453125</v>
      </c>
      <c r="M7" s="174">
        <v>-171.09381103515625</v>
      </c>
      <c r="N7" s="174">
        <v>-160.25161743164063</v>
      </c>
      <c r="O7" s="174">
        <v>-149.41871643066406</v>
      </c>
      <c r="P7" s="174">
        <v>-138.5950927734375</v>
      </c>
      <c r="Q7" s="174">
        <v>-127.78075408935547</v>
      </c>
      <c r="R7" s="174">
        <v>-116.97566986083984</v>
      </c>
      <c r="S7" s="174">
        <v>-106.17983245849609</v>
      </c>
      <c r="T7" s="174">
        <v>-95.393241882324219</v>
      </c>
      <c r="U7" s="174">
        <v>-84.615875244140625</v>
      </c>
      <c r="V7" s="174">
        <v>-73.847732543945313</v>
      </c>
      <c r="W7" s="174">
        <v>-63.088790893554688</v>
      </c>
      <c r="X7" s="174">
        <v>-52.339046478271484</v>
      </c>
      <c r="Y7" s="174">
        <v>-41.598487854003906</v>
      </c>
      <c r="Z7" s="174">
        <v>-30.867101669311523</v>
      </c>
      <c r="AA7" s="174">
        <v>-20.144878387451172</v>
      </c>
      <c r="AB7" s="174">
        <v>-9.4318065643310547</v>
      </c>
      <c r="AC7" s="174">
        <v>1.2721240520477295</v>
      </c>
      <c r="AD7" s="174">
        <v>11.966924667358398</v>
      </c>
      <c r="AE7" s="174">
        <v>22.652605056762695</v>
      </c>
      <c r="AF7" s="174">
        <v>33.329177856445313</v>
      </c>
      <c r="AG7" s="174">
        <v>43.996650695800781</v>
      </c>
      <c r="AH7" s="175">
        <v>54.655040740966797</v>
      </c>
    </row>
    <row r="8" spans="2:34" s="157" customFormat="1" ht="18.75" customHeight="1" x14ac:dyDescent="0.25">
      <c r="B8" s="406"/>
      <c r="C8" s="158">
        <v>1933.3333333332603</v>
      </c>
      <c r="D8" s="176">
        <v>-260.1239013671875</v>
      </c>
      <c r="E8" s="177">
        <v>-249.19754028320312</v>
      </c>
      <c r="F8" s="177">
        <v>-238.28059387207031</v>
      </c>
      <c r="G8" s="177">
        <v>-227.37301635742187</v>
      </c>
      <c r="H8" s="177">
        <v>-216.47482299804687</v>
      </c>
      <c r="I8" s="177">
        <v>-205.58598327636719</v>
      </c>
      <c r="J8" s="177">
        <v>-194.70649719238281</v>
      </c>
      <c r="K8" s="177">
        <v>-183.83634948730469</v>
      </c>
      <c r="L8" s="177">
        <v>-172.97552490234375</v>
      </c>
      <c r="M8" s="177">
        <v>-162.1240234375</v>
      </c>
      <c r="N8" s="177">
        <v>-151.28182983398437</v>
      </c>
      <c r="O8" s="177">
        <v>-140.44892883300781</v>
      </c>
      <c r="P8" s="177">
        <v>-129.62530517578125</v>
      </c>
      <c r="Q8" s="177">
        <v>-118.81096649169922</v>
      </c>
      <c r="R8" s="177">
        <v>-108.00588226318359</v>
      </c>
      <c r="S8" s="177">
        <v>-97.210052490234375</v>
      </c>
      <c r="T8" s="177">
        <v>-86.4234619140625</v>
      </c>
      <c r="U8" s="177">
        <v>-75.646095275878906</v>
      </c>
      <c r="V8" s="177">
        <v>-64.877944946289063</v>
      </c>
      <c r="W8" s="177">
        <v>-54.119007110595703</v>
      </c>
      <c r="X8" s="177">
        <v>-43.3692626953125</v>
      </c>
      <c r="Y8" s="177">
        <v>-32.628704071044922</v>
      </c>
      <c r="Z8" s="177">
        <v>-21.897317886352539</v>
      </c>
      <c r="AA8" s="177">
        <v>-11.175093650817871</v>
      </c>
      <c r="AB8" s="177">
        <v>-0.46202242374420166</v>
      </c>
      <c r="AC8" s="177">
        <v>10.241908073425293</v>
      </c>
      <c r="AD8" s="177">
        <v>20.936708450317383</v>
      </c>
      <c r="AE8" s="177">
        <v>31.62238883972168</v>
      </c>
      <c r="AF8" s="177">
        <v>42.298961639404297</v>
      </c>
      <c r="AG8" s="177">
        <v>52.966438293457031</v>
      </c>
      <c r="AH8" s="178">
        <v>63.624824523925781</v>
      </c>
    </row>
    <row r="9" spans="2:34" s="157" customFormat="1" ht="18.75" customHeight="1" x14ac:dyDescent="0.25">
      <c r="B9" s="406"/>
      <c r="C9" s="158">
        <v>1866.6666666665603</v>
      </c>
      <c r="D9" s="176">
        <v>-251.15409851074219</v>
      </c>
      <c r="E9" s="177">
        <v>-240.22775268554687</v>
      </c>
      <c r="F9" s="177">
        <v>-229.310791015625</v>
      </c>
      <c r="G9" s="177">
        <v>-218.40321350097656</v>
      </c>
      <c r="H9" s="177">
        <v>-207.50502014160156</v>
      </c>
      <c r="I9" s="177">
        <v>-196.61618041992187</v>
      </c>
      <c r="J9" s="177">
        <v>-185.7366943359375</v>
      </c>
      <c r="K9" s="177">
        <v>-174.86654663085937</v>
      </c>
      <c r="L9" s="177">
        <v>-164.00572204589844</v>
      </c>
      <c r="M9" s="177">
        <v>-153.15422058105469</v>
      </c>
      <c r="N9" s="177">
        <v>-142.31202697753906</v>
      </c>
      <c r="O9" s="177">
        <v>-131.4791259765625</v>
      </c>
      <c r="P9" s="177">
        <v>-120.65550994873047</v>
      </c>
      <c r="Q9" s="177">
        <v>-109.84117126464844</v>
      </c>
      <c r="R9" s="177">
        <v>-99.036087036132813</v>
      </c>
      <c r="S9" s="177">
        <v>-88.240249633789063</v>
      </c>
      <c r="T9" s="177">
        <v>-77.453659057617188</v>
      </c>
      <c r="U9" s="177">
        <v>-66.676292419433594</v>
      </c>
      <c r="V9" s="177">
        <v>-55.908149719238281</v>
      </c>
      <c r="W9" s="177">
        <v>-45.149208068847656</v>
      </c>
      <c r="X9" s="177">
        <v>-34.399463653564453</v>
      </c>
      <c r="Y9" s="177">
        <v>-23.658903121948242</v>
      </c>
      <c r="Z9" s="177">
        <v>-12.927516937255859</v>
      </c>
      <c r="AA9" s="177">
        <v>-2.2052934169769287</v>
      </c>
      <c r="AB9" s="177">
        <v>8.5077781677246094</v>
      </c>
      <c r="AC9" s="177">
        <v>19.211708068847656</v>
      </c>
      <c r="AD9" s="177">
        <v>29.906509399414063</v>
      </c>
      <c r="AE9" s="177">
        <v>40.592189788818359</v>
      </c>
      <c r="AF9" s="177">
        <v>51.268760681152344</v>
      </c>
      <c r="AG9" s="177">
        <v>61.936237335205078</v>
      </c>
      <c r="AH9" s="178">
        <v>72.594627380371094</v>
      </c>
    </row>
    <row r="10" spans="2:34" s="157" customFormat="1" ht="18.75" customHeight="1" x14ac:dyDescent="0.25">
      <c r="B10" s="406"/>
      <c r="C10" s="158">
        <v>1799.9999999998604</v>
      </c>
      <c r="D10" s="176">
        <v>-242.18431091308594</v>
      </c>
      <c r="E10" s="177">
        <v>-231.25796508789062</v>
      </c>
      <c r="F10" s="177">
        <v>-220.34100341796875</v>
      </c>
      <c r="G10" s="177">
        <v>-209.43344116210937</v>
      </c>
      <c r="H10" s="177">
        <v>-198.53523254394531</v>
      </c>
      <c r="I10" s="177">
        <v>-187.64639282226562</v>
      </c>
      <c r="J10" s="177">
        <v>-176.76690673828125</v>
      </c>
      <c r="K10" s="177">
        <v>-165.89675903320312</v>
      </c>
      <c r="L10" s="177">
        <v>-155.03594970703125</v>
      </c>
      <c r="M10" s="177">
        <v>-144.1844482421875</v>
      </c>
      <c r="N10" s="177">
        <v>-133.34223937988281</v>
      </c>
      <c r="O10" s="177">
        <v>-122.50934600830078</v>
      </c>
      <c r="P10" s="177">
        <v>-111.68572998046875</v>
      </c>
      <c r="Q10" s="177">
        <v>-100.87138366699219</v>
      </c>
      <c r="R10" s="177">
        <v>-90.066299438476563</v>
      </c>
      <c r="S10" s="177">
        <v>-79.270469665527344</v>
      </c>
      <c r="T10" s="177">
        <v>-68.483871459960937</v>
      </c>
      <c r="U10" s="177">
        <v>-57.706512451171875</v>
      </c>
      <c r="V10" s="177">
        <v>-46.938362121582031</v>
      </c>
      <c r="W10" s="177">
        <v>-36.179424285888672</v>
      </c>
      <c r="X10" s="177">
        <v>-25.429679870605469</v>
      </c>
      <c r="Y10" s="177">
        <v>-14.689119338989258</v>
      </c>
      <c r="Z10" s="177">
        <v>-3.9577329158782959</v>
      </c>
      <c r="AA10" s="177">
        <v>6.7644906044006348</v>
      </c>
      <c r="AB10" s="177">
        <v>17.477561950683594</v>
      </c>
      <c r="AC10" s="177">
        <v>28.181491851806641</v>
      </c>
      <c r="AD10" s="177">
        <v>38.876293182373047</v>
      </c>
      <c r="AE10" s="177">
        <v>49.561973571777344</v>
      </c>
      <c r="AF10" s="177">
        <v>60.238544464111328</v>
      </c>
      <c r="AG10" s="177">
        <v>70.906021118164062</v>
      </c>
      <c r="AH10" s="178">
        <v>81.564407348632813</v>
      </c>
    </row>
    <row r="11" spans="2:34" s="157" customFormat="1" ht="18.75" customHeight="1" x14ac:dyDescent="0.25">
      <c r="B11" s="406"/>
      <c r="C11" s="158">
        <v>1733.3333333331605</v>
      </c>
      <c r="D11" s="176">
        <v>-233.21452331542969</v>
      </c>
      <c r="E11" s="177">
        <v>-222.28817749023437</v>
      </c>
      <c r="F11" s="177">
        <v>-211.3712158203125</v>
      </c>
      <c r="G11" s="177">
        <v>-200.46365356445312</v>
      </c>
      <c r="H11" s="177">
        <v>-189.56544494628906</v>
      </c>
      <c r="I11" s="177">
        <v>-178.67662048339844</v>
      </c>
      <c r="J11" s="177">
        <v>-167.79713439941406</v>
      </c>
      <c r="K11" s="177">
        <v>-156.92698669433594</v>
      </c>
      <c r="L11" s="177">
        <v>-146.066162109375</v>
      </c>
      <c r="M11" s="177">
        <v>-135.21466064453125</v>
      </c>
      <c r="N11" s="177">
        <v>-124.37245941162109</v>
      </c>
      <c r="O11" s="177">
        <v>-113.53955841064453</v>
      </c>
      <c r="P11" s="177">
        <v>-102.7159423828125</v>
      </c>
      <c r="Q11" s="177">
        <v>-91.901596069335937</v>
      </c>
      <c r="R11" s="177">
        <v>-81.096519470214844</v>
      </c>
      <c r="S11" s="177">
        <v>-70.300682067871094</v>
      </c>
      <c r="T11" s="177">
        <v>-59.514091491699219</v>
      </c>
      <c r="U11" s="177">
        <v>-48.736728668212891</v>
      </c>
      <c r="V11" s="177">
        <v>-37.968578338623047</v>
      </c>
      <c r="W11" s="177">
        <v>-27.209640502929688</v>
      </c>
      <c r="X11" s="177">
        <v>-16.459896087646484</v>
      </c>
      <c r="Y11" s="177">
        <v>-5.7193350791931152</v>
      </c>
      <c r="Z11" s="177">
        <v>5.0120511054992676</v>
      </c>
      <c r="AA11" s="177">
        <v>15.734273910522461</v>
      </c>
      <c r="AB11" s="177">
        <v>26.447345733642578</v>
      </c>
      <c r="AC11" s="177">
        <v>37.151275634765625</v>
      </c>
      <c r="AD11" s="177">
        <v>47.846076965332031</v>
      </c>
      <c r="AE11" s="177">
        <v>58.531757354736328</v>
      </c>
      <c r="AF11" s="177">
        <v>69.208328247070313</v>
      </c>
      <c r="AG11" s="177">
        <v>79.875801086425781</v>
      </c>
      <c r="AH11" s="178">
        <v>90.534194946289063</v>
      </c>
    </row>
    <row r="12" spans="2:34" s="157" customFormat="1" ht="18.75" customHeight="1" x14ac:dyDescent="0.25">
      <c r="B12" s="406"/>
      <c r="C12" s="158">
        <v>1666.6666666664605</v>
      </c>
      <c r="D12" s="176">
        <v>-224.24473571777344</v>
      </c>
      <c r="E12" s="177">
        <v>-213.31837463378906</v>
      </c>
      <c r="F12" s="177">
        <v>-202.40142822265625</v>
      </c>
      <c r="G12" s="177">
        <v>-191.49385070800781</v>
      </c>
      <c r="H12" s="177">
        <v>-180.59565734863281</v>
      </c>
      <c r="I12" s="177">
        <v>-169.70681762695312</v>
      </c>
      <c r="J12" s="177">
        <v>-158.82733154296875</v>
      </c>
      <c r="K12" s="177">
        <v>-147.95718383789062</v>
      </c>
      <c r="L12" s="177">
        <v>-137.09635925292969</v>
      </c>
      <c r="M12" s="177">
        <v>-126.24485778808594</v>
      </c>
      <c r="N12" s="177">
        <v>-115.40266418457031</v>
      </c>
      <c r="O12" s="177">
        <v>-104.56976318359375</v>
      </c>
      <c r="P12" s="177">
        <v>-93.746147155761719</v>
      </c>
      <c r="Q12" s="177">
        <v>-82.931800842285156</v>
      </c>
      <c r="R12" s="177">
        <v>-72.126716613769531</v>
      </c>
      <c r="S12" s="177">
        <v>-61.330883026123047</v>
      </c>
      <c r="T12" s="177">
        <v>-50.544292449951172</v>
      </c>
      <c r="U12" s="177">
        <v>-39.766925811767578</v>
      </c>
      <c r="V12" s="177">
        <v>-28.998779296875</v>
      </c>
      <c r="W12" s="177">
        <v>-18.239839553833008</v>
      </c>
      <c r="X12" s="177">
        <v>-7.4900946617126465</v>
      </c>
      <c r="Y12" s="177">
        <v>3.2504651546478271</v>
      </c>
      <c r="Z12" s="177">
        <v>13.981851577758789</v>
      </c>
      <c r="AA12" s="177">
        <v>24.704074859619141</v>
      </c>
      <c r="AB12" s="177">
        <v>35.417144775390625</v>
      </c>
      <c r="AC12" s="177">
        <v>46.121074676513672</v>
      </c>
      <c r="AD12" s="177">
        <v>56.815876007080078</v>
      </c>
      <c r="AE12" s="177">
        <v>67.501556396484375</v>
      </c>
      <c r="AF12" s="177">
        <v>78.178131103515625</v>
      </c>
      <c r="AG12" s="177">
        <v>88.845603942871094</v>
      </c>
      <c r="AH12" s="178">
        <v>99.503990173339844</v>
      </c>
    </row>
    <row r="13" spans="2:34" s="157" customFormat="1" ht="18.75" customHeight="1" x14ac:dyDescent="0.25">
      <c r="B13" s="406"/>
      <c r="C13" s="158">
        <v>1599.9999999997606</v>
      </c>
      <c r="D13" s="176">
        <v>-215.27494812011719</v>
      </c>
      <c r="E13" s="177">
        <v>-204.34858703613281</v>
      </c>
      <c r="F13" s="177">
        <v>-193.431640625</v>
      </c>
      <c r="G13" s="177">
        <v>-182.52406311035156</v>
      </c>
      <c r="H13" s="177">
        <v>-171.62586975097656</v>
      </c>
      <c r="I13" s="177">
        <v>-160.73703002929687</v>
      </c>
      <c r="J13" s="177">
        <v>-149.8575439453125</v>
      </c>
      <c r="K13" s="177">
        <v>-138.98739624023437</v>
      </c>
      <c r="L13" s="177">
        <v>-128.12657165527344</v>
      </c>
      <c r="M13" s="177">
        <v>-117.27507781982422</v>
      </c>
      <c r="N13" s="177">
        <v>-106.43287658691406</v>
      </c>
      <c r="O13" s="177">
        <v>-95.5999755859375</v>
      </c>
      <c r="P13" s="177">
        <v>-84.776359558105469</v>
      </c>
      <c r="Q13" s="177">
        <v>-73.962013244628906</v>
      </c>
      <c r="R13" s="177">
        <v>-63.156932830810547</v>
      </c>
      <c r="S13" s="177">
        <v>-52.361099243164063</v>
      </c>
      <c r="T13" s="177">
        <v>-41.574508666992188</v>
      </c>
      <c r="U13" s="177">
        <v>-30.797142028808594</v>
      </c>
      <c r="V13" s="177">
        <v>-20.028995513916016</v>
      </c>
      <c r="W13" s="177">
        <v>-9.2700557708740234</v>
      </c>
      <c r="X13" s="177">
        <v>1.4796890020370483</v>
      </c>
      <c r="Y13" s="177">
        <v>12.220249176025391</v>
      </c>
      <c r="Z13" s="177">
        <v>22.951635360717773</v>
      </c>
      <c r="AA13" s="177">
        <v>33.673858642578125</v>
      </c>
      <c r="AB13" s="177">
        <v>44.386928558349609</v>
      </c>
      <c r="AC13" s="177">
        <v>55.090858459472656</v>
      </c>
      <c r="AD13" s="177">
        <v>65.785659790039063</v>
      </c>
      <c r="AE13" s="177">
        <v>76.471343994140625</v>
      </c>
      <c r="AF13" s="177">
        <v>87.147911071777344</v>
      </c>
      <c r="AG13" s="177">
        <v>97.815391540527344</v>
      </c>
      <c r="AH13" s="178">
        <v>108.47377777099609</v>
      </c>
    </row>
    <row r="14" spans="2:34" s="157" customFormat="1" ht="18.75" customHeight="1" x14ac:dyDescent="0.25">
      <c r="B14" s="406"/>
      <c r="C14" s="158">
        <v>1533.3333333330606</v>
      </c>
      <c r="D14" s="176">
        <v>-206.30516052246094</v>
      </c>
      <c r="E14" s="177">
        <v>-195.37881469726562</v>
      </c>
      <c r="F14" s="177">
        <v>-184.46185302734375</v>
      </c>
      <c r="G14" s="177">
        <v>-173.55427551269531</v>
      </c>
      <c r="H14" s="177">
        <v>-162.65608215332031</v>
      </c>
      <c r="I14" s="177">
        <v>-151.76724243164062</v>
      </c>
      <c r="J14" s="177">
        <v>-140.88775634765625</v>
      </c>
      <c r="K14" s="177">
        <v>-130.01760864257812</v>
      </c>
      <c r="L14" s="177">
        <v>-119.15679168701172</v>
      </c>
      <c r="M14" s="177">
        <v>-108.30529022216797</v>
      </c>
      <c r="N14" s="177">
        <v>-97.463096618652344</v>
      </c>
      <c r="O14" s="177">
        <v>-86.630195617675781</v>
      </c>
      <c r="P14" s="177">
        <v>-75.80657958984375</v>
      </c>
      <c r="Q14" s="177">
        <v>-64.992233276367188</v>
      </c>
      <c r="R14" s="177">
        <v>-54.187149047851563</v>
      </c>
      <c r="S14" s="177">
        <v>-43.391315460205078</v>
      </c>
      <c r="T14" s="177">
        <v>-32.604724884033203</v>
      </c>
      <c r="U14" s="177">
        <v>-21.827358245849609</v>
      </c>
      <c r="V14" s="177">
        <v>-11.059211730957031</v>
      </c>
      <c r="W14" s="177">
        <v>-0.30027168989181519</v>
      </c>
      <c r="X14" s="177">
        <v>10.44947338104248</v>
      </c>
      <c r="Y14" s="177">
        <v>21.190032958984375</v>
      </c>
      <c r="Z14" s="177">
        <v>31.921419143676758</v>
      </c>
      <c r="AA14" s="177">
        <v>42.643642425537109</v>
      </c>
      <c r="AB14" s="177">
        <v>53.356712341308594</v>
      </c>
      <c r="AC14" s="177">
        <v>64.060646057128906</v>
      </c>
      <c r="AD14" s="177">
        <v>74.755447387695313</v>
      </c>
      <c r="AE14" s="177">
        <v>85.441123962402344</v>
      </c>
      <c r="AF14" s="177">
        <v>96.117698669433594</v>
      </c>
      <c r="AG14" s="177">
        <v>106.78517150878906</v>
      </c>
      <c r="AH14" s="178">
        <v>117.44355773925781</v>
      </c>
    </row>
    <row r="15" spans="2:34" s="157" customFormat="1" ht="18.75" customHeight="1" thickBot="1" x14ac:dyDescent="0.3">
      <c r="B15" s="406"/>
      <c r="C15" s="158">
        <v>1466.6666666663607</v>
      </c>
      <c r="D15" s="176">
        <v>-197.33535766601562</v>
      </c>
      <c r="E15" s="177">
        <v>-186.40901184082031</v>
      </c>
      <c r="F15" s="177">
        <v>-175.49205017089844</v>
      </c>
      <c r="G15" s="177">
        <v>-164.58448791503906</v>
      </c>
      <c r="H15" s="177">
        <v>-153.686279296875</v>
      </c>
      <c r="I15" s="177">
        <v>-142.79743957519531</v>
      </c>
      <c r="J15" s="177">
        <v>-131.91795349121094</v>
      </c>
      <c r="K15" s="177">
        <v>-121.04781341552734</v>
      </c>
      <c r="L15" s="177">
        <v>-110.18699645996094</v>
      </c>
      <c r="M15" s="177">
        <v>-99.335487365722656</v>
      </c>
      <c r="N15" s="177">
        <v>-88.493293762207031</v>
      </c>
      <c r="O15" s="177">
        <v>-77.660392761230469</v>
      </c>
      <c r="P15" s="177">
        <v>-66.836776733398438</v>
      </c>
      <c r="Q15" s="177">
        <v>-56.022430419921875</v>
      </c>
      <c r="R15" s="177">
        <v>-45.217350006103516</v>
      </c>
      <c r="S15" s="177">
        <v>-34.421516418457031</v>
      </c>
      <c r="T15" s="177">
        <v>-23.634922027587891</v>
      </c>
      <c r="U15" s="177">
        <v>-12.857558250427246</v>
      </c>
      <c r="V15" s="177">
        <v>-2.0894114971160889</v>
      </c>
      <c r="W15" s="177">
        <v>8.6695289611816406</v>
      </c>
      <c r="X15" s="177">
        <v>19.419273376464844</v>
      </c>
      <c r="Y15" s="177">
        <v>30.159833908081055</v>
      </c>
      <c r="Z15" s="177">
        <v>40.891220092773437</v>
      </c>
      <c r="AA15" s="177">
        <v>51.613441467285156</v>
      </c>
      <c r="AB15" s="177">
        <v>62.326515197753906</v>
      </c>
      <c r="AC15" s="177">
        <v>73.030441284179688</v>
      </c>
      <c r="AD15" s="177">
        <v>83.725242614746094</v>
      </c>
      <c r="AE15" s="177">
        <v>94.410926818847656</v>
      </c>
      <c r="AF15" s="177">
        <v>105.08750152587891</v>
      </c>
      <c r="AG15" s="177">
        <v>115.75497436523437</v>
      </c>
      <c r="AH15" s="178">
        <v>126.41336059570312</v>
      </c>
    </row>
    <row r="16" spans="2:34" s="157" customFormat="1" ht="18.75" customHeight="1" x14ac:dyDescent="0.25">
      <c r="B16" s="406"/>
      <c r="C16" s="190">
        <v>1399.9999999996608</v>
      </c>
      <c r="D16" s="176">
        <v>-188.36557006835937</v>
      </c>
      <c r="E16" s="177">
        <v>-177.43922424316406</v>
      </c>
      <c r="F16" s="177">
        <v>-166.52226257324219</v>
      </c>
      <c r="G16" s="177">
        <v>-155.61470031738281</v>
      </c>
      <c r="H16" s="177">
        <v>-144.71649169921875</v>
      </c>
      <c r="I16" s="177">
        <v>-133.82766723632812</v>
      </c>
      <c r="J16" s="177">
        <v>-122.94817352294922</v>
      </c>
      <c r="K16" s="177">
        <v>-112.07802581787109</v>
      </c>
      <c r="L16" s="177">
        <v>-101.21720886230469</v>
      </c>
      <c r="M16" s="177">
        <v>-90.365707397460938</v>
      </c>
      <c r="N16" s="362">
        <v>-79.523513793945313</v>
      </c>
      <c r="O16" s="363">
        <v>-68.69061279296875</v>
      </c>
      <c r="P16" s="177">
        <v>-57.866992950439453</v>
      </c>
      <c r="Q16" s="177">
        <v>-47.052646636962891</v>
      </c>
      <c r="R16" s="177">
        <v>-36.247562408447266</v>
      </c>
      <c r="S16" s="177">
        <v>-25.451732635498047</v>
      </c>
      <c r="T16" s="177">
        <v>-14.665139198303223</v>
      </c>
      <c r="U16" s="177">
        <v>-3.8877744674682617</v>
      </c>
      <c r="V16" s="177">
        <v>6.8803725242614746</v>
      </c>
      <c r="W16" s="177">
        <v>17.639312744140625</v>
      </c>
      <c r="X16" s="177">
        <v>28.389057159423828</v>
      </c>
      <c r="Y16" s="177">
        <v>39.129615783691406</v>
      </c>
      <c r="Z16" s="177">
        <v>49.861003875732422</v>
      </c>
      <c r="AA16" s="177">
        <v>60.583225250244141</v>
      </c>
      <c r="AB16" s="177">
        <v>71.296295166015625</v>
      </c>
      <c r="AC16" s="177">
        <v>82.000228881835938</v>
      </c>
      <c r="AD16" s="177">
        <v>92.695030212402344</v>
      </c>
      <c r="AE16" s="177">
        <v>103.38070678710937</v>
      </c>
      <c r="AF16" s="177">
        <v>114.05728149414062</v>
      </c>
      <c r="AG16" s="177">
        <v>124.72475433349609</v>
      </c>
      <c r="AH16" s="178">
        <v>135.38314819335937</v>
      </c>
    </row>
    <row r="17" spans="1:34" s="157" customFormat="1" ht="18.75" customHeight="1" thickBot="1" x14ac:dyDescent="0.3">
      <c r="B17" s="406"/>
      <c r="C17" s="191">
        <v>1333.3333333329608</v>
      </c>
      <c r="D17" s="176">
        <v>-179.39579772949219</v>
      </c>
      <c r="E17" s="177">
        <v>-168.46943664550781</v>
      </c>
      <c r="F17" s="177">
        <v>-157.552490234375</v>
      </c>
      <c r="G17" s="177">
        <v>-146.64491271972656</v>
      </c>
      <c r="H17" s="177">
        <v>-135.74671936035156</v>
      </c>
      <c r="I17" s="177">
        <v>-124.85787963867187</v>
      </c>
      <c r="J17" s="177">
        <v>-113.9783935546875</v>
      </c>
      <c r="K17" s="177">
        <v>-103.10824584960937</v>
      </c>
      <c r="L17" s="177">
        <v>-92.247421264648438</v>
      </c>
      <c r="M17" s="177">
        <v>-81.395919799804687</v>
      </c>
      <c r="N17" s="364">
        <v>-70.553726196289063</v>
      </c>
      <c r="O17" s="365">
        <v>-59.7208251953125</v>
      </c>
      <c r="P17" s="177">
        <v>-48.897209167480469</v>
      </c>
      <c r="Q17" s="177">
        <v>-38.082862854003906</v>
      </c>
      <c r="R17" s="177">
        <v>-27.277780532836914</v>
      </c>
      <c r="S17" s="177">
        <v>-16.48194694519043</v>
      </c>
      <c r="T17" s="177">
        <v>-5.6953549385070801</v>
      </c>
      <c r="U17" s="177">
        <v>5.0820093154907227</v>
      </c>
      <c r="V17" s="177">
        <v>15.850155830383301</v>
      </c>
      <c r="W17" s="177">
        <v>26.609096527099609</v>
      </c>
      <c r="X17" s="177">
        <v>37.358840942382813</v>
      </c>
      <c r="Y17" s="177">
        <v>48.099399566650391</v>
      </c>
      <c r="Z17" s="177">
        <v>58.830787658691406</v>
      </c>
      <c r="AA17" s="177">
        <v>69.553009033203125</v>
      </c>
      <c r="AB17" s="177">
        <v>80.266082763671875</v>
      </c>
      <c r="AC17" s="177">
        <v>90.970008850097656</v>
      </c>
      <c r="AD17" s="177">
        <v>101.66481018066406</v>
      </c>
      <c r="AE17" s="177">
        <v>112.35049438476562</v>
      </c>
      <c r="AF17" s="177">
        <v>123.02706909179687</v>
      </c>
      <c r="AG17" s="177">
        <v>133.69453430175781</v>
      </c>
      <c r="AH17" s="178">
        <v>144.35293579101562</v>
      </c>
    </row>
    <row r="18" spans="1:34" s="157" customFormat="1" ht="18.75" customHeight="1" x14ac:dyDescent="0.25">
      <c r="B18" s="406"/>
      <c r="C18" s="158">
        <v>1266.6666666662609</v>
      </c>
      <c r="D18" s="176">
        <v>-170.42599487304687</v>
      </c>
      <c r="E18" s="177">
        <v>-159.4996337890625</v>
      </c>
      <c r="F18" s="177">
        <v>-148.58268737792969</v>
      </c>
      <c r="G18" s="177">
        <v>-137.67510986328125</v>
      </c>
      <c r="H18" s="177">
        <v>-126.77691650390625</v>
      </c>
      <c r="I18" s="177">
        <v>-115.88807678222656</v>
      </c>
      <c r="J18" s="177">
        <v>-105.00859069824219</v>
      </c>
      <c r="K18" s="177">
        <v>-94.138442993164062</v>
      </c>
      <c r="L18" s="177">
        <v>-83.277626037597656</v>
      </c>
      <c r="M18" s="177">
        <v>-72.426124572753906</v>
      </c>
      <c r="N18" s="177">
        <v>-61.583927154541016</v>
      </c>
      <c r="O18" s="177">
        <v>-50.751026153564453</v>
      </c>
      <c r="P18" s="177">
        <v>-39.927406311035156</v>
      </c>
      <c r="Q18" s="177">
        <v>-29.113063812255859</v>
      </c>
      <c r="R18" s="177">
        <v>-18.307979583740234</v>
      </c>
      <c r="S18" s="177">
        <v>-7.5121474266052246</v>
      </c>
      <c r="T18" s="177">
        <v>3.2744452953338623</v>
      </c>
      <c r="U18" s="177">
        <v>14.051809310913086</v>
      </c>
      <c r="V18" s="177">
        <v>24.819955825805664</v>
      </c>
      <c r="W18" s="177">
        <v>35.578895568847656</v>
      </c>
      <c r="X18" s="177">
        <v>46.328639984130859</v>
      </c>
      <c r="Y18" s="177">
        <v>57.069202423095703</v>
      </c>
      <c r="Z18" s="177">
        <v>67.800590515136719</v>
      </c>
      <c r="AA18" s="177">
        <v>78.522811889648437</v>
      </c>
      <c r="AB18" s="177">
        <v>89.235885620117187</v>
      </c>
      <c r="AC18" s="177">
        <v>99.939811706542969</v>
      </c>
      <c r="AD18" s="177">
        <v>110.63461303710937</v>
      </c>
      <c r="AE18" s="177">
        <v>121.32029724121094</v>
      </c>
      <c r="AF18" s="177">
        <v>131.99687194824219</v>
      </c>
      <c r="AG18" s="177">
        <v>142.66433715820312</v>
      </c>
      <c r="AH18" s="178">
        <v>153.32272338867187</v>
      </c>
    </row>
    <row r="19" spans="1:34" s="157" customFormat="1" ht="18.75" customHeight="1" x14ac:dyDescent="0.25">
      <c r="B19" s="406"/>
      <c r="C19" s="158">
        <v>1199.9999999995609</v>
      </c>
      <c r="D19" s="176">
        <v>-161.45620727539062</v>
      </c>
      <c r="E19" s="177">
        <v>-150.52986145019531</v>
      </c>
      <c r="F19" s="177">
        <v>-139.61289978027344</v>
      </c>
      <c r="G19" s="177">
        <v>-128.705322265625</v>
      </c>
      <c r="H19" s="177">
        <v>-117.80712890625</v>
      </c>
      <c r="I19" s="177">
        <v>-106.91829681396484</v>
      </c>
      <c r="J19" s="177">
        <v>-96.038810729980469</v>
      </c>
      <c r="K19" s="177">
        <v>-85.168663024902344</v>
      </c>
      <c r="L19" s="177">
        <v>-74.307838439941406</v>
      </c>
      <c r="M19" s="177">
        <v>-63.456336975097656</v>
      </c>
      <c r="N19" s="177">
        <v>-52.614143371582031</v>
      </c>
      <c r="O19" s="177">
        <v>-41.781242370605469</v>
      </c>
      <c r="P19" s="177">
        <v>-30.957624435424805</v>
      </c>
      <c r="Q19" s="177">
        <v>-20.143280029296875</v>
      </c>
      <c r="R19" s="177">
        <v>-9.33819580078125</v>
      </c>
      <c r="S19" s="177">
        <v>1.4576363563537598</v>
      </c>
      <c r="T19" s="177">
        <v>12.244229316711426</v>
      </c>
      <c r="U19" s="177">
        <v>23.02159309387207</v>
      </c>
      <c r="V19" s="177">
        <v>33.789741516113281</v>
      </c>
      <c r="W19" s="177">
        <v>44.548679351806641</v>
      </c>
      <c r="X19" s="177">
        <v>55.298423767089844</v>
      </c>
      <c r="Y19" s="177">
        <v>66.038986206054688</v>
      </c>
      <c r="Z19" s="177">
        <v>76.770370483398438</v>
      </c>
      <c r="AA19" s="177">
        <v>87.492591857910156</v>
      </c>
      <c r="AB19" s="177">
        <v>98.205665588378906</v>
      </c>
      <c r="AC19" s="177">
        <v>108.90959930419922</v>
      </c>
      <c r="AD19" s="177">
        <v>119.60440063476562</v>
      </c>
      <c r="AE19" s="177">
        <v>130.29008483886719</v>
      </c>
      <c r="AF19" s="177">
        <v>140.96664428710937</v>
      </c>
      <c r="AG19" s="177">
        <v>151.63412475585937</v>
      </c>
      <c r="AH19" s="178">
        <v>162.29251098632812</v>
      </c>
    </row>
    <row r="20" spans="1:34" s="157" customFormat="1" ht="18.75" customHeight="1" x14ac:dyDescent="0.25">
      <c r="B20" s="406"/>
      <c r="C20" s="158">
        <v>1133.333333332861</v>
      </c>
      <c r="D20" s="176">
        <v>-152.48641967773437</v>
      </c>
      <c r="E20" s="177">
        <v>-141.56007385253906</v>
      </c>
      <c r="F20" s="177">
        <v>-130.64311218261719</v>
      </c>
      <c r="G20" s="177">
        <v>-119.73554229736328</v>
      </c>
      <c r="H20" s="177">
        <v>-108.83734893798828</v>
      </c>
      <c r="I20" s="177">
        <v>-97.948509216308594</v>
      </c>
      <c r="J20" s="177">
        <v>-87.069023132324219</v>
      </c>
      <c r="K20" s="177">
        <v>-76.198875427246094</v>
      </c>
      <c r="L20" s="177">
        <v>-65.338058471679688</v>
      </c>
      <c r="M20" s="177">
        <v>-54.486553192138672</v>
      </c>
      <c r="N20" s="177">
        <v>-43.644359588623047</v>
      </c>
      <c r="O20" s="177">
        <v>-32.811458587646484</v>
      </c>
      <c r="P20" s="177">
        <v>-21.98784065246582</v>
      </c>
      <c r="Q20" s="177">
        <v>-11.173495292663574</v>
      </c>
      <c r="R20" s="177">
        <v>-0.36841225624084473</v>
      </c>
      <c r="S20" s="177">
        <v>10.427420616149902</v>
      </c>
      <c r="T20" s="177">
        <v>21.214014053344727</v>
      </c>
      <c r="U20" s="177">
        <v>31.991376876831055</v>
      </c>
      <c r="V20" s="177">
        <v>42.759525299072266</v>
      </c>
      <c r="W20" s="177">
        <v>53.518463134765625</v>
      </c>
      <c r="X20" s="177">
        <v>64.268211364746094</v>
      </c>
      <c r="Y20" s="177">
        <v>75.008766174316406</v>
      </c>
      <c r="Z20" s="177">
        <v>85.740158081054688</v>
      </c>
      <c r="AA20" s="177">
        <v>96.462379455566406</v>
      </c>
      <c r="AB20" s="177">
        <v>107.17545318603516</v>
      </c>
      <c r="AC20" s="177">
        <v>117.87937927246094</v>
      </c>
      <c r="AD20" s="177">
        <v>128.57418823242187</v>
      </c>
      <c r="AE20" s="177">
        <v>139.25985717773437</v>
      </c>
      <c r="AF20" s="177">
        <v>149.93643188476562</v>
      </c>
      <c r="AG20" s="177">
        <v>160.60391235351562</v>
      </c>
      <c r="AH20" s="178">
        <v>171.26229858398437</v>
      </c>
    </row>
    <row r="21" spans="1:34" s="157" customFormat="1" ht="18.75" customHeight="1" x14ac:dyDescent="0.25">
      <c r="B21" s="406"/>
      <c r="C21" s="158">
        <v>1066.6666666661611</v>
      </c>
      <c r="D21" s="176">
        <v>-143.51663208007812</v>
      </c>
      <c r="E21" s="177">
        <v>-132.59027099609375</v>
      </c>
      <c r="F21" s="177">
        <v>-121.67331695556641</v>
      </c>
      <c r="G21" s="177">
        <v>-110.7657470703125</v>
      </c>
      <c r="H21" s="177">
        <v>-99.867546081542969</v>
      </c>
      <c r="I21" s="177">
        <v>-88.978706359863281</v>
      </c>
      <c r="J21" s="177">
        <v>-78.099220275878906</v>
      </c>
      <c r="K21" s="177">
        <v>-67.229072570800781</v>
      </c>
      <c r="L21" s="177">
        <v>-56.368255615234375</v>
      </c>
      <c r="M21" s="177">
        <v>-45.516754150390625</v>
      </c>
      <c r="N21" s="177">
        <v>-34.674556732177734</v>
      </c>
      <c r="O21" s="177">
        <v>-23.841657638549805</v>
      </c>
      <c r="P21" s="177">
        <v>-13.018039703369141</v>
      </c>
      <c r="Q21" s="177">
        <v>-2.2036950588226318</v>
      </c>
      <c r="R21" s="177">
        <v>8.6013879776000977</v>
      </c>
      <c r="S21" s="177">
        <v>19.397220611572266</v>
      </c>
      <c r="T21" s="177">
        <v>30.183813095092773</v>
      </c>
      <c r="U21" s="177">
        <v>40.961177825927734</v>
      </c>
      <c r="V21" s="177">
        <v>51.729324340820312</v>
      </c>
      <c r="W21" s="177">
        <v>62.488265991210938</v>
      </c>
      <c r="X21" s="177">
        <v>73.238006591796875</v>
      </c>
      <c r="Y21" s="177">
        <v>83.978569030761719</v>
      </c>
      <c r="Z21" s="177">
        <v>94.709953308105469</v>
      </c>
      <c r="AA21" s="177">
        <v>105.43218231201172</v>
      </c>
      <c r="AB21" s="177">
        <v>116.14524841308594</v>
      </c>
      <c r="AC21" s="177">
        <v>126.84918212890625</v>
      </c>
      <c r="AD21" s="177">
        <v>137.54397583007812</v>
      </c>
      <c r="AE21" s="177">
        <v>148.22966003417969</v>
      </c>
      <c r="AF21" s="177">
        <v>158.90623474121094</v>
      </c>
      <c r="AG21" s="177">
        <v>169.57371520996094</v>
      </c>
      <c r="AH21" s="178">
        <v>180.23210144042969</v>
      </c>
    </row>
    <row r="22" spans="1:34" s="157" customFormat="1" ht="18.75" customHeight="1" x14ac:dyDescent="0.25">
      <c r="B22" s="406"/>
      <c r="C22" s="158">
        <v>999.99999999946112</v>
      </c>
      <c r="D22" s="176">
        <v>-134.54684448242187</v>
      </c>
      <c r="E22" s="177">
        <v>-123.62049102783203</v>
      </c>
      <c r="F22" s="177">
        <v>-112.70353698730469</v>
      </c>
      <c r="G22" s="177">
        <v>-101.79595947265625</v>
      </c>
      <c r="H22" s="177">
        <v>-90.89776611328125</v>
      </c>
      <c r="I22" s="177">
        <v>-80.008926391601563</v>
      </c>
      <c r="J22" s="177">
        <v>-69.129440307617188</v>
      </c>
      <c r="K22" s="177">
        <v>-58.259292602539063</v>
      </c>
      <c r="L22" s="177">
        <v>-47.398471832275391</v>
      </c>
      <c r="M22" s="177">
        <v>-36.546970367431641</v>
      </c>
      <c r="N22" s="177">
        <v>-25.704774856567383</v>
      </c>
      <c r="O22" s="177">
        <v>-14.871872901916504</v>
      </c>
      <c r="P22" s="177">
        <v>-4.0482559204101563</v>
      </c>
      <c r="Q22" s="177">
        <v>6.7660889625549316</v>
      </c>
      <c r="R22" s="177">
        <v>17.571172714233398</v>
      </c>
      <c r="S22" s="177">
        <v>28.36700439453125</v>
      </c>
      <c r="T22" s="177">
        <v>39.153598785400391</v>
      </c>
      <c r="U22" s="177">
        <v>49.930961608886719</v>
      </c>
      <c r="V22" s="177">
        <v>60.699108123779297</v>
      </c>
      <c r="W22" s="177">
        <v>71.458045959472656</v>
      </c>
      <c r="X22" s="177">
        <v>82.207794189453125</v>
      </c>
      <c r="Y22" s="177">
        <v>92.948356628417969</v>
      </c>
      <c r="Z22" s="177">
        <v>103.67974090576172</v>
      </c>
      <c r="AA22" s="177">
        <v>114.40196228027344</v>
      </c>
      <c r="AB22" s="177">
        <v>125.11503601074219</v>
      </c>
      <c r="AC22" s="177">
        <v>135.8189697265625</v>
      </c>
      <c r="AD22" s="177">
        <v>146.51376342773437</v>
      </c>
      <c r="AE22" s="177">
        <v>157.19944763183594</v>
      </c>
      <c r="AF22" s="177">
        <v>167.87602233886719</v>
      </c>
      <c r="AG22" s="177">
        <v>178.54348754882812</v>
      </c>
      <c r="AH22" s="178">
        <v>189.20187377929687</v>
      </c>
    </row>
    <row r="23" spans="1:34" s="157" customFormat="1" ht="18.75" customHeight="1" x14ac:dyDescent="0.25">
      <c r="B23" s="406"/>
      <c r="C23" s="158">
        <v>933.33333333276119</v>
      </c>
      <c r="D23" s="176">
        <v>-125.57704925537109</v>
      </c>
      <c r="E23" s="177">
        <v>-114.65069580078125</v>
      </c>
      <c r="F23" s="177">
        <v>-103.73374176025391</v>
      </c>
      <c r="G23" s="177">
        <v>-92.826171875</v>
      </c>
      <c r="H23" s="177">
        <v>-81.927970886230469</v>
      </c>
      <c r="I23" s="177">
        <v>-71.039131164550781</v>
      </c>
      <c r="J23" s="177">
        <v>-60.159645080566406</v>
      </c>
      <c r="K23" s="177">
        <v>-49.289501190185547</v>
      </c>
      <c r="L23" s="177">
        <v>-38.428680419921875</v>
      </c>
      <c r="M23" s="177">
        <v>-27.577178955078125</v>
      </c>
      <c r="N23" s="177">
        <v>-16.734981536865234</v>
      </c>
      <c r="O23" s="177">
        <v>-5.9020810127258301</v>
      </c>
      <c r="P23" s="177">
        <v>4.9215364456176758</v>
      </c>
      <c r="Q23" s="177">
        <v>15.735880851745605</v>
      </c>
      <c r="R23" s="177">
        <v>26.540964126586914</v>
      </c>
      <c r="S23" s="177">
        <v>37.336795806884766</v>
      </c>
      <c r="T23" s="177">
        <v>48.123390197753906</v>
      </c>
      <c r="U23" s="177">
        <v>58.900753021240234</v>
      </c>
      <c r="V23" s="177">
        <v>69.668899536132813</v>
      </c>
      <c r="W23" s="177">
        <v>80.427841186523437</v>
      </c>
      <c r="X23" s="177">
        <v>91.177581787109375</v>
      </c>
      <c r="Y23" s="177">
        <v>101.91814422607422</v>
      </c>
      <c r="Z23" s="177">
        <v>112.64952850341797</v>
      </c>
      <c r="AA23" s="177">
        <v>123.37175750732422</v>
      </c>
      <c r="AB23" s="177">
        <v>134.08482360839844</v>
      </c>
      <c r="AC23" s="177">
        <v>144.78875732421875</v>
      </c>
      <c r="AD23" s="177">
        <v>155.48355102539062</v>
      </c>
      <c r="AE23" s="177">
        <v>166.16923522949219</v>
      </c>
      <c r="AF23" s="177">
        <v>176.84580993652344</v>
      </c>
      <c r="AG23" s="177">
        <v>187.51329040527344</v>
      </c>
      <c r="AH23" s="178">
        <v>198.17167663574219</v>
      </c>
    </row>
    <row r="24" spans="1:34" s="157" customFormat="1" ht="18.75" customHeight="1" x14ac:dyDescent="0.25">
      <c r="B24" s="406"/>
      <c r="C24" s="158">
        <v>866.66666666606125</v>
      </c>
      <c r="D24" s="176">
        <v>-116.60726165771484</v>
      </c>
      <c r="E24" s="177">
        <v>-105.68091583251953</v>
      </c>
      <c r="F24" s="177">
        <v>-94.763954162597656</v>
      </c>
      <c r="G24" s="177">
        <v>-83.85638427734375</v>
      </c>
      <c r="H24" s="177">
        <v>-72.958183288574219</v>
      </c>
      <c r="I24" s="177">
        <v>-62.069351196289063</v>
      </c>
      <c r="J24" s="177">
        <v>-51.189861297607422</v>
      </c>
      <c r="K24" s="177">
        <v>-40.319717407226563</v>
      </c>
      <c r="L24" s="177">
        <v>-29.458896636962891</v>
      </c>
      <c r="M24" s="177">
        <v>-18.607395172119141</v>
      </c>
      <c r="N24" s="177">
        <v>-7.7651982307434082</v>
      </c>
      <c r="O24" s="177">
        <v>3.0677027702331543</v>
      </c>
      <c r="P24" s="177">
        <v>13.89132022857666</v>
      </c>
      <c r="Q24" s="177">
        <v>24.705665588378906</v>
      </c>
      <c r="R24" s="177">
        <v>35.510749816894531</v>
      </c>
      <c r="S24" s="177">
        <v>46.30657958984375</v>
      </c>
      <c r="T24" s="177">
        <v>57.093173980712891</v>
      </c>
      <c r="U24" s="177">
        <v>67.870536804199219</v>
      </c>
      <c r="V24" s="177">
        <v>78.638687133789063</v>
      </c>
      <c r="W24" s="177">
        <v>89.397621154785156</v>
      </c>
      <c r="X24" s="177">
        <v>100.14736938476562</v>
      </c>
      <c r="Y24" s="177">
        <v>110.88793182373047</v>
      </c>
      <c r="Z24" s="177">
        <v>121.61931610107422</v>
      </c>
      <c r="AA24" s="177">
        <v>132.34153747558594</v>
      </c>
      <c r="AB24" s="177">
        <v>143.05461120605469</v>
      </c>
      <c r="AC24" s="177">
        <v>153.758544921875</v>
      </c>
      <c r="AD24" s="177">
        <v>164.45333862304688</v>
      </c>
      <c r="AE24" s="177">
        <v>175.13902282714844</v>
      </c>
      <c r="AF24" s="177">
        <v>185.81559753417969</v>
      </c>
      <c r="AG24" s="177">
        <v>196.48306274414062</v>
      </c>
      <c r="AH24" s="178">
        <v>207.14146423339844</v>
      </c>
    </row>
    <row r="25" spans="1:34" s="157" customFormat="1" ht="18.75" customHeight="1" x14ac:dyDescent="0.25">
      <c r="B25" s="406"/>
      <c r="C25" s="158">
        <v>799.99999999936131</v>
      </c>
      <c r="D25" s="176">
        <v>-107.63747406005859</v>
      </c>
      <c r="E25" s="177">
        <v>-96.71112060546875</v>
      </c>
      <c r="F25" s="177">
        <v>-85.794166564941406</v>
      </c>
      <c r="G25" s="177">
        <v>-74.8865966796875</v>
      </c>
      <c r="H25" s="177">
        <v>-63.988395690917969</v>
      </c>
      <c r="I25" s="177">
        <v>-53.099555969238281</v>
      </c>
      <c r="J25" s="177">
        <v>-42.220069885253906</v>
      </c>
      <c r="K25" s="177">
        <v>-31.349924087524414</v>
      </c>
      <c r="L25" s="177">
        <v>-20.489105224609375</v>
      </c>
      <c r="M25" s="177">
        <v>-9.6376028060913086</v>
      </c>
      <c r="N25" s="177">
        <v>1.2045936584472656</v>
      </c>
      <c r="O25" s="177">
        <v>12.037494659423828</v>
      </c>
      <c r="P25" s="177">
        <v>22.861112594604492</v>
      </c>
      <c r="Q25" s="177">
        <v>33.675457000732422</v>
      </c>
      <c r="R25" s="177">
        <v>44.480541229248047</v>
      </c>
      <c r="S25" s="177">
        <v>55.276371002197266</v>
      </c>
      <c r="T25" s="177">
        <v>66.062965393066406</v>
      </c>
      <c r="U25" s="177">
        <v>76.84033203125</v>
      </c>
      <c r="V25" s="177">
        <v>87.608474731445313</v>
      </c>
      <c r="W25" s="177">
        <v>98.367416381835938</v>
      </c>
      <c r="X25" s="177">
        <v>109.11716461181641</v>
      </c>
      <c r="Y25" s="177">
        <v>119.85771942138672</v>
      </c>
      <c r="Z25" s="177">
        <v>130.589111328125</v>
      </c>
      <c r="AA25" s="177">
        <v>141.31132507324219</v>
      </c>
      <c r="AB25" s="177">
        <v>152.02439880371094</v>
      </c>
      <c r="AC25" s="177">
        <v>162.72833251953125</v>
      </c>
      <c r="AD25" s="177">
        <v>173.42312622070312</v>
      </c>
      <c r="AE25" s="177">
        <v>184.10881042480469</v>
      </c>
      <c r="AF25" s="177">
        <v>194.78538513183594</v>
      </c>
      <c r="AG25" s="177">
        <v>205.45286560058594</v>
      </c>
      <c r="AH25" s="178">
        <v>216.11125183105469</v>
      </c>
    </row>
    <row r="26" spans="1:34" s="157" customFormat="1" ht="18.75" customHeight="1" x14ac:dyDescent="0.25">
      <c r="B26" s="406"/>
      <c r="C26" s="158">
        <v>733.33333333266137</v>
      </c>
      <c r="D26" s="176">
        <v>-98.667678833007813</v>
      </c>
      <c r="E26" s="177">
        <v>-87.741325378417969</v>
      </c>
      <c r="F26" s="177">
        <v>-76.824371337890625</v>
      </c>
      <c r="G26" s="177">
        <v>-65.916801452636719</v>
      </c>
      <c r="H26" s="177">
        <v>-55.018604278564453</v>
      </c>
      <c r="I26" s="177">
        <v>-44.129764556884766</v>
      </c>
      <c r="J26" s="177">
        <v>-33.250278472900391</v>
      </c>
      <c r="K26" s="177">
        <v>-22.380130767822266</v>
      </c>
      <c r="L26" s="177">
        <v>-11.519311904907227</v>
      </c>
      <c r="M26" s="177">
        <v>-0.66781026124954224</v>
      </c>
      <c r="N26" s="177">
        <v>10.174386024475098</v>
      </c>
      <c r="O26" s="177">
        <v>21.007286071777344</v>
      </c>
      <c r="P26" s="177">
        <v>31.830904006958008</v>
      </c>
      <c r="Q26" s="177">
        <v>42.645248413085938</v>
      </c>
      <c r="R26" s="177">
        <v>53.450332641601563</v>
      </c>
      <c r="S26" s="177">
        <v>64.246162414550781</v>
      </c>
      <c r="T26" s="177">
        <v>75.032760620117188</v>
      </c>
      <c r="U26" s="177">
        <v>85.81011962890625</v>
      </c>
      <c r="V26" s="177">
        <v>96.578269958496094</v>
      </c>
      <c r="W26" s="177">
        <v>107.33721160888672</v>
      </c>
      <c r="X26" s="177">
        <v>118.08695220947266</v>
      </c>
      <c r="Y26" s="177">
        <v>128.8275146484375</v>
      </c>
      <c r="Z26" s="177">
        <v>139.55889892578125</v>
      </c>
      <c r="AA26" s="177">
        <v>150.2811279296875</v>
      </c>
      <c r="AB26" s="177">
        <v>160.99420166015625</v>
      </c>
      <c r="AC26" s="177">
        <v>171.6981201171875</v>
      </c>
      <c r="AD26" s="177">
        <v>182.39292907714844</v>
      </c>
      <c r="AE26" s="177">
        <v>193.07861328125</v>
      </c>
      <c r="AF26" s="177">
        <v>203.75517272949219</v>
      </c>
      <c r="AG26" s="177">
        <v>214.42265319824219</v>
      </c>
      <c r="AH26" s="178">
        <v>225.08103942871094</v>
      </c>
    </row>
    <row r="27" spans="1:34" s="157" customFormat="1" ht="18.75" customHeight="1" x14ac:dyDescent="0.25">
      <c r="B27" s="406"/>
      <c r="C27" s="158">
        <v>666.66666666596143</v>
      </c>
      <c r="D27" s="176">
        <v>-89.697898864746094</v>
      </c>
      <c r="E27" s="177">
        <v>-78.77154541015625</v>
      </c>
      <c r="F27" s="177">
        <v>-67.854591369628906</v>
      </c>
      <c r="G27" s="177">
        <v>-56.947017669677734</v>
      </c>
      <c r="H27" s="177">
        <v>-46.048816680908203</v>
      </c>
      <c r="I27" s="177">
        <v>-35.159980773925781</v>
      </c>
      <c r="J27" s="177">
        <v>-24.280494689941406</v>
      </c>
      <c r="K27" s="177">
        <v>-13.410346984863281</v>
      </c>
      <c r="L27" s="177">
        <v>-2.5495283603668213</v>
      </c>
      <c r="M27" s="177">
        <v>8.3019733428955078</v>
      </c>
      <c r="N27" s="177">
        <v>19.144168853759766</v>
      </c>
      <c r="O27" s="177">
        <v>29.977071762084961</v>
      </c>
      <c r="P27" s="177">
        <v>40.800689697265625</v>
      </c>
      <c r="Q27" s="177">
        <v>51.615032196044922</v>
      </c>
      <c r="R27" s="177">
        <v>62.420116424560547</v>
      </c>
      <c r="S27" s="177">
        <v>73.215950012207031</v>
      </c>
      <c r="T27" s="177">
        <v>84.002540588378906</v>
      </c>
      <c r="U27" s="177">
        <v>94.7799072265625</v>
      </c>
      <c r="V27" s="177">
        <v>105.54804992675781</v>
      </c>
      <c r="W27" s="177">
        <v>116.30699157714844</v>
      </c>
      <c r="X27" s="177">
        <v>127.05673980712891</v>
      </c>
      <c r="Y27" s="177">
        <v>137.79730224609375</v>
      </c>
      <c r="Z27" s="177">
        <v>148.5286865234375</v>
      </c>
      <c r="AA27" s="177">
        <v>159.25090026855469</v>
      </c>
      <c r="AB27" s="177">
        <v>169.96397399902344</v>
      </c>
      <c r="AC27" s="177">
        <v>180.66790771484375</v>
      </c>
      <c r="AD27" s="177">
        <v>191.36271667480469</v>
      </c>
      <c r="AE27" s="177">
        <v>202.04838562011719</v>
      </c>
      <c r="AF27" s="177">
        <v>212.72496032714844</v>
      </c>
      <c r="AG27" s="177">
        <v>223.39244079589844</v>
      </c>
      <c r="AH27" s="178">
        <v>234.05082702636719</v>
      </c>
    </row>
    <row r="28" spans="1:34" s="168" customFormat="1" ht="18.75" customHeight="1" x14ac:dyDescent="0.25">
      <c r="A28" s="157"/>
      <c r="B28" s="406"/>
      <c r="C28" s="158">
        <v>599.99999999926149</v>
      </c>
      <c r="D28" s="179">
        <v>-80.728103637695313</v>
      </c>
      <c r="E28" s="180">
        <v>-69.801750183105469</v>
      </c>
      <c r="F28" s="180">
        <v>-58.884796142578125</v>
      </c>
      <c r="G28" s="180">
        <v>-47.977226257324219</v>
      </c>
      <c r="H28" s="180">
        <v>-37.079025268554687</v>
      </c>
      <c r="I28" s="180">
        <v>-26.190189361572266</v>
      </c>
      <c r="J28" s="180">
        <v>-15.310702323913574</v>
      </c>
      <c r="K28" s="180">
        <v>-4.4405550956726074</v>
      </c>
      <c r="L28" s="180">
        <v>6.4202637672424316</v>
      </c>
      <c r="M28" s="180">
        <v>17.271766662597656</v>
      </c>
      <c r="N28" s="180">
        <v>28.113962173461914</v>
      </c>
      <c r="O28" s="180">
        <v>38.946861267089844</v>
      </c>
      <c r="P28" s="180">
        <v>49.770481109619141</v>
      </c>
      <c r="Q28" s="180">
        <v>60.584823608398438</v>
      </c>
      <c r="R28" s="180">
        <v>71.389907836914063</v>
      </c>
      <c r="S28" s="180">
        <v>82.185737609863281</v>
      </c>
      <c r="T28" s="180">
        <v>92.972335815429688</v>
      </c>
      <c r="U28" s="180">
        <v>103.74969482421875</v>
      </c>
      <c r="V28" s="180">
        <v>114.51784515380859</v>
      </c>
      <c r="W28" s="180">
        <v>125.27678680419922</v>
      </c>
      <c r="X28" s="180">
        <v>136.02653503417969</v>
      </c>
      <c r="Y28" s="180">
        <v>146.76708984375</v>
      </c>
      <c r="Z28" s="180">
        <v>157.49847412109375</v>
      </c>
      <c r="AA28" s="180">
        <v>168.220703125</v>
      </c>
      <c r="AB28" s="180">
        <v>178.93377685546875</v>
      </c>
      <c r="AC28" s="180">
        <v>189.6376953125</v>
      </c>
      <c r="AD28" s="180">
        <v>200.33250427246094</v>
      </c>
      <c r="AE28" s="180">
        <v>211.0181884765625</v>
      </c>
      <c r="AF28" s="180">
        <v>221.69474792480469</v>
      </c>
      <c r="AG28" s="180">
        <v>232.36222839355469</v>
      </c>
      <c r="AH28" s="181">
        <v>243.02061462402344</v>
      </c>
    </row>
    <row r="29" spans="1:34" s="157" customFormat="1" ht="18.75" customHeight="1" x14ac:dyDescent="0.25">
      <c r="B29" s="406"/>
      <c r="C29" s="158">
        <v>533.33333333256155</v>
      </c>
      <c r="D29" s="176">
        <v>-71.758316040039063</v>
      </c>
      <c r="E29" s="177">
        <v>-60.831962585449219</v>
      </c>
      <c r="F29" s="177">
        <v>-49.915004730224609</v>
      </c>
      <c r="G29" s="177">
        <v>-39.007434844970703</v>
      </c>
      <c r="H29" s="177">
        <v>-28.109233856201172</v>
      </c>
      <c r="I29" s="177">
        <v>-17.22039794921875</v>
      </c>
      <c r="J29" s="177">
        <v>-6.3409104347229004</v>
      </c>
      <c r="K29" s="177">
        <v>4.5292367935180664</v>
      </c>
      <c r="L29" s="177">
        <v>15.390055656433105</v>
      </c>
      <c r="M29" s="177">
        <v>26.241558074951172</v>
      </c>
      <c r="N29" s="177">
        <v>37.083755493164063</v>
      </c>
      <c r="O29" s="177">
        <v>47.916656494140625</v>
      </c>
      <c r="P29" s="177">
        <v>58.740272521972656</v>
      </c>
      <c r="Q29" s="177">
        <v>69.554618835449219</v>
      </c>
      <c r="R29" s="177">
        <v>80.359703063964844</v>
      </c>
      <c r="S29" s="177">
        <v>91.155532836914062</v>
      </c>
      <c r="T29" s="177">
        <v>101.94212341308594</v>
      </c>
      <c r="U29" s="177">
        <v>112.71949005126953</v>
      </c>
      <c r="V29" s="177">
        <v>123.48764038085937</v>
      </c>
      <c r="W29" s="177">
        <v>134.24658203125</v>
      </c>
      <c r="X29" s="177">
        <v>144.99632263183594</v>
      </c>
      <c r="Y29" s="177">
        <v>155.73687744140625</v>
      </c>
      <c r="Z29" s="177">
        <v>166.46826171875</v>
      </c>
      <c r="AA29" s="177">
        <v>177.19049072265625</v>
      </c>
      <c r="AB29" s="177">
        <v>187.903564453125</v>
      </c>
      <c r="AC29" s="177">
        <v>198.60749816894531</v>
      </c>
      <c r="AD29" s="177">
        <v>209.30229187011719</v>
      </c>
      <c r="AE29" s="177">
        <v>219.98797607421875</v>
      </c>
      <c r="AF29" s="177">
        <v>230.66455078125</v>
      </c>
      <c r="AG29" s="177">
        <v>241.33201599121094</v>
      </c>
      <c r="AH29" s="178">
        <v>251.99040222167969</v>
      </c>
    </row>
    <row r="30" spans="1:34" s="157" customFormat="1" ht="18.75" customHeight="1" x14ac:dyDescent="0.25">
      <c r="B30" s="406"/>
      <c r="C30" s="158">
        <v>466.66666666586156</v>
      </c>
      <c r="D30" s="176">
        <v>-62.788524627685547</v>
      </c>
      <c r="E30" s="177">
        <v>-51.862171173095703</v>
      </c>
      <c r="F30" s="177">
        <v>-40.945217132568359</v>
      </c>
      <c r="G30" s="177">
        <v>-30.03764533996582</v>
      </c>
      <c r="H30" s="177">
        <v>-19.139446258544922</v>
      </c>
      <c r="I30" s="177">
        <v>-8.2506093978881836</v>
      </c>
      <c r="J30" s="177">
        <v>2.6288774013519287</v>
      </c>
      <c r="K30" s="177">
        <v>13.499024391174316</v>
      </c>
      <c r="L30" s="177">
        <v>24.359844207763672</v>
      </c>
      <c r="M30" s="177">
        <v>35.211345672607422</v>
      </c>
      <c r="N30" s="177">
        <v>46.053543090820313</v>
      </c>
      <c r="O30" s="177">
        <v>56.886444091796875</v>
      </c>
      <c r="P30" s="177">
        <v>67.710060119628906</v>
      </c>
      <c r="Q30" s="177">
        <v>78.524406433105469</v>
      </c>
      <c r="R30" s="177">
        <v>89.329490661621094</v>
      </c>
      <c r="S30" s="177">
        <v>100.12532043457031</v>
      </c>
      <c r="T30" s="177">
        <v>110.91191101074219</v>
      </c>
      <c r="U30" s="177">
        <v>121.68927764892578</v>
      </c>
      <c r="V30" s="177">
        <v>132.45742797851563</v>
      </c>
      <c r="W30" s="177">
        <v>143.21636962890625</v>
      </c>
      <c r="X30" s="177">
        <v>153.96611022949219</v>
      </c>
      <c r="Y30" s="177">
        <v>164.7066650390625</v>
      </c>
      <c r="Z30" s="177">
        <v>175.43804931640625</v>
      </c>
      <c r="AA30" s="177">
        <v>186.1602783203125</v>
      </c>
      <c r="AB30" s="177">
        <v>196.87335205078125</v>
      </c>
      <c r="AC30" s="177">
        <v>207.57728576660156</v>
      </c>
      <c r="AD30" s="177">
        <v>218.27207946777344</v>
      </c>
      <c r="AE30" s="177">
        <v>228.957763671875</v>
      </c>
      <c r="AF30" s="177">
        <v>239.63433837890625</v>
      </c>
      <c r="AG30" s="177">
        <v>250.30180358886719</v>
      </c>
      <c r="AH30" s="178">
        <v>260.960205078125</v>
      </c>
    </row>
    <row r="31" spans="1:34" s="157" customFormat="1" ht="18.75" customHeight="1" x14ac:dyDescent="0.25">
      <c r="B31" s="406"/>
      <c r="C31" s="158">
        <v>399.99999999916156</v>
      </c>
      <c r="D31" s="176">
        <v>-53.818737030029297</v>
      </c>
      <c r="E31" s="177">
        <v>-42.892383575439453</v>
      </c>
      <c r="F31" s="177">
        <v>-31.975429534912109</v>
      </c>
      <c r="G31" s="177">
        <v>-21.06785774230957</v>
      </c>
      <c r="H31" s="177">
        <v>-10.169658660888672</v>
      </c>
      <c r="I31" s="177">
        <v>0.71917885541915894</v>
      </c>
      <c r="J31" s="177">
        <v>11.598665237426758</v>
      </c>
      <c r="K31" s="177">
        <v>22.468812942504883</v>
      </c>
      <c r="L31" s="177">
        <v>33.329631805419922</v>
      </c>
      <c r="M31" s="177">
        <v>44.181133270263672</v>
      </c>
      <c r="N31" s="177">
        <v>55.023330688476563</v>
      </c>
      <c r="O31" s="177">
        <v>65.856231689453125</v>
      </c>
      <c r="P31" s="177">
        <v>76.679847717285156</v>
      </c>
      <c r="Q31" s="177">
        <v>87.494194030761719</v>
      </c>
      <c r="R31" s="177">
        <v>98.299278259277344</v>
      </c>
      <c r="S31" s="177">
        <v>109.09510803222656</v>
      </c>
      <c r="T31" s="177">
        <v>119.88169860839844</v>
      </c>
      <c r="U31" s="177">
        <v>130.65907287597656</v>
      </c>
      <c r="V31" s="177">
        <v>141.42721557617187</v>
      </c>
      <c r="W31" s="177">
        <v>152.1861572265625</v>
      </c>
      <c r="X31" s="177">
        <v>162.93589782714844</v>
      </c>
      <c r="Y31" s="177">
        <v>173.67645263671875</v>
      </c>
      <c r="Z31" s="177">
        <v>184.4078369140625</v>
      </c>
      <c r="AA31" s="177">
        <v>195.13006591796875</v>
      </c>
      <c r="AB31" s="177">
        <v>205.8431396484375</v>
      </c>
      <c r="AC31" s="177">
        <v>216.54707336425781</v>
      </c>
      <c r="AD31" s="177">
        <v>227.24186706542969</v>
      </c>
      <c r="AE31" s="177">
        <v>237.92755126953125</v>
      </c>
      <c r="AF31" s="177">
        <v>248.6041259765625</v>
      </c>
      <c r="AG31" s="177">
        <v>259.2716064453125</v>
      </c>
      <c r="AH31" s="178">
        <v>269.92999267578125</v>
      </c>
    </row>
    <row r="32" spans="1:34" s="157" customFormat="1" ht="18.75" customHeight="1" x14ac:dyDescent="0.25">
      <c r="B32" s="406"/>
      <c r="C32" s="158">
        <v>333.33333333246156</v>
      </c>
      <c r="D32" s="176">
        <v>-44.848949432373047</v>
      </c>
      <c r="E32" s="177">
        <v>-33.922595977783203</v>
      </c>
      <c r="F32" s="177">
        <v>-23.005641937255859</v>
      </c>
      <c r="G32" s="177">
        <v>-12.098069190979004</v>
      </c>
      <c r="H32" s="177">
        <v>-1.1998703479766846</v>
      </c>
      <c r="I32" s="177">
        <v>9.6889667510986328</v>
      </c>
      <c r="J32" s="177">
        <v>20.568452835083008</v>
      </c>
      <c r="K32" s="177">
        <v>31.438600540161133</v>
      </c>
      <c r="L32" s="177">
        <v>42.299419403076172</v>
      </c>
      <c r="M32" s="177">
        <v>53.150920867919922</v>
      </c>
      <c r="N32" s="177">
        <v>63.993118286132813</v>
      </c>
      <c r="O32" s="177">
        <v>74.826019287109375</v>
      </c>
      <c r="P32" s="177">
        <v>85.649635314941406</v>
      </c>
      <c r="Q32" s="177">
        <v>96.463981628417969</v>
      </c>
      <c r="R32" s="177">
        <v>107.26906585693359</v>
      </c>
      <c r="S32" s="177">
        <v>118.06489562988281</v>
      </c>
      <c r="T32" s="177">
        <v>128.85148620605469</v>
      </c>
      <c r="U32" s="177">
        <v>139.62886047363281</v>
      </c>
      <c r="V32" s="177">
        <v>150.39700317382812</v>
      </c>
      <c r="W32" s="177">
        <v>161.15594482421875</v>
      </c>
      <c r="X32" s="177">
        <v>171.90568542480469</v>
      </c>
      <c r="Y32" s="177">
        <v>182.646240234375</v>
      </c>
      <c r="Z32" s="177">
        <v>193.37762451171875</v>
      </c>
      <c r="AA32" s="177">
        <v>204.099853515625</v>
      </c>
      <c r="AB32" s="177">
        <v>214.81292724609375</v>
      </c>
      <c r="AC32" s="177">
        <v>225.51686096191406</v>
      </c>
      <c r="AD32" s="177">
        <v>236.21165466308594</v>
      </c>
      <c r="AE32" s="177">
        <v>246.8973388671875</v>
      </c>
      <c r="AF32" s="177">
        <v>257.57391357421875</v>
      </c>
      <c r="AG32" s="177">
        <v>268.24139404296875</v>
      </c>
      <c r="AH32" s="178">
        <v>278.8997802734375</v>
      </c>
    </row>
    <row r="33" spans="2:34" s="157" customFormat="1" ht="18.75" customHeight="1" x14ac:dyDescent="0.25">
      <c r="B33" s="406"/>
      <c r="C33" s="158">
        <v>266.66666666576157</v>
      </c>
      <c r="D33" s="176">
        <v>-35.879158020019531</v>
      </c>
      <c r="E33" s="177">
        <v>-24.952804565429688</v>
      </c>
      <c r="F33" s="177">
        <v>-14.035848617553711</v>
      </c>
      <c r="G33" s="177">
        <v>-3.128277063369751</v>
      </c>
      <c r="H33" s="177">
        <v>7.7699217796325684</v>
      </c>
      <c r="I33" s="177">
        <v>18.658758163452148</v>
      </c>
      <c r="J33" s="177">
        <v>29.538246154785156</v>
      </c>
      <c r="K33" s="177">
        <v>40.408393859863281</v>
      </c>
      <c r="L33" s="177">
        <v>51.269210815429688</v>
      </c>
      <c r="M33" s="177">
        <v>62.120712280273438</v>
      </c>
      <c r="N33" s="177">
        <v>72.962913513183594</v>
      </c>
      <c r="O33" s="177">
        <v>83.795814514160156</v>
      </c>
      <c r="P33" s="177">
        <v>94.619430541992188</v>
      </c>
      <c r="Q33" s="177">
        <v>105.43377685546875</v>
      </c>
      <c r="R33" s="177">
        <v>116.23885345458984</v>
      </c>
      <c r="S33" s="177">
        <v>127.03469085693359</v>
      </c>
      <c r="T33" s="177">
        <v>137.8212890625</v>
      </c>
      <c r="U33" s="177">
        <v>148.59864807128906</v>
      </c>
      <c r="V33" s="177">
        <v>159.36679077148437</v>
      </c>
      <c r="W33" s="177">
        <v>170.125732421875</v>
      </c>
      <c r="X33" s="177">
        <v>180.87547302246094</v>
      </c>
      <c r="Y33" s="177">
        <v>191.61604309082031</v>
      </c>
      <c r="Z33" s="177">
        <v>202.34742736816406</v>
      </c>
      <c r="AA33" s="177">
        <v>213.06964111328125</v>
      </c>
      <c r="AB33" s="177">
        <v>223.78271484375</v>
      </c>
      <c r="AC33" s="177">
        <v>234.48664855957031</v>
      </c>
      <c r="AD33" s="177">
        <v>245.18144226074219</v>
      </c>
      <c r="AE33" s="177">
        <v>255.86712646484375</v>
      </c>
      <c r="AF33" s="177">
        <v>266.543701171875</v>
      </c>
      <c r="AG33" s="177">
        <v>277.211181640625</v>
      </c>
      <c r="AH33" s="178">
        <v>287.86956787109375</v>
      </c>
    </row>
    <row r="34" spans="2:34" s="157" customFormat="1" ht="18.75" customHeight="1" x14ac:dyDescent="0.25">
      <c r="B34" s="406"/>
      <c r="C34" s="158">
        <v>199.99999999906157</v>
      </c>
      <c r="D34" s="176">
        <v>-26.909368515014648</v>
      </c>
      <c r="E34" s="177">
        <v>-15.983016967773438</v>
      </c>
      <c r="F34" s="177">
        <v>-5.0660610198974609</v>
      </c>
      <c r="G34" s="177">
        <v>5.8415107727050781</v>
      </c>
      <c r="H34" s="177">
        <v>16.739709854125977</v>
      </c>
      <c r="I34" s="177">
        <v>27.628547668457031</v>
      </c>
      <c r="J34" s="177">
        <v>38.508033752441406</v>
      </c>
      <c r="K34" s="177">
        <v>49.378181457519531</v>
      </c>
      <c r="L34" s="177">
        <v>60.238998413085938</v>
      </c>
      <c r="M34" s="177">
        <v>71.090499877929688</v>
      </c>
      <c r="N34" s="177">
        <v>81.932701110839844</v>
      </c>
      <c r="O34" s="177">
        <v>92.765602111816406</v>
      </c>
      <c r="P34" s="177">
        <v>103.58921813964844</v>
      </c>
      <c r="Q34" s="177">
        <v>114.403564453125</v>
      </c>
      <c r="R34" s="177">
        <v>125.20864105224609</v>
      </c>
      <c r="S34" s="177">
        <v>136.00447082519531</v>
      </c>
      <c r="T34" s="177">
        <v>146.79107666015625</v>
      </c>
      <c r="U34" s="177">
        <v>157.56843566894531</v>
      </c>
      <c r="V34" s="177">
        <v>168.33657836914062</v>
      </c>
      <c r="W34" s="177">
        <v>179.09552001953125</v>
      </c>
      <c r="X34" s="177">
        <v>189.84526062011719</v>
      </c>
      <c r="Y34" s="177">
        <v>200.58583068847656</v>
      </c>
      <c r="Z34" s="177">
        <v>211.31721496582031</v>
      </c>
      <c r="AA34" s="177">
        <v>222.0394287109375</v>
      </c>
      <c r="AB34" s="177">
        <v>232.75250244140625</v>
      </c>
      <c r="AC34" s="177">
        <v>243.45643615722656</v>
      </c>
      <c r="AD34" s="177">
        <v>254.1512451171875</v>
      </c>
      <c r="AE34" s="177">
        <v>264.8369140625</v>
      </c>
      <c r="AF34" s="177">
        <v>275.51348876953125</v>
      </c>
      <c r="AG34" s="177">
        <v>286.18096923828125</v>
      </c>
      <c r="AH34" s="178">
        <v>296.83935546875</v>
      </c>
    </row>
    <row r="35" spans="2:34" s="157" customFormat="1" ht="18.75" customHeight="1" x14ac:dyDescent="0.25">
      <c r="B35" s="406"/>
      <c r="C35" s="158">
        <v>133.33333333236158</v>
      </c>
      <c r="D35" s="176">
        <v>-17.939579010009766</v>
      </c>
      <c r="E35" s="177">
        <v>-7.0132269859313965</v>
      </c>
      <c r="F35" s="177">
        <v>3.9037292003631592</v>
      </c>
      <c r="G35" s="177">
        <v>14.811301231384277</v>
      </c>
      <c r="H35" s="177">
        <v>25.709499359130859</v>
      </c>
      <c r="I35" s="177">
        <v>36.598335266113281</v>
      </c>
      <c r="J35" s="177">
        <v>47.477825164794922</v>
      </c>
      <c r="K35" s="177">
        <v>58.347972869873047</v>
      </c>
      <c r="L35" s="177">
        <v>69.208793640136719</v>
      </c>
      <c r="M35" s="177">
        <v>80.060295104980469</v>
      </c>
      <c r="N35" s="177">
        <v>90.902488708496094</v>
      </c>
      <c r="O35" s="177">
        <v>101.73538970947266</v>
      </c>
      <c r="P35" s="177">
        <v>112.55900573730469</v>
      </c>
      <c r="Q35" s="177">
        <v>123.37335205078125</v>
      </c>
      <c r="R35" s="177">
        <v>134.17843627929687</v>
      </c>
      <c r="S35" s="177">
        <v>144.97427368164062</v>
      </c>
      <c r="T35" s="177">
        <v>155.7608642578125</v>
      </c>
      <c r="U35" s="177">
        <v>166.53822326660156</v>
      </c>
      <c r="V35" s="177">
        <v>177.30636596679687</v>
      </c>
      <c r="W35" s="177">
        <v>188.0653076171875</v>
      </c>
      <c r="X35" s="177">
        <v>198.8150634765625</v>
      </c>
      <c r="Y35" s="177">
        <v>209.55561828613281</v>
      </c>
      <c r="Z35" s="177">
        <v>220.28700256347656</v>
      </c>
      <c r="AA35" s="177">
        <v>231.00923156738281</v>
      </c>
      <c r="AB35" s="177">
        <v>241.7222900390625</v>
      </c>
      <c r="AC35" s="177">
        <v>252.42622375488281</v>
      </c>
      <c r="AD35" s="177">
        <v>263.12103271484375</v>
      </c>
      <c r="AE35" s="177">
        <v>273.80670166015625</v>
      </c>
      <c r="AF35" s="177">
        <v>284.4832763671875</v>
      </c>
      <c r="AG35" s="177">
        <v>295.1507568359375</v>
      </c>
      <c r="AH35" s="178">
        <v>305.80914306640625</v>
      </c>
    </row>
    <row r="36" spans="2:34" s="157" customFormat="1" ht="18.75" customHeight="1" x14ac:dyDescent="0.25">
      <c r="B36" s="406"/>
      <c r="C36" s="158">
        <v>66.66666666566158</v>
      </c>
      <c r="D36" s="176">
        <v>-8.9697895050048828</v>
      </c>
      <c r="E36" s="177">
        <v>1.9565622806549072</v>
      </c>
      <c r="F36" s="177">
        <v>12.873517990112305</v>
      </c>
      <c r="G36" s="177">
        <v>23.781089782714844</v>
      </c>
      <c r="H36" s="177">
        <v>34.679290771484375</v>
      </c>
      <c r="I36" s="177">
        <v>45.568126678466797</v>
      </c>
      <c r="J36" s="177">
        <v>56.447612762451172</v>
      </c>
      <c r="K36" s="177">
        <v>67.317756652832031</v>
      </c>
      <c r="L36" s="177">
        <v>78.178581237792969</v>
      </c>
      <c r="M36" s="177">
        <v>89.030082702636719</v>
      </c>
      <c r="N36" s="177">
        <v>99.872276306152344</v>
      </c>
      <c r="O36" s="177">
        <v>110.70517730712891</v>
      </c>
      <c r="P36" s="177">
        <v>121.52879333496094</v>
      </c>
      <c r="Q36" s="177">
        <v>132.3431396484375</v>
      </c>
      <c r="R36" s="177">
        <v>143.14822387695312</v>
      </c>
      <c r="S36" s="177">
        <v>153.94406127929687</v>
      </c>
      <c r="T36" s="177">
        <v>164.73065185546875</v>
      </c>
      <c r="U36" s="177">
        <v>175.50801086425781</v>
      </c>
      <c r="V36" s="177">
        <v>186.27615356445312</v>
      </c>
      <c r="W36" s="177">
        <v>197.03509521484375</v>
      </c>
      <c r="X36" s="177">
        <v>207.78485107421875</v>
      </c>
      <c r="Y36" s="177">
        <v>218.52540588378906</v>
      </c>
      <c r="Z36" s="177">
        <v>229.25679016113281</v>
      </c>
      <c r="AA36" s="177">
        <v>239.97901916503906</v>
      </c>
      <c r="AB36" s="177">
        <v>250.69209289550781</v>
      </c>
      <c r="AC36" s="177">
        <v>261.39602661132812</v>
      </c>
      <c r="AD36" s="177">
        <v>272.0908203125</v>
      </c>
      <c r="AE36" s="177">
        <v>282.7764892578125</v>
      </c>
      <c r="AF36" s="177">
        <v>293.45306396484375</v>
      </c>
      <c r="AG36" s="177">
        <v>304.12054443359375</v>
      </c>
      <c r="AH36" s="178">
        <v>314.7789306640625</v>
      </c>
    </row>
    <row r="37" spans="2:34" s="157" customFormat="1" ht="18.75" customHeight="1" thickBot="1" x14ac:dyDescent="0.3">
      <c r="B37" s="406"/>
      <c r="C37" s="158">
        <v>0</v>
      </c>
      <c r="D37" s="182">
        <v>-8.2812053113327788E-14</v>
      </c>
      <c r="E37" s="183">
        <v>10.926351547241211</v>
      </c>
      <c r="F37" s="183">
        <v>21.843307495117188</v>
      </c>
      <c r="G37" s="183">
        <v>32.750877380371094</v>
      </c>
      <c r="H37" s="183">
        <v>43.649078369140625</v>
      </c>
      <c r="I37" s="183">
        <v>54.537914276123047</v>
      </c>
      <c r="J37" s="183">
        <v>65.417404174804687</v>
      </c>
      <c r="K37" s="183">
        <v>76.287551879882813</v>
      </c>
      <c r="L37" s="183">
        <v>87.148368835449219</v>
      </c>
      <c r="M37" s="183">
        <v>97.999870300292969</v>
      </c>
      <c r="N37" s="183">
        <v>108.84206390380859</v>
      </c>
      <c r="O37" s="183">
        <v>119.67496490478516</v>
      </c>
      <c r="P37" s="183">
        <v>130.49858093261719</v>
      </c>
      <c r="Q37" s="183">
        <v>141.31292724609375</v>
      </c>
      <c r="R37" s="183">
        <v>152.11801147460937</v>
      </c>
      <c r="S37" s="183">
        <v>162.91384887695312</v>
      </c>
      <c r="T37" s="183">
        <v>173.700439453125</v>
      </c>
      <c r="U37" s="183">
        <v>184.47779846191406</v>
      </c>
      <c r="V37" s="183">
        <v>195.24595642089844</v>
      </c>
      <c r="W37" s="183">
        <v>206.0048828125</v>
      </c>
      <c r="X37" s="183">
        <v>216.754638671875</v>
      </c>
      <c r="Y37" s="183">
        <v>227.49519348144531</v>
      </c>
      <c r="Z37" s="183">
        <v>238.22657775878906</v>
      </c>
      <c r="AA37" s="183">
        <v>248.94880676269531</v>
      </c>
      <c r="AB37" s="183">
        <v>259.661865234375</v>
      </c>
      <c r="AC37" s="183">
        <v>270.36581420898437</v>
      </c>
      <c r="AD37" s="183">
        <v>281.06060791015625</v>
      </c>
      <c r="AE37" s="183">
        <v>291.74627685546875</v>
      </c>
      <c r="AF37" s="183">
        <v>302.4228515625</v>
      </c>
      <c r="AG37" s="183">
        <v>313.09033203125</v>
      </c>
      <c r="AH37" s="184">
        <v>323.74871826171875</v>
      </c>
    </row>
    <row r="38" spans="2:34" ht="15.75" thickBot="1" x14ac:dyDescent="0.3">
      <c r="D38" s="172">
        <v>0</v>
      </c>
      <c r="E38" s="172">
        <f>D38+(1/3)</f>
        <v>0.33333333333333331</v>
      </c>
      <c r="F38" s="172">
        <f t="shared" ref="F38:AH38" si="0">E38+(1/3)</f>
        <v>0.66666666666666663</v>
      </c>
      <c r="G38" s="172">
        <f t="shared" si="0"/>
        <v>1</v>
      </c>
      <c r="H38" s="172">
        <f t="shared" si="0"/>
        <v>1.3333333333333333</v>
      </c>
      <c r="I38" s="172">
        <f t="shared" si="0"/>
        <v>1.6666666666666665</v>
      </c>
      <c r="J38" s="172">
        <f t="shared" si="0"/>
        <v>1.9999999999999998</v>
      </c>
      <c r="K38" s="172">
        <f t="shared" si="0"/>
        <v>2.333333333333333</v>
      </c>
      <c r="L38" s="172">
        <f t="shared" si="0"/>
        <v>2.6666666666666665</v>
      </c>
      <c r="M38" s="172">
        <f t="shared" si="0"/>
        <v>3</v>
      </c>
      <c r="N38" s="188">
        <f t="shared" si="0"/>
        <v>3.3333333333333335</v>
      </c>
      <c r="O38" s="189">
        <f t="shared" si="0"/>
        <v>3.666666666666667</v>
      </c>
      <c r="P38" s="172">
        <f t="shared" si="0"/>
        <v>4</v>
      </c>
      <c r="Q38" s="172">
        <f t="shared" si="0"/>
        <v>4.333333333333333</v>
      </c>
      <c r="R38" s="172">
        <f t="shared" si="0"/>
        <v>4.6666666666666661</v>
      </c>
      <c r="S38" s="172">
        <f t="shared" si="0"/>
        <v>4.9999999999999991</v>
      </c>
      <c r="T38" s="172">
        <f t="shared" si="0"/>
        <v>5.3333333333333321</v>
      </c>
      <c r="U38" s="172">
        <f t="shared" si="0"/>
        <v>5.6666666666666652</v>
      </c>
      <c r="V38" s="172">
        <f t="shared" si="0"/>
        <v>5.9999999999999982</v>
      </c>
      <c r="W38" s="172">
        <f t="shared" si="0"/>
        <v>6.3333333333333313</v>
      </c>
      <c r="X38" s="172">
        <f t="shared" si="0"/>
        <v>6.6666666666666643</v>
      </c>
      <c r="Y38" s="172">
        <f t="shared" si="0"/>
        <v>6.9999999999999973</v>
      </c>
      <c r="Z38" s="172">
        <f t="shared" si="0"/>
        <v>7.3333333333333304</v>
      </c>
      <c r="AA38" s="172">
        <f t="shared" si="0"/>
        <v>7.6666666666666634</v>
      </c>
      <c r="AB38" s="172">
        <f t="shared" si="0"/>
        <v>7.9999999999999964</v>
      </c>
      <c r="AC38" s="172">
        <f t="shared" si="0"/>
        <v>8.3333333333333304</v>
      </c>
      <c r="AD38" s="172">
        <f t="shared" si="0"/>
        <v>8.6666666666666643</v>
      </c>
      <c r="AE38" s="172">
        <f t="shared" si="0"/>
        <v>8.9999999999999982</v>
      </c>
      <c r="AF38" s="172">
        <f t="shared" si="0"/>
        <v>9.3333333333333321</v>
      </c>
      <c r="AG38" s="172">
        <f t="shared" si="0"/>
        <v>9.6666666666666661</v>
      </c>
      <c r="AH38" s="172">
        <f t="shared" si="0"/>
        <v>10</v>
      </c>
    </row>
    <row r="39" spans="2:34" ht="23.25" x14ac:dyDescent="0.25">
      <c r="D39" s="405" t="s">
        <v>186</v>
      </c>
      <c r="E39" s="405"/>
      <c r="F39" s="405"/>
      <c r="G39" s="405"/>
      <c r="H39" s="405"/>
      <c r="I39" s="405"/>
      <c r="J39" s="405"/>
      <c r="K39" s="405"/>
      <c r="L39" s="405"/>
      <c r="M39" s="405"/>
      <c r="N39" s="405"/>
      <c r="O39" s="405"/>
      <c r="P39" s="405"/>
      <c r="Q39" s="405"/>
      <c r="R39" s="405"/>
      <c r="S39" s="405"/>
      <c r="T39" s="405"/>
      <c r="U39" s="405"/>
      <c r="V39" s="405"/>
      <c r="W39" s="405"/>
      <c r="X39" s="405"/>
      <c r="Y39" s="405"/>
      <c r="Z39" s="405"/>
      <c r="AA39" s="405"/>
      <c r="AB39" s="405"/>
      <c r="AC39" s="405"/>
      <c r="AD39" s="405"/>
      <c r="AE39" s="405"/>
      <c r="AF39" s="405"/>
      <c r="AG39" s="405"/>
      <c r="AH39" s="405"/>
    </row>
    <row r="40" spans="2:34" ht="6.75" customHeight="1" thickBot="1" x14ac:dyDescent="0.3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</row>
    <row r="41" spans="2:34" ht="15.75" thickBot="1" x14ac:dyDescent="0.3">
      <c r="C41" s="186"/>
      <c r="D41" s="187" t="s">
        <v>192</v>
      </c>
    </row>
  </sheetData>
  <mergeCells count="4">
    <mergeCell ref="B7:B37"/>
    <mergeCell ref="D39:AH39"/>
    <mergeCell ref="D1:AH3"/>
    <mergeCell ref="D4:AH6"/>
  </mergeCells>
  <conditionalFormatting sqref="D7:AH3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3" name="Button 2">
              <controlPr defaultSize="0" print="0" autoFill="0" autoPict="0" macro="[0]!InterfaceReturn">
                <anchor moveWithCells="1" sizeWithCells="1">
                  <from>
                    <xdr:col>0</xdr:col>
                    <xdr:colOff>200025</xdr:colOff>
                    <xdr:row>1</xdr:row>
                    <xdr:rowOff>0</xdr:rowOff>
                  </from>
                  <to>
                    <xdr:col>2</xdr:col>
                    <xdr:colOff>504825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B1:AT1003"/>
  <sheetViews>
    <sheetView topLeftCell="A19" workbookViewId="0">
      <selection activeCell="P50" sqref="P50"/>
    </sheetView>
  </sheetViews>
  <sheetFormatPr defaultColWidth="8.85546875" defaultRowHeight="15" x14ac:dyDescent="0.25"/>
  <cols>
    <col min="1" max="9" width="8.85546875" style="1"/>
    <col min="10" max="10" width="11.85546875" style="1" customWidth="1"/>
    <col min="11" max="12" width="8.85546875" style="1"/>
    <col min="13" max="13" width="10.7109375" style="1" bestFit="1" customWidth="1"/>
    <col min="14" max="14" width="18.28515625" style="1" customWidth="1"/>
    <col min="15" max="15" width="19.7109375" style="1" customWidth="1"/>
    <col min="16" max="16" width="8.85546875" style="1"/>
    <col min="17" max="17" width="58.28515625" style="1" customWidth="1"/>
    <col min="18" max="18" width="8.85546875" style="1"/>
    <col min="19" max="19" width="19" style="1" customWidth="1"/>
    <col min="20" max="20" width="18" style="1" customWidth="1"/>
    <col min="21" max="21" width="13.85546875" style="1" customWidth="1"/>
    <col min="22" max="22" width="12.85546875" style="1" customWidth="1"/>
    <col min="23" max="27" width="8.85546875" style="1"/>
    <col min="28" max="29" width="16.85546875" style="1" customWidth="1"/>
    <col min="30" max="30" width="14.28515625" style="1" customWidth="1"/>
    <col min="31" max="33" width="8.85546875" style="1"/>
    <col min="34" max="34" width="16.85546875" style="1" customWidth="1"/>
    <col min="35" max="41" width="8.85546875" style="1"/>
    <col min="42" max="42" width="24.7109375" style="1" customWidth="1"/>
    <col min="43" max="43" width="15.140625" style="1" customWidth="1"/>
    <col min="44" max="16384" width="8.85546875" style="1"/>
  </cols>
  <sheetData>
    <row r="1" spans="2:45" x14ac:dyDescent="0.25">
      <c r="B1" s="194" t="s">
        <v>254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 t="s">
        <v>201</v>
      </c>
      <c r="R1" s="195"/>
      <c r="S1" s="195"/>
      <c r="T1" s="195"/>
      <c r="U1" s="195"/>
      <c r="V1" s="195"/>
      <c r="W1" s="195"/>
      <c r="X1" s="195"/>
      <c r="Y1" s="195"/>
      <c r="Z1" s="195"/>
      <c r="AA1" s="195" t="s">
        <v>202</v>
      </c>
      <c r="AB1" s="195"/>
      <c r="AC1" s="195"/>
      <c r="AD1" s="195"/>
      <c r="AE1" s="195"/>
      <c r="AF1" s="195"/>
      <c r="AG1" s="195" t="s">
        <v>203</v>
      </c>
      <c r="AH1" s="196">
        <f>MIN(AB$3:AB$10002)</f>
        <v>14026075784.394016</v>
      </c>
      <c r="AI1" s="195"/>
      <c r="AJ1" s="195"/>
      <c r="AK1" s="195" t="s">
        <v>204</v>
      </c>
      <c r="AL1" s="195"/>
      <c r="AM1" s="195"/>
      <c r="AN1" s="195"/>
      <c r="AO1" s="195"/>
      <c r="AP1" s="195"/>
      <c r="AQ1" s="195"/>
      <c r="AR1" s="195"/>
      <c r="AS1" s="195"/>
    </row>
    <row r="2" spans="2:45" x14ac:dyDescent="0.25"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 t="s">
        <v>205</v>
      </c>
      <c r="O2" s="195" t="s">
        <v>206</v>
      </c>
      <c r="P2" s="195"/>
      <c r="Q2" s="195" t="s">
        <v>0</v>
      </c>
      <c r="R2" s="195" t="s">
        <v>77</v>
      </c>
      <c r="S2" s="195" t="s">
        <v>207</v>
      </c>
      <c r="T2" s="195" t="s">
        <v>208</v>
      </c>
      <c r="U2" s="195" t="s">
        <v>209</v>
      </c>
      <c r="V2" s="195"/>
      <c r="W2" s="195"/>
      <c r="X2" s="195"/>
      <c r="Y2" s="195"/>
      <c r="Z2" s="195"/>
      <c r="AA2" s="195" t="s">
        <v>210</v>
      </c>
      <c r="AB2" s="197" t="s">
        <v>256</v>
      </c>
      <c r="AC2" s="198" t="s">
        <v>257</v>
      </c>
      <c r="AD2" s="197" t="s">
        <v>45</v>
      </c>
      <c r="AE2" s="195" t="s">
        <v>340</v>
      </c>
      <c r="AF2" s="195" t="s">
        <v>341</v>
      </c>
      <c r="AG2" s="195" t="s">
        <v>211</v>
      </c>
      <c r="AH2" s="196">
        <f>MAX(AB$3:AB$10002)</f>
        <v>20278805052.253159</v>
      </c>
      <c r="AI2" s="195"/>
      <c r="AJ2" s="195"/>
      <c r="AK2" s="195" t="s">
        <v>212</v>
      </c>
      <c r="AL2" s="195" t="s">
        <v>213</v>
      </c>
      <c r="AM2" s="195"/>
      <c r="AN2" s="195"/>
      <c r="AO2" s="195"/>
      <c r="AP2" s="195"/>
      <c r="AQ2" s="195"/>
      <c r="AR2" s="195"/>
      <c r="AS2" s="195"/>
    </row>
    <row r="3" spans="2:45" x14ac:dyDescent="0.25"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 t="s">
        <v>214</v>
      </c>
      <c r="W3" s="195"/>
      <c r="X3" s="195"/>
      <c r="Y3" s="195"/>
      <c r="Z3" s="195"/>
      <c r="AA3" s="195">
        <v>1</v>
      </c>
      <c r="AB3" s="197">
        <v>16798245772.997101</v>
      </c>
      <c r="AC3" s="198">
        <v>465399.81273974478</v>
      </c>
      <c r="AD3" s="197">
        <v>36094.225466289157</v>
      </c>
      <c r="AE3" s="195">
        <v>0</v>
      </c>
      <c r="AF3" s="195">
        <v>0</v>
      </c>
      <c r="AG3" s="195"/>
      <c r="AH3" s="195"/>
      <c r="AI3" s="195"/>
      <c r="AJ3" s="195"/>
      <c r="AK3" s="195">
        <v>0</v>
      </c>
      <c r="AL3" s="195">
        <v>0</v>
      </c>
      <c r="AM3" s="195">
        <v>0</v>
      </c>
      <c r="AN3" s="195"/>
      <c r="AO3" s="195"/>
      <c r="AP3" s="195"/>
      <c r="AQ3" s="195"/>
      <c r="AR3" s="195"/>
      <c r="AS3" s="195"/>
    </row>
    <row r="4" spans="2:45" x14ac:dyDescent="0.25"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 t="s">
        <v>215</v>
      </c>
      <c r="O4" s="195">
        <v>1000</v>
      </c>
      <c r="P4" s="195"/>
      <c r="Q4" s="195" t="s">
        <v>255</v>
      </c>
      <c r="R4" s="195">
        <f>GUI_QOFeffect</f>
        <v>3.68</v>
      </c>
      <c r="S4" s="195" t="s">
        <v>242</v>
      </c>
      <c r="T4" s="195">
        <f>GUI_QOFeffect</f>
        <v>3.68</v>
      </c>
      <c r="U4" s="195">
        <f>(GUI_mortUCL-GUI_mortLCL)/3.92</f>
        <v>2.285714285714286</v>
      </c>
      <c r="V4" s="195">
        <v>1</v>
      </c>
      <c r="W4" s="195"/>
      <c r="X4" s="195"/>
      <c r="Y4" s="195"/>
      <c r="Z4" s="195"/>
      <c r="AA4" s="195">
        <v>2</v>
      </c>
      <c r="AB4" s="197">
        <v>17378286547.831886</v>
      </c>
      <c r="AC4" s="198">
        <v>330538.23358181119</v>
      </c>
      <c r="AD4" s="197">
        <v>52575.722812806176</v>
      </c>
      <c r="AE4" s="195">
        <v>0</v>
      </c>
      <c r="AF4" s="195">
        <v>0</v>
      </c>
      <c r="AG4" s="195" t="s">
        <v>217</v>
      </c>
      <c r="AH4" s="195"/>
      <c r="AI4" s="195"/>
      <c r="AJ4" s="195"/>
      <c r="AK4" s="195">
        <v>2000</v>
      </c>
      <c r="AL4" s="195">
        <v>0</v>
      </c>
      <c r="AM4" s="195">
        <v>2000</v>
      </c>
      <c r="AN4" s="195"/>
      <c r="AO4" s="195"/>
      <c r="AP4" s="195"/>
      <c r="AQ4" s="195"/>
      <c r="AR4" s="195"/>
      <c r="AS4" s="195"/>
    </row>
    <row r="5" spans="2:45" x14ac:dyDescent="0.25"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5">
        <v>2</v>
      </c>
      <c r="W5" s="195"/>
      <c r="X5" s="195"/>
      <c r="Y5" s="195"/>
      <c r="Z5" s="195"/>
      <c r="AA5" s="195">
        <v>3</v>
      </c>
      <c r="AB5" s="197">
        <v>19147235853.421753</v>
      </c>
      <c r="AC5" s="198">
        <v>-82749.885425254703</v>
      </c>
      <c r="AD5" s="197">
        <v>-231386.8563687237</v>
      </c>
      <c r="AE5" s="195">
        <v>0</v>
      </c>
      <c r="AF5" s="195">
        <v>0</v>
      </c>
      <c r="AG5" s="195" t="s">
        <v>218</v>
      </c>
      <c r="AH5" s="199">
        <f>AR17</f>
        <v>30000</v>
      </c>
      <c r="AI5" s="195" t="str">
        <f>CONCATENATE(AI19, AH5,"/LYS Threshold")</f>
        <v>$30000/LYS Threshold</v>
      </c>
      <c r="AJ5" s="195"/>
      <c r="AK5" s="195">
        <v>4000</v>
      </c>
      <c r="AL5" s="195">
        <v>0</v>
      </c>
      <c r="AM5" s="195">
        <v>4000</v>
      </c>
      <c r="AN5" s="195"/>
      <c r="AO5" s="195"/>
      <c r="AP5" s="195"/>
      <c r="AQ5" s="195"/>
      <c r="AR5" s="195"/>
      <c r="AS5" s="195"/>
    </row>
    <row r="6" spans="2:45" x14ac:dyDescent="0.25"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 t="s">
        <v>219</v>
      </c>
      <c r="O6" s="195"/>
      <c r="P6" s="195"/>
      <c r="Q6" s="195"/>
      <c r="R6" s="195"/>
      <c r="S6" s="195"/>
      <c r="T6" s="195"/>
      <c r="U6" s="195"/>
      <c r="V6" s="195">
        <v>3</v>
      </c>
      <c r="W6" s="195"/>
      <c r="X6" s="195"/>
      <c r="Y6" s="195"/>
      <c r="Z6" s="195"/>
      <c r="AA6" s="195">
        <v>4</v>
      </c>
      <c r="AB6" s="197">
        <v>17907377114.646774</v>
      </c>
      <c r="AC6" s="198">
        <v>207240.40939623117</v>
      </c>
      <c r="AD6" s="197">
        <v>86408.713275647649</v>
      </c>
      <c r="AE6" s="195">
        <v>0</v>
      </c>
      <c r="AF6" s="195">
        <v>0</v>
      </c>
      <c r="AG6" s="195" t="s">
        <v>220</v>
      </c>
      <c r="AH6" s="195" t="s">
        <v>221</v>
      </c>
      <c r="AI6" s="195"/>
      <c r="AJ6" s="195"/>
      <c r="AK6" s="195">
        <v>6000</v>
      </c>
      <c r="AL6" s="195">
        <v>0</v>
      </c>
      <c r="AM6" s="195">
        <v>6000</v>
      </c>
      <c r="AN6" s="195"/>
      <c r="AO6" s="195"/>
      <c r="AP6" s="195"/>
      <c r="AQ6" s="195"/>
      <c r="AR6" s="195"/>
      <c r="AS6" s="195"/>
    </row>
    <row r="7" spans="2:45" x14ac:dyDescent="0.25"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 t="s">
        <v>337</v>
      </c>
      <c r="O7" s="195"/>
      <c r="P7" s="195"/>
      <c r="Q7" s="195"/>
      <c r="R7" s="195"/>
      <c r="S7" s="195"/>
      <c r="T7" s="195"/>
      <c r="U7" s="195"/>
      <c r="V7" s="195">
        <v>4</v>
      </c>
      <c r="W7" s="195"/>
      <c r="X7" s="195"/>
      <c r="Y7" s="195"/>
      <c r="Z7" s="195"/>
      <c r="AA7" s="195">
        <v>5</v>
      </c>
      <c r="AB7" s="197">
        <v>17256529710.194927</v>
      </c>
      <c r="AC7" s="198">
        <v>358873.97450181097</v>
      </c>
      <c r="AD7" s="197">
        <v>48085.208001361621</v>
      </c>
      <c r="AE7" s="195">
        <v>0</v>
      </c>
      <c r="AF7" s="195">
        <v>0</v>
      </c>
      <c r="AG7" s="195"/>
      <c r="AH7" s="195"/>
      <c r="AI7" s="195"/>
      <c r="AJ7" s="195"/>
      <c r="AK7" s="195">
        <v>8000</v>
      </c>
      <c r="AL7" s="195">
        <v>0</v>
      </c>
      <c r="AM7" s="195">
        <v>8000</v>
      </c>
      <c r="AN7" s="195"/>
      <c r="AO7" s="195"/>
      <c r="AP7" s="195"/>
      <c r="AQ7" s="195"/>
      <c r="AR7" s="195"/>
      <c r="AS7" s="195"/>
    </row>
    <row r="8" spans="2:45" x14ac:dyDescent="0.25">
      <c r="B8" s="195"/>
      <c r="C8" s="195"/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5" t="s">
        <v>222</v>
      </c>
      <c r="O8" s="195" t="s">
        <v>223</v>
      </c>
      <c r="P8" s="195"/>
      <c r="Q8" s="195"/>
      <c r="R8" s="195"/>
      <c r="S8" s="195"/>
      <c r="T8" s="195"/>
      <c r="U8" s="195"/>
      <c r="V8" s="195">
        <v>5</v>
      </c>
      <c r="W8" s="195"/>
      <c r="X8" s="195"/>
      <c r="Y8" s="195"/>
      <c r="Z8" s="195"/>
      <c r="AA8" s="195">
        <v>6</v>
      </c>
      <c r="AB8" s="197">
        <v>16493574005.060791</v>
      </c>
      <c r="AC8" s="198">
        <v>536107.5367320329</v>
      </c>
      <c r="AD8" s="197">
        <v>30765.42088104408</v>
      </c>
      <c r="AE8" s="195">
        <v>0</v>
      </c>
      <c r="AF8" s="195">
        <v>0</v>
      </c>
      <c r="AG8" s="195" t="s">
        <v>224</v>
      </c>
      <c r="AH8" s="195"/>
      <c r="AI8" s="195"/>
      <c r="AJ8" s="195"/>
      <c r="AK8" s="199">
        <v>10000</v>
      </c>
      <c r="AL8" s="199">
        <v>0</v>
      </c>
      <c r="AM8" s="195">
        <v>10000</v>
      </c>
      <c r="AN8" s="195"/>
      <c r="AO8" s="195"/>
      <c r="AP8" s="195"/>
      <c r="AQ8" s="195"/>
      <c r="AR8" s="195"/>
      <c r="AS8" s="195"/>
    </row>
    <row r="9" spans="2:45" x14ac:dyDescent="0.25"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8">
        <f>AVERAGE(AC3:AC10002)</f>
        <v>353852.09385452152</v>
      </c>
      <c r="O9" s="198">
        <f>MEDIAN(AC3:AC10002)</f>
        <v>348445.87823814899</v>
      </c>
      <c r="P9" s="195"/>
      <c r="Q9" s="195"/>
      <c r="R9" s="197"/>
      <c r="S9" s="195"/>
      <c r="T9" s="197"/>
      <c r="U9" s="195"/>
      <c r="V9" s="195">
        <v>6</v>
      </c>
      <c r="W9" s="195"/>
      <c r="X9" s="195"/>
      <c r="Y9" s="195"/>
      <c r="Z9" s="195"/>
      <c r="AA9" s="195">
        <v>7</v>
      </c>
      <c r="AB9" s="197">
        <v>16065574708.585087</v>
      </c>
      <c r="AC9" s="198">
        <v>635286.31791558862</v>
      </c>
      <c r="AD9" s="197">
        <v>25288.715112419188</v>
      </c>
      <c r="AE9" s="195">
        <v>0</v>
      </c>
      <c r="AF9" s="195">
        <v>0</v>
      </c>
      <c r="AG9" s="195">
        <f>AH9/AH$5</f>
        <v>0</v>
      </c>
      <c r="AH9" s="195">
        <f>IF(AH$1&lt;0,AH$1 - 0.8*(AH$1-0),0)</f>
        <v>0</v>
      </c>
      <c r="AI9" s="195"/>
      <c r="AJ9" s="195"/>
      <c r="AK9" s="195">
        <v>12000</v>
      </c>
      <c r="AL9" s="195">
        <v>0</v>
      </c>
      <c r="AM9" s="195">
        <v>12000</v>
      </c>
      <c r="AN9" s="195"/>
      <c r="AO9" s="195"/>
      <c r="AP9" s="195"/>
      <c r="AQ9" s="195"/>
      <c r="AR9" s="195"/>
      <c r="AS9" s="195"/>
    </row>
    <row r="10" spans="2:45" x14ac:dyDescent="0.25">
      <c r="B10" s="195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195"/>
      <c r="P10" s="195"/>
      <c r="Q10" s="195"/>
      <c r="R10" s="197"/>
      <c r="S10" s="195"/>
      <c r="T10" s="197"/>
      <c r="U10" s="195"/>
      <c r="V10" s="195">
        <v>7</v>
      </c>
      <c r="W10" s="195"/>
      <c r="X10" s="195"/>
      <c r="Y10" s="195"/>
      <c r="Z10" s="195"/>
      <c r="AA10" s="195">
        <v>8</v>
      </c>
      <c r="AB10" s="197">
        <v>18347068173.256653</v>
      </c>
      <c r="AC10" s="198">
        <v>104570.83088933676</v>
      </c>
      <c r="AD10" s="197">
        <v>175451.10827963718</v>
      </c>
      <c r="AE10" s="195">
        <v>0</v>
      </c>
      <c r="AF10" s="195">
        <v>0</v>
      </c>
      <c r="AG10" s="195">
        <v>0</v>
      </c>
      <c r="AH10" s="195">
        <v>0</v>
      </c>
      <c r="AI10" s="195"/>
      <c r="AJ10" s="195"/>
      <c r="AK10" s="195">
        <v>14000</v>
      </c>
      <c r="AL10" s="195">
        <v>2.0000000949949026E-3</v>
      </c>
      <c r="AM10" s="195">
        <v>14000</v>
      </c>
      <c r="AN10" s="195">
        <f>(AL10+AL9)/2</f>
        <v>1.0000000474974513E-3</v>
      </c>
      <c r="AO10" s="195"/>
      <c r="AP10" s="195" t="s">
        <v>226</v>
      </c>
      <c r="AQ10" s="195">
        <f>VLOOKUP(AQ15,PSAprobCETable,3,TRUE)</f>
        <v>30000</v>
      </c>
      <c r="AR10" s="195" t="s">
        <v>227</v>
      </c>
      <c r="AS10" s="195"/>
    </row>
    <row r="11" spans="2:45" x14ac:dyDescent="0.25"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 t="s">
        <v>219</v>
      </c>
      <c r="O11" s="195"/>
      <c r="P11" s="195"/>
      <c r="Q11" s="195"/>
      <c r="R11" s="197"/>
      <c r="S11" s="195"/>
      <c r="T11" s="197"/>
      <c r="U11" s="195"/>
      <c r="V11" s="195">
        <v>8</v>
      </c>
      <c r="W11" s="195"/>
      <c r="X11" s="195"/>
      <c r="Y11" s="195"/>
      <c r="Z11" s="195"/>
      <c r="AA11" s="195">
        <v>9</v>
      </c>
      <c r="AB11" s="197">
        <v>17131436084.150097</v>
      </c>
      <c r="AC11" s="198">
        <v>387971.41192793101</v>
      </c>
      <c r="AD11" s="197">
        <v>44156.439256747108</v>
      </c>
      <c r="AE11" s="195">
        <v>0</v>
      </c>
      <c r="AF11" s="195">
        <v>0</v>
      </c>
      <c r="AG11" s="195">
        <f>AH11/AH$5</f>
        <v>811152.20209012635</v>
      </c>
      <c r="AH11" s="195">
        <f>IF(AH$2&gt;0,AH$2 + 0.2*(AH$2-0),0)</f>
        <v>24334566062.703789</v>
      </c>
      <c r="AI11" s="195"/>
      <c r="AJ11" s="195"/>
      <c r="AK11" s="195">
        <v>16000</v>
      </c>
      <c r="AL11" s="195">
        <v>3.0000000260770321E-3</v>
      </c>
      <c r="AM11" s="195">
        <v>16000</v>
      </c>
      <c r="AN11" s="195"/>
      <c r="AO11" s="195"/>
      <c r="AP11" s="195"/>
      <c r="AQ11" s="195"/>
      <c r="AR11" s="195" t="s">
        <v>228</v>
      </c>
      <c r="AS11" s="195"/>
    </row>
    <row r="12" spans="2:45" x14ac:dyDescent="0.25">
      <c r="B12" s="195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 t="s">
        <v>229</v>
      </c>
      <c r="O12" s="195"/>
      <c r="P12" s="195"/>
      <c r="Q12" s="195"/>
      <c r="R12" s="197"/>
      <c r="S12" s="195"/>
      <c r="T12" s="197"/>
      <c r="U12" s="195"/>
      <c r="V12" s="195">
        <v>9</v>
      </c>
      <c r="W12" s="195"/>
      <c r="X12" s="195"/>
      <c r="Y12" s="195"/>
      <c r="Z12" s="195"/>
      <c r="AA12" s="195">
        <v>10</v>
      </c>
      <c r="AB12" s="197">
        <v>16258902907.021881</v>
      </c>
      <c r="AC12" s="198">
        <v>590508.82945434749</v>
      </c>
      <c r="AD12" s="197">
        <v>27533.716848985514</v>
      </c>
      <c r="AE12" s="195">
        <v>0</v>
      </c>
      <c r="AF12" s="195">
        <v>0</v>
      </c>
      <c r="AG12" s="195"/>
      <c r="AH12" s="195"/>
      <c r="AI12" s="195"/>
      <c r="AJ12" s="195"/>
      <c r="AK12" s="195">
        <v>18000</v>
      </c>
      <c r="AL12" s="195">
        <v>1.4000000432133675E-2</v>
      </c>
      <c r="AM12" s="195">
        <v>18000</v>
      </c>
      <c r="AN12" s="195"/>
      <c r="AO12" s="195"/>
      <c r="AP12" s="195"/>
      <c r="AQ12" s="195"/>
      <c r="AR12" s="195" t="s">
        <v>212</v>
      </c>
      <c r="AS12" s="195" t="s">
        <v>230</v>
      </c>
    </row>
    <row r="13" spans="2:45" x14ac:dyDescent="0.25">
      <c r="B13" s="195"/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5" t="s">
        <v>222</v>
      </c>
      <c r="O13" s="195" t="s">
        <v>223</v>
      </c>
      <c r="P13" s="195"/>
      <c r="Q13" s="195"/>
      <c r="R13" s="195"/>
      <c r="S13" s="195"/>
      <c r="T13" s="195"/>
      <c r="U13" s="195"/>
      <c r="V13" s="195"/>
      <c r="W13" s="195"/>
      <c r="X13" s="195"/>
      <c r="Y13" s="195"/>
      <c r="Z13" s="195"/>
      <c r="AA13" s="195">
        <v>11</v>
      </c>
      <c r="AB13" s="197">
        <v>17767634919.030216</v>
      </c>
      <c r="AC13" s="198">
        <v>239831.74605211616</v>
      </c>
      <c r="AD13" s="197">
        <v>74083.749176263169</v>
      </c>
      <c r="AE13" s="195">
        <v>0</v>
      </c>
      <c r="AF13" s="195">
        <v>1</v>
      </c>
      <c r="AG13" s="195"/>
      <c r="AH13" s="195"/>
      <c r="AI13" s="195"/>
      <c r="AJ13" s="195"/>
      <c r="AK13" s="195">
        <v>20000</v>
      </c>
      <c r="AL13" s="195">
        <v>2.8999999165534973E-2</v>
      </c>
      <c r="AM13" s="195">
        <v>20000</v>
      </c>
      <c r="AN13" s="195"/>
      <c r="AO13" s="195"/>
      <c r="AP13" s="195"/>
      <c r="AQ13" s="195"/>
      <c r="AR13" s="195">
        <f>AQ10</f>
        <v>30000</v>
      </c>
      <c r="AS13" s="195">
        <f>VLOOKUP(AR13,PSAprobCETable,2)</f>
        <v>0.18299999833106995</v>
      </c>
    </row>
    <row r="14" spans="2:45" x14ac:dyDescent="0.25"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7">
        <f>AVERAGE(AB3:AB10002)</f>
        <v>17276345975.182507</v>
      </c>
      <c r="O14" s="197">
        <f>MEDIAN(AB3:AB10002)</f>
        <v>17301345689.626961</v>
      </c>
      <c r="P14" s="195"/>
      <c r="Q14" s="195"/>
      <c r="R14" s="195" t="s">
        <v>231</v>
      </c>
      <c r="S14" s="197">
        <f>Results!I5</f>
        <v>49362.406631912752</v>
      </c>
      <c r="T14" s="195"/>
      <c r="U14" s="195"/>
      <c r="V14" s="195"/>
      <c r="W14" s="195"/>
      <c r="X14" s="195"/>
      <c r="Y14" s="195"/>
      <c r="Z14" s="195"/>
      <c r="AA14" s="195">
        <v>12</v>
      </c>
      <c r="AB14" s="197">
        <v>17453868598.429131</v>
      </c>
      <c r="AC14" s="198">
        <v>312941.29831236601</v>
      </c>
      <c r="AD14" s="197">
        <v>55773.61854301297</v>
      </c>
      <c r="AE14" s="195">
        <v>0</v>
      </c>
      <c r="AF14" s="195">
        <v>0</v>
      </c>
      <c r="AG14" s="195"/>
      <c r="AH14" s="195"/>
      <c r="AI14" s="195"/>
      <c r="AJ14" s="195"/>
      <c r="AK14" s="195">
        <v>22000</v>
      </c>
      <c r="AL14" s="195">
        <v>5.000000074505806E-2</v>
      </c>
      <c r="AM14" s="195">
        <v>22000</v>
      </c>
      <c r="AN14" s="195"/>
      <c r="AO14" s="195"/>
      <c r="AP14" s="195" t="s">
        <v>232</v>
      </c>
      <c r="AQ14" s="195">
        <v>3000</v>
      </c>
      <c r="AR14" s="195"/>
      <c r="AS14" s="195"/>
    </row>
    <row r="15" spans="2:45" x14ac:dyDescent="0.25"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 t="s">
        <v>233</v>
      </c>
      <c r="V15" s="195"/>
      <c r="W15" s="194"/>
      <c r="X15" s="195"/>
      <c r="Y15" s="195"/>
      <c r="Z15" s="195"/>
      <c r="AA15" s="195">
        <v>13</v>
      </c>
      <c r="AB15" s="197">
        <v>17481892359.446709</v>
      </c>
      <c r="AC15" s="198">
        <v>306415.43789829314</v>
      </c>
      <c r="AD15" s="197">
        <v>57052.909864317546</v>
      </c>
      <c r="AE15" s="195">
        <v>0</v>
      </c>
      <c r="AF15" s="195">
        <v>0</v>
      </c>
      <c r="AG15" s="195"/>
      <c r="AH15" s="195"/>
      <c r="AI15" s="195" t="s">
        <v>234</v>
      </c>
      <c r="AJ15" s="195"/>
      <c r="AK15" s="195">
        <v>24000</v>
      </c>
      <c r="AL15" s="195">
        <v>7.2999998927116394E-2</v>
      </c>
      <c r="AM15" s="195">
        <v>24000</v>
      </c>
      <c r="AN15" s="195"/>
      <c r="AO15" s="195"/>
      <c r="AP15" s="195" t="s">
        <v>235</v>
      </c>
      <c r="AQ15" s="195">
        <f>AQ14*10</f>
        <v>30000</v>
      </c>
      <c r="AR15" s="195" t="s">
        <v>236</v>
      </c>
      <c r="AS15" s="195"/>
    </row>
    <row r="16" spans="2:45" x14ac:dyDescent="0.25"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 t="s">
        <v>237</v>
      </c>
      <c r="O16" s="195"/>
      <c r="P16" s="195"/>
      <c r="Q16" s="195"/>
      <c r="R16" s="195"/>
      <c r="S16" s="195"/>
      <c r="T16" s="195"/>
      <c r="U16" s="195" t="s">
        <v>216</v>
      </c>
      <c r="V16" s="195"/>
      <c r="W16" s="194"/>
      <c r="X16" s="195"/>
      <c r="Y16" s="195"/>
      <c r="Z16" s="195"/>
      <c r="AA16" s="195">
        <v>14</v>
      </c>
      <c r="AB16" s="197">
        <v>17805163271.624664</v>
      </c>
      <c r="AC16" s="198">
        <v>231081.05336436629</v>
      </c>
      <c r="AD16" s="197">
        <v>77051.592990402642</v>
      </c>
      <c r="AE16" s="195">
        <v>0</v>
      </c>
      <c r="AF16" s="195">
        <v>0</v>
      </c>
      <c r="AG16" s="195"/>
      <c r="AH16" s="195"/>
      <c r="AI16" s="195" t="s">
        <v>238</v>
      </c>
      <c r="AJ16" s="195"/>
      <c r="AK16" s="195">
        <v>26000</v>
      </c>
      <c r="AL16" s="195">
        <v>0.11699999868869781</v>
      </c>
      <c r="AM16" s="195">
        <v>26000</v>
      </c>
      <c r="AN16" s="195"/>
      <c r="AO16" s="195"/>
      <c r="AP16" s="195" t="s">
        <v>239</v>
      </c>
      <c r="AQ16" s="195">
        <f>AQ10</f>
        <v>30000</v>
      </c>
      <c r="AR16" s="195">
        <v>0</v>
      </c>
      <c r="AS16" s="195">
        <f>AS13</f>
        <v>0.18299999833106995</v>
      </c>
    </row>
    <row r="17" spans="2:46" x14ac:dyDescent="0.25"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 t="s">
        <v>222</v>
      </c>
      <c r="O17" s="195" t="s">
        <v>223</v>
      </c>
      <c r="P17" s="195"/>
      <c r="Q17" s="195"/>
      <c r="R17" s="195"/>
      <c r="S17" s="195"/>
      <c r="T17" s="195"/>
      <c r="U17" s="195" t="s">
        <v>225</v>
      </c>
      <c r="V17" s="195"/>
      <c r="W17" s="194"/>
      <c r="X17" s="195"/>
      <c r="Y17" s="195"/>
      <c r="Z17" s="195"/>
      <c r="AA17" s="195">
        <v>15</v>
      </c>
      <c r="AB17" s="197">
        <v>17637444061.019344</v>
      </c>
      <c r="AC17" s="198">
        <v>270178.5512034744</v>
      </c>
      <c r="AD17" s="197">
        <v>65280.696718728032</v>
      </c>
      <c r="AE17" s="195">
        <v>0</v>
      </c>
      <c r="AF17" s="195">
        <v>0</v>
      </c>
      <c r="AG17" s="195"/>
      <c r="AH17" s="195"/>
      <c r="AI17" s="195" t="s">
        <v>240</v>
      </c>
      <c r="AJ17" s="195"/>
      <c r="AK17" s="195">
        <v>28000</v>
      </c>
      <c r="AL17" s="195">
        <v>0.15800000727176666</v>
      </c>
      <c r="AM17" s="195">
        <v>28000</v>
      </c>
      <c r="AN17" s="195"/>
      <c r="AO17" s="195"/>
      <c r="AP17" s="195" t="str">
        <f>SUBSTITUTE(CONCATENATE(AI17,ROUND(AQ16,-3)),"000/",",000/",1)</f>
        <v>₤30000</v>
      </c>
      <c r="AQ17" s="195"/>
      <c r="AR17" s="195">
        <f>AQ16</f>
        <v>30000</v>
      </c>
      <c r="AS17" s="195">
        <f>AS13</f>
        <v>0.18299999833106995</v>
      </c>
      <c r="AT17" s="195"/>
    </row>
    <row r="18" spans="2:46" x14ac:dyDescent="0.25"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7">
        <f>IF(AND(N14&lt;0,N9&gt;0),"Dominant",IF(AND(N14&gt;0,N9&lt;0),"Dominated",IF(AND(N14&lt;0,N9&lt;0),"-",N14/N9)))</f>
        <v>48823.636415403816</v>
      </c>
      <c r="O18" s="197">
        <f>IF(AND(O14&lt;0,O9&gt;0),"Dominant",IF(AND(O14&gt;0,O9&lt;0),"Dominated",IF(AND(O14&lt;0,O9&lt;0),"-",O14/O9)))</f>
        <v>49652.892372003247</v>
      </c>
      <c r="P18" s="195"/>
      <c r="Q18" s="195"/>
      <c r="R18" s="195"/>
      <c r="S18" s="195"/>
      <c r="T18" s="195"/>
      <c r="U18" s="195" t="s">
        <v>241</v>
      </c>
      <c r="V18" s="195"/>
      <c r="W18" s="194"/>
      <c r="X18" s="195"/>
      <c r="Y18" s="195"/>
      <c r="Z18" s="195"/>
      <c r="AA18" s="195">
        <v>16</v>
      </c>
      <c r="AB18" s="197">
        <v>17147728641.059586</v>
      </c>
      <c r="AC18" s="198">
        <v>384182.52981150895</v>
      </c>
      <c r="AD18" s="197">
        <v>44634.32694212503</v>
      </c>
      <c r="AE18" s="195">
        <v>0</v>
      </c>
      <c r="AF18" s="195">
        <v>0</v>
      </c>
      <c r="AG18" s="195"/>
      <c r="AH18" s="195"/>
      <c r="AI18" s="195" t="s">
        <v>238</v>
      </c>
      <c r="AJ18" s="195"/>
      <c r="AK18" s="199">
        <v>30000</v>
      </c>
      <c r="AL18" s="199">
        <v>0.18299999833106995</v>
      </c>
      <c r="AM18" s="195">
        <v>30000</v>
      </c>
      <c r="AN18" s="195"/>
      <c r="AO18" s="195"/>
      <c r="AP18" s="195"/>
      <c r="AQ18" s="195"/>
      <c r="AR18" s="195">
        <f>AR13</f>
        <v>30000</v>
      </c>
      <c r="AS18" s="195">
        <v>0</v>
      </c>
      <c r="AT18" s="195"/>
    </row>
    <row r="19" spans="2:46" x14ac:dyDescent="0.25">
      <c r="B19" s="195"/>
      <c r="C19" s="195"/>
      <c r="D19" s="195"/>
      <c r="E19" s="195"/>
      <c r="F19" s="195"/>
      <c r="G19" s="195"/>
      <c r="H19" s="195"/>
      <c r="I19" s="195"/>
      <c r="J19" s="195"/>
      <c r="K19" s="195"/>
      <c r="L19" s="195"/>
      <c r="M19" s="195"/>
      <c r="N19" s="195"/>
      <c r="O19" s="195"/>
      <c r="P19" s="195"/>
      <c r="Q19" s="195"/>
      <c r="R19" s="195"/>
      <c r="S19" s="195"/>
      <c r="T19" s="195"/>
      <c r="U19" s="195" t="s">
        <v>242</v>
      </c>
      <c r="V19" s="195"/>
      <c r="W19" s="194"/>
      <c r="X19" s="195"/>
      <c r="Y19" s="195"/>
      <c r="Z19" s="195"/>
      <c r="AA19" s="195">
        <v>17</v>
      </c>
      <c r="AB19" s="197">
        <v>17456867456.712288</v>
      </c>
      <c r="AC19" s="198">
        <v>312242.99381151795</v>
      </c>
      <c r="AD19" s="197">
        <v>55907.95567137668</v>
      </c>
      <c r="AE19" s="195">
        <v>0</v>
      </c>
      <c r="AF19" s="195">
        <v>0</v>
      </c>
      <c r="AG19" s="195"/>
      <c r="AH19" s="195"/>
      <c r="AI19" s="195" t="s">
        <v>243</v>
      </c>
      <c r="AJ19" s="195"/>
      <c r="AK19" s="195">
        <v>32000</v>
      </c>
      <c r="AL19" s="195">
        <v>0.20900000631809235</v>
      </c>
      <c r="AM19" s="195">
        <v>32000</v>
      </c>
      <c r="AN19" s="195"/>
      <c r="AO19" s="195"/>
      <c r="AP19" s="195"/>
      <c r="AQ19" s="195"/>
      <c r="AR19" s="195" t="s">
        <v>244</v>
      </c>
      <c r="AS19" s="195" t="s">
        <v>245</v>
      </c>
      <c r="AT19" s="195"/>
    </row>
    <row r="20" spans="2:46" x14ac:dyDescent="0.25">
      <c r="B20" s="195"/>
      <c r="C20" s="195"/>
      <c r="D20" s="195"/>
      <c r="E20" s="195"/>
      <c r="F20" s="195"/>
      <c r="G20" s="195"/>
      <c r="H20" s="195"/>
      <c r="I20" s="195"/>
      <c r="J20" s="195"/>
      <c r="K20" s="195"/>
      <c r="L20" s="195"/>
      <c r="M20" s="195"/>
      <c r="N20" s="195"/>
      <c r="O20" s="195"/>
      <c r="P20" s="195"/>
      <c r="Q20" s="195"/>
      <c r="R20" s="195"/>
      <c r="S20" s="195"/>
      <c r="T20" s="195"/>
      <c r="U20" s="195" t="s">
        <v>246</v>
      </c>
      <c r="V20" s="195"/>
      <c r="W20" s="194"/>
      <c r="X20" s="195"/>
      <c r="Y20" s="195"/>
      <c r="Z20" s="195"/>
      <c r="AA20" s="195">
        <v>18</v>
      </c>
      <c r="AB20" s="197">
        <v>17776529040.465069</v>
      </c>
      <c r="AC20" s="198">
        <v>237757.97741127759</v>
      </c>
      <c r="AD20" s="197">
        <v>74767.329508843104</v>
      </c>
      <c r="AE20" s="195">
        <v>0</v>
      </c>
      <c r="AF20" s="195">
        <v>0</v>
      </c>
      <c r="AG20" s="195">
        <v>-4</v>
      </c>
      <c r="AH20" s="195">
        <f>AG20*$AH$5</f>
        <v>-120000</v>
      </c>
      <c r="AI20" s="195"/>
      <c r="AJ20" s="195"/>
      <c r="AK20" s="195">
        <v>34000</v>
      </c>
      <c r="AL20" s="195">
        <v>0.25299999117851257</v>
      </c>
      <c r="AM20" s="195">
        <v>34000</v>
      </c>
      <c r="AN20" s="195"/>
      <c r="AO20" s="195"/>
      <c r="AP20" s="195"/>
      <c r="AQ20" s="195"/>
      <c r="AR20" s="195"/>
      <c r="AS20" s="195"/>
      <c r="AT20" s="195"/>
    </row>
    <row r="21" spans="2:46" x14ac:dyDescent="0.25">
      <c r="B21" s="195"/>
      <c r="C21" s="195"/>
      <c r="D21" s="195"/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5"/>
      <c r="T21" s="195"/>
      <c r="U21" s="195"/>
      <c r="V21" s="195"/>
      <c r="W21" s="194"/>
      <c r="X21" s="195"/>
      <c r="Y21" s="195"/>
      <c r="Z21" s="195"/>
      <c r="AA21" s="195">
        <v>19</v>
      </c>
      <c r="AB21" s="197">
        <v>17416840380.530571</v>
      </c>
      <c r="AC21" s="198">
        <v>321562.85686959326</v>
      </c>
      <c r="AD21" s="197">
        <v>54163.097535838235</v>
      </c>
      <c r="AE21" s="195">
        <v>0</v>
      </c>
      <c r="AF21" s="195">
        <v>0</v>
      </c>
      <c r="AG21" s="195">
        <v>-3</v>
      </c>
      <c r="AH21" s="195">
        <f t="shared" ref="AH21:AH34" si="0">AG21*$AH$5</f>
        <v>-90000</v>
      </c>
      <c r="AI21" s="195"/>
      <c r="AJ21" s="195"/>
      <c r="AK21" s="195">
        <v>36000</v>
      </c>
      <c r="AL21" s="195">
        <v>0.29199999570846558</v>
      </c>
      <c r="AM21" s="195">
        <v>36000</v>
      </c>
      <c r="AN21" s="195"/>
      <c r="AO21" s="195"/>
      <c r="AP21" s="195"/>
      <c r="AQ21" s="195"/>
      <c r="AR21" s="195"/>
      <c r="AS21" s="195"/>
      <c r="AT21" s="195"/>
    </row>
    <row r="22" spans="2:46" x14ac:dyDescent="0.25">
      <c r="B22" s="195"/>
      <c r="C22" s="195"/>
      <c r="D22" s="195"/>
      <c r="E22" s="195"/>
      <c r="F22" s="195"/>
      <c r="G22" s="195"/>
      <c r="H22" s="195"/>
      <c r="I22" s="195"/>
      <c r="J22" s="195"/>
      <c r="K22" s="195"/>
      <c r="L22" s="195"/>
      <c r="M22" s="195"/>
      <c r="N22" s="195"/>
      <c r="O22" s="195"/>
      <c r="P22" s="195"/>
      <c r="Q22" s="195"/>
      <c r="R22" s="195"/>
      <c r="S22" s="195"/>
      <c r="T22" s="195"/>
      <c r="U22" s="195"/>
      <c r="V22" s="195"/>
      <c r="W22" s="194"/>
      <c r="X22" s="195"/>
      <c r="Y22" s="195"/>
      <c r="Z22" s="195"/>
      <c r="AA22" s="195">
        <v>20</v>
      </c>
      <c r="AB22" s="197">
        <v>18189076750.120289</v>
      </c>
      <c r="AC22" s="198">
        <v>141483.893937096</v>
      </c>
      <c r="AD22" s="197">
        <v>128559.34512381449</v>
      </c>
      <c r="AE22" s="195">
        <v>0</v>
      </c>
      <c r="AF22" s="195">
        <v>0</v>
      </c>
      <c r="AG22" s="195">
        <v>-2</v>
      </c>
      <c r="AH22" s="195">
        <f t="shared" si="0"/>
        <v>-60000</v>
      </c>
      <c r="AI22" s="195"/>
      <c r="AJ22" s="195"/>
      <c r="AK22" s="195">
        <v>38000</v>
      </c>
      <c r="AL22" s="195">
        <v>0.32300001382827759</v>
      </c>
      <c r="AM22" s="195">
        <v>38000</v>
      </c>
      <c r="AN22" s="195"/>
      <c r="AO22" s="195"/>
      <c r="AP22" s="195"/>
      <c r="AQ22" s="195"/>
      <c r="AR22" s="195"/>
      <c r="AS22" s="195"/>
      <c r="AT22" s="195"/>
    </row>
    <row r="23" spans="2:46" x14ac:dyDescent="0.25"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5"/>
      <c r="M23" s="195"/>
      <c r="N23" s="200"/>
      <c r="O23" s="200"/>
      <c r="P23" s="195"/>
      <c r="Q23" s="195"/>
      <c r="R23" s="195"/>
      <c r="S23" s="195"/>
      <c r="T23" s="195"/>
      <c r="U23" s="195"/>
      <c r="V23" s="195"/>
      <c r="W23" s="194"/>
      <c r="X23" s="195"/>
      <c r="Y23" s="195"/>
      <c r="Z23" s="195"/>
      <c r="AA23" s="195">
        <v>21</v>
      </c>
      <c r="AB23" s="197">
        <v>18005857687.063843</v>
      </c>
      <c r="AC23" s="198">
        <v>184261.00352485478</v>
      </c>
      <c r="AD23" s="197">
        <v>97719.307626776557</v>
      </c>
      <c r="AE23" s="195">
        <v>0</v>
      </c>
      <c r="AF23" s="195">
        <v>0</v>
      </c>
      <c r="AG23" s="195">
        <v>-1</v>
      </c>
      <c r="AH23" s="195">
        <f t="shared" si="0"/>
        <v>-30000</v>
      </c>
      <c r="AI23" s="195"/>
      <c r="AJ23" s="195"/>
      <c r="AK23" s="195">
        <v>40000</v>
      </c>
      <c r="AL23" s="195">
        <v>0.36399999260902405</v>
      </c>
      <c r="AM23" s="195">
        <v>40000</v>
      </c>
      <c r="AN23" s="195"/>
      <c r="AO23" s="195"/>
      <c r="AP23" s="195"/>
      <c r="AQ23" s="195"/>
      <c r="AR23" s="195"/>
      <c r="AS23" s="195"/>
      <c r="AT23" s="195"/>
    </row>
    <row r="24" spans="2:46" x14ac:dyDescent="0.25"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194"/>
      <c r="R24" s="194"/>
      <c r="S24" s="194"/>
      <c r="T24" s="194"/>
      <c r="U24" s="194"/>
      <c r="V24" s="194"/>
      <c r="W24" s="194"/>
      <c r="X24" s="195"/>
      <c r="Y24" s="195"/>
      <c r="Z24" s="195"/>
      <c r="AA24" s="195">
        <v>22</v>
      </c>
      <c r="AB24" s="197">
        <v>17658379988.344345</v>
      </c>
      <c r="AC24" s="198">
        <v>265299.59781803936</v>
      </c>
      <c r="AD24" s="197">
        <v>66560.146089839429</v>
      </c>
      <c r="AE24" s="195">
        <v>0</v>
      </c>
      <c r="AF24" s="195">
        <v>0</v>
      </c>
      <c r="AG24" s="195">
        <v>0</v>
      </c>
      <c r="AH24" s="195">
        <f t="shared" si="0"/>
        <v>0</v>
      </c>
      <c r="AI24" s="195"/>
      <c r="AJ24" s="195"/>
      <c r="AK24" s="195">
        <v>42000</v>
      </c>
      <c r="AL24" s="195">
        <v>0.3970000147819519</v>
      </c>
      <c r="AM24" s="195">
        <v>42000</v>
      </c>
      <c r="AN24" s="195"/>
      <c r="AO24" s="195"/>
      <c r="AP24" s="195"/>
      <c r="AQ24" s="195"/>
      <c r="AR24" s="195"/>
      <c r="AS24" s="195"/>
      <c r="AT24" s="195"/>
    </row>
    <row r="25" spans="2:46" x14ac:dyDescent="0.25">
      <c r="B25" s="195"/>
      <c r="C25" s="195"/>
      <c r="D25" s="195"/>
      <c r="E25" s="195"/>
      <c r="F25" s="195"/>
      <c r="G25" s="195"/>
      <c r="H25" s="195"/>
      <c r="I25" s="195"/>
      <c r="J25" s="195"/>
      <c r="K25" s="195"/>
      <c r="L25" s="195"/>
      <c r="M25" s="195"/>
      <c r="N25" s="195"/>
      <c r="O25" s="195"/>
      <c r="P25" s="195"/>
      <c r="Q25" s="194"/>
      <c r="R25" s="194"/>
      <c r="S25" s="194"/>
      <c r="T25" s="194"/>
      <c r="U25" s="194"/>
      <c r="V25" s="194"/>
      <c r="W25" s="194"/>
      <c r="X25" s="195"/>
      <c r="Y25" s="195"/>
      <c r="Z25" s="195"/>
      <c r="AA25" s="195">
        <v>23</v>
      </c>
      <c r="AB25" s="197">
        <v>17789585133.832558</v>
      </c>
      <c r="AC25" s="198">
        <v>234713.65823210031</v>
      </c>
      <c r="AD25" s="197">
        <v>75792.713844718164</v>
      </c>
      <c r="AE25" s="195">
        <v>0</v>
      </c>
      <c r="AF25" s="195">
        <v>0</v>
      </c>
      <c r="AG25" s="195">
        <v>1</v>
      </c>
      <c r="AH25" s="195">
        <f t="shared" si="0"/>
        <v>30000</v>
      </c>
      <c r="AI25" s="195"/>
      <c r="AJ25" s="195"/>
      <c r="AK25" s="195">
        <v>44000</v>
      </c>
      <c r="AL25" s="195">
        <v>0.41999998688697815</v>
      </c>
      <c r="AM25" s="195">
        <v>44000</v>
      </c>
      <c r="AN25" s="195"/>
      <c r="AO25" s="195"/>
      <c r="AP25" s="195"/>
      <c r="AQ25" s="195"/>
      <c r="AR25" s="195"/>
      <c r="AS25" s="195"/>
      <c r="AT25" s="195"/>
    </row>
    <row r="26" spans="2:46" x14ac:dyDescent="0.25">
      <c r="B26" s="195"/>
      <c r="C26" s="195"/>
      <c r="D26" s="195"/>
      <c r="E26" s="195"/>
      <c r="F26" s="195"/>
      <c r="G26" s="195"/>
      <c r="H26" s="195"/>
      <c r="I26" s="194" t="s">
        <v>247</v>
      </c>
      <c r="J26" s="195"/>
      <c r="K26" s="195"/>
      <c r="L26" s="195"/>
      <c r="M26" s="194" t="s">
        <v>336</v>
      </c>
      <c r="N26" s="195"/>
      <c r="O26" s="195"/>
      <c r="P26" s="195"/>
      <c r="Q26" s="194"/>
      <c r="R26" s="194"/>
      <c r="S26" s="194"/>
      <c r="T26" s="194"/>
      <c r="U26" s="194"/>
      <c r="V26" s="194"/>
      <c r="W26" s="194"/>
      <c r="X26" s="195"/>
      <c r="Y26" s="195"/>
      <c r="Z26" s="195"/>
      <c r="AA26" s="195">
        <v>24</v>
      </c>
      <c r="AB26" s="197">
        <v>16053865165.17334</v>
      </c>
      <c r="AC26" s="198">
        <v>637997.25815032423</v>
      </c>
      <c r="AD26" s="197">
        <v>25162.906203886454</v>
      </c>
      <c r="AE26" s="195">
        <v>0</v>
      </c>
      <c r="AF26" s="195">
        <v>0</v>
      </c>
      <c r="AG26" s="195">
        <v>2</v>
      </c>
      <c r="AH26" s="195">
        <f t="shared" si="0"/>
        <v>60000</v>
      </c>
      <c r="AI26" s="195"/>
      <c r="AJ26" s="195"/>
      <c r="AK26" s="195">
        <v>46000</v>
      </c>
      <c r="AL26" s="195">
        <v>0.44100001454353333</v>
      </c>
      <c r="AM26" s="195">
        <v>46000</v>
      </c>
      <c r="AN26" s="195"/>
      <c r="AO26" s="195"/>
      <c r="AP26" s="195"/>
      <c r="AQ26" s="195"/>
      <c r="AR26" s="195"/>
      <c r="AS26" s="195"/>
      <c r="AT26" s="195"/>
    </row>
    <row r="27" spans="2:46" ht="15.75" x14ac:dyDescent="0.25">
      <c r="B27" s="194" t="s">
        <v>204</v>
      </c>
      <c r="C27" s="195"/>
      <c r="D27" s="195"/>
      <c r="E27" s="195"/>
      <c r="F27" s="195"/>
      <c r="G27" s="195"/>
      <c r="H27" s="195"/>
      <c r="I27" s="195"/>
      <c r="J27" s="209" t="str">
        <f>AP17</f>
        <v>₤30000</v>
      </c>
      <c r="K27" s="195"/>
      <c r="L27" s="195"/>
      <c r="M27" s="201">
        <f>VLOOKUP(AQ10,PSAprobCETable,2)</f>
        <v>0.18299999833106995</v>
      </c>
      <c r="N27" s="195"/>
      <c r="O27" s="195"/>
      <c r="P27" s="195"/>
      <c r="Q27" s="194"/>
      <c r="R27" s="194"/>
      <c r="S27" s="194"/>
      <c r="T27" s="194"/>
      <c r="U27" s="194"/>
      <c r="V27" s="194"/>
      <c r="W27" s="194"/>
      <c r="X27" s="195"/>
      <c r="Y27" s="195"/>
      <c r="Z27" s="195"/>
      <c r="AA27" s="195">
        <v>25</v>
      </c>
      <c r="AB27" s="197">
        <v>17581123221.351093</v>
      </c>
      <c r="AC27" s="198">
        <v>283301.58570931852</v>
      </c>
      <c r="AD27" s="197">
        <v>62057.97675763876</v>
      </c>
      <c r="AE27" s="195">
        <v>0</v>
      </c>
      <c r="AF27" s="195">
        <v>0</v>
      </c>
      <c r="AG27" s="195">
        <v>3</v>
      </c>
      <c r="AH27" s="195">
        <f t="shared" si="0"/>
        <v>90000</v>
      </c>
      <c r="AI27" s="195"/>
      <c r="AJ27" s="195"/>
      <c r="AK27" s="195">
        <v>48000</v>
      </c>
      <c r="AL27" s="195">
        <v>0.4779999852180481</v>
      </c>
      <c r="AM27" s="195">
        <v>48000</v>
      </c>
      <c r="AN27" s="195"/>
      <c r="AO27" s="195"/>
      <c r="AP27" s="195"/>
      <c r="AQ27" s="195"/>
      <c r="AR27" s="195"/>
      <c r="AS27" s="195"/>
      <c r="AT27" s="195"/>
    </row>
    <row r="28" spans="2:46" x14ac:dyDescent="0.25"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4"/>
      <c r="R28" s="194"/>
      <c r="S28" s="194"/>
      <c r="T28" s="194"/>
      <c r="U28" s="194"/>
      <c r="V28" s="194"/>
      <c r="W28" s="194"/>
      <c r="X28" s="195"/>
      <c r="Y28" s="195"/>
      <c r="Z28" s="195"/>
      <c r="AA28" s="195">
        <v>26</v>
      </c>
      <c r="AB28" s="197">
        <v>15116368465.263353</v>
      </c>
      <c r="AC28" s="198">
        <v>854615.51699628681</v>
      </c>
      <c r="AD28" s="197">
        <v>17687.917156469124</v>
      </c>
      <c r="AE28" s="195">
        <v>0</v>
      </c>
      <c r="AF28" s="195">
        <v>0</v>
      </c>
      <c r="AG28" s="195">
        <v>4</v>
      </c>
      <c r="AH28" s="195">
        <f t="shared" si="0"/>
        <v>120000</v>
      </c>
      <c r="AI28" s="195"/>
      <c r="AJ28" s="195"/>
      <c r="AK28" s="199">
        <v>50000</v>
      </c>
      <c r="AL28" s="199">
        <v>0.50499999523162842</v>
      </c>
      <c r="AM28" s="195">
        <v>50000</v>
      </c>
      <c r="AN28" s="195"/>
      <c r="AO28" s="195"/>
      <c r="AP28" s="195"/>
      <c r="AQ28" s="195"/>
      <c r="AR28" s="195"/>
      <c r="AS28" s="195"/>
      <c r="AT28" s="195"/>
    </row>
    <row r="29" spans="2:46" x14ac:dyDescent="0.25"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202"/>
      <c r="S29" s="195"/>
      <c r="T29" s="195"/>
      <c r="U29" s="195"/>
      <c r="V29" s="195"/>
      <c r="W29" s="195"/>
      <c r="X29" s="195"/>
      <c r="Y29" s="195"/>
      <c r="Z29" s="195"/>
      <c r="AA29" s="195">
        <v>27</v>
      </c>
      <c r="AB29" s="197">
        <v>17835947239.405548</v>
      </c>
      <c r="AC29" s="198">
        <v>223901.97328489274</v>
      </c>
      <c r="AD29" s="197">
        <v>79659.625048105765</v>
      </c>
      <c r="AE29" s="195">
        <v>0</v>
      </c>
      <c r="AF29" s="195">
        <v>0</v>
      </c>
      <c r="AG29" s="195">
        <v>5</v>
      </c>
      <c r="AH29" s="195">
        <f t="shared" si="0"/>
        <v>150000</v>
      </c>
      <c r="AI29" s="195"/>
      <c r="AJ29" s="195"/>
      <c r="AK29" s="195">
        <v>52000</v>
      </c>
      <c r="AL29" s="195">
        <v>0.53799998760223389</v>
      </c>
      <c r="AM29" s="195">
        <v>52000</v>
      </c>
      <c r="AN29" s="195"/>
      <c r="AO29" s="195"/>
      <c r="AP29" s="195"/>
      <c r="AQ29" s="195"/>
      <c r="AR29" s="195"/>
      <c r="AS29" s="195"/>
      <c r="AT29" s="195"/>
    </row>
    <row r="30" spans="2:46" x14ac:dyDescent="0.25"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202"/>
      <c r="S30" s="195"/>
      <c r="T30" s="195"/>
      <c r="U30" s="195"/>
      <c r="V30" s="195"/>
      <c r="W30" s="195"/>
      <c r="X30" s="195"/>
      <c r="Y30" s="195"/>
      <c r="Z30" s="195"/>
      <c r="AA30" s="195">
        <v>28</v>
      </c>
      <c r="AB30" s="197">
        <v>17356538150.509716</v>
      </c>
      <c r="AC30" s="198">
        <v>335600.65451354533</v>
      </c>
      <c r="AD30" s="197">
        <v>51717.831646270468</v>
      </c>
      <c r="AE30" s="195">
        <v>0</v>
      </c>
      <c r="AF30" s="195">
        <v>0</v>
      </c>
      <c r="AG30" s="195">
        <v>6</v>
      </c>
      <c r="AH30" s="195">
        <f t="shared" si="0"/>
        <v>180000</v>
      </c>
      <c r="AI30" s="195"/>
      <c r="AJ30" s="195"/>
      <c r="AK30" s="195">
        <v>54000</v>
      </c>
      <c r="AL30" s="195">
        <v>0.55900001525878906</v>
      </c>
      <c r="AM30" s="195">
        <v>54000</v>
      </c>
      <c r="AN30" s="195"/>
      <c r="AO30" s="195"/>
      <c r="AP30" s="195"/>
      <c r="AQ30" s="195"/>
      <c r="AR30" s="195"/>
      <c r="AS30" s="195"/>
      <c r="AT30" s="195"/>
    </row>
    <row r="31" spans="2:46" x14ac:dyDescent="0.25"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202"/>
      <c r="S31" s="195"/>
      <c r="T31" s="195"/>
      <c r="U31" s="203"/>
      <c r="V31" s="195"/>
      <c r="W31" s="195"/>
      <c r="X31" s="195"/>
      <c r="Y31" s="195"/>
      <c r="Z31" s="195"/>
      <c r="AA31" s="195">
        <v>29</v>
      </c>
      <c r="AB31" s="197">
        <v>17533843261.646778</v>
      </c>
      <c r="AC31" s="198">
        <v>294315.69254426658</v>
      </c>
      <c r="AD31" s="197">
        <v>59574.952018603624</v>
      </c>
      <c r="AE31" s="195">
        <v>0</v>
      </c>
      <c r="AF31" s="195">
        <v>0</v>
      </c>
      <c r="AG31" s="195">
        <v>7</v>
      </c>
      <c r="AH31" s="195">
        <f t="shared" si="0"/>
        <v>210000</v>
      </c>
      <c r="AI31" s="195"/>
      <c r="AJ31" s="195"/>
      <c r="AK31" s="195">
        <v>56000</v>
      </c>
      <c r="AL31" s="195">
        <v>0.57899999618530273</v>
      </c>
      <c r="AM31" s="195">
        <v>56000</v>
      </c>
      <c r="AN31" s="195"/>
      <c r="AO31" s="195"/>
      <c r="AP31" s="195"/>
      <c r="AQ31" s="195"/>
      <c r="AR31" s="195"/>
      <c r="AS31" s="195"/>
      <c r="AT31" s="195"/>
    </row>
    <row r="32" spans="2:46" x14ac:dyDescent="0.25"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202"/>
      <c r="S32" s="195"/>
      <c r="T32" s="195"/>
      <c r="U32" s="203"/>
      <c r="V32" s="195"/>
      <c r="W32" s="195"/>
      <c r="X32" s="195"/>
      <c r="Y32" s="195"/>
      <c r="Z32" s="195"/>
      <c r="AA32" s="195">
        <v>30</v>
      </c>
      <c r="AB32" s="197">
        <v>18839337576.188229</v>
      </c>
      <c r="AC32" s="198">
        <v>-10597.194886088371</v>
      </c>
      <c r="AD32" s="197">
        <v>-1777766.4541132348</v>
      </c>
      <c r="AE32" s="195">
        <v>0</v>
      </c>
      <c r="AF32" s="195">
        <v>0</v>
      </c>
      <c r="AG32" s="195">
        <v>8</v>
      </c>
      <c r="AH32" s="195">
        <f t="shared" si="0"/>
        <v>240000</v>
      </c>
      <c r="AI32" s="195"/>
      <c r="AJ32" s="195"/>
      <c r="AK32" s="195">
        <v>58000</v>
      </c>
      <c r="AL32" s="195">
        <v>0.59700000286102295</v>
      </c>
      <c r="AM32" s="195">
        <v>58000</v>
      </c>
      <c r="AN32" s="195"/>
      <c r="AO32" s="195"/>
      <c r="AP32" s="195"/>
      <c r="AQ32" s="195"/>
      <c r="AR32" s="195"/>
      <c r="AS32" s="195"/>
      <c r="AT32" s="195"/>
    </row>
    <row r="33" spans="14:39" x14ac:dyDescent="0.25">
      <c r="N33" s="195" t="s">
        <v>338</v>
      </c>
      <c r="O33" s="195"/>
      <c r="P33" s="195"/>
      <c r="Q33" s="195"/>
      <c r="R33" s="202"/>
      <c r="S33" s="195"/>
      <c r="T33" s="195"/>
      <c r="U33" s="203"/>
      <c r="V33" s="195"/>
      <c r="W33" s="195"/>
      <c r="X33" s="195"/>
      <c r="Y33" s="195"/>
      <c r="Z33" s="195"/>
      <c r="AA33" s="195">
        <v>31</v>
      </c>
      <c r="AB33" s="197">
        <v>19618366793.695145</v>
      </c>
      <c r="AC33" s="198">
        <v>-193331.68201325089</v>
      </c>
      <c r="AD33" s="197">
        <v>-101475.17773290002</v>
      </c>
      <c r="AE33" s="195">
        <v>0</v>
      </c>
      <c r="AF33" s="195">
        <v>0</v>
      </c>
      <c r="AG33" s="195">
        <v>9</v>
      </c>
      <c r="AH33" s="195">
        <f t="shared" si="0"/>
        <v>270000</v>
      </c>
      <c r="AI33" s="195"/>
      <c r="AJ33" s="195"/>
      <c r="AK33" s="195">
        <v>60000</v>
      </c>
      <c r="AL33" s="195">
        <v>0.61100000143051147</v>
      </c>
      <c r="AM33" s="195">
        <v>60000</v>
      </c>
    </row>
    <row r="34" spans="14:39" x14ac:dyDescent="0.25">
      <c r="N34" s="195" t="s">
        <v>339</v>
      </c>
      <c r="O34" s="195"/>
      <c r="P34" s="195"/>
      <c r="Q34" s="195"/>
      <c r="R34" s="202"/>
      <c r="S34" s="195"/>
      <c r="T34" s="195"/>
      <c r="U34" s="203"/>
      <c r="V34" s="195"/>
      <c r="W34" s="195"/>
      <c r="X34" s="195"/>
      <c r="Y34" s="195"/>
      <c r="Z34" s="195"/>
      <c r="AA34" s="195">
        <v>32</v>
      </c>
      <c r="AB34" s="197">
        <v>16362352481.681288</v>
      </c>
      <c r="AC34" s="198">
        <v>566533.73811686039</v>
      </c>
      <c r="AD34" s="197">
        <v>28881.514693315905</v>
      </c>
      <c r="AE34" s="195">
        <v>0</v>
      </c>
      <c r="AF34" s="195">
        <v>0</v>
      </c>
      <c r="AG34" s="195">
        <v>10</v>
      </c>
      <c r="AH34" s="195">
        <f t="shared" si="0"/>
        <v>300000</v>
      </c>
      <c r="AI34" s="195"/>
      <c r="AJ34" s="195"/>
      <c r="AK34" s="195">
        <v>62000</v>
      </c>
      <c r="AL34" s="195">
        <v>0.62900000810623169</v>
      </c>
      <c r="AM34" s="195">
        <v>62000</v>
      </c>
    </row>
    <row r="35" spans="14:39" x14ac:dyDescent="0.25">
      <c r="N35" s="195" t="s">
        <v>212</v>
      </c>
      <c r="O35" s="195" t="s">
        <v>230</v>
      </c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>
        <v>33</v>
      </c>
      <c r="AB35" s="197">
        <v>16118863784.361237</v>
      </c>
      <c r="AC35" s="198">
        <v>622947.41136372089</v>
      </c>
      <c r="AD35" s="197">
        <v>25875.159749158825</v>
      </c>
      <c r="AE35" s="195">
        <v>0</v>
      </c>
      <c r="AF35" s="195">
        <v>0</v>
      </c>
      <c r="AG35" s="195"/>
      <c r="AH35" s="195"/>
      <c r="AI35" s="195"/>
      <c r="AJ35" s="195"/>
      <c r="AK35" s="195">
        <v>64000</v>
      </c>
      <c r="AL35" s="195">
        <v>0.64200001955032349</v>
      </c>
      <c r="AM35" s="195">
        <v>64000</v>
      </c>
    </row>
    <row r="36" spans="14:39" x14ac:dyDescent="0.25">
      <c r="N36" s="197">
        <v>0</v>
      </c>
      <c r="O36" s="200">
        <f>AL3</f>
        <v>0</v>
      </c>
      <c r="P36" s="195"/>
      <c r="Q36" s="195"/>
      <c r="R36" s="195"/>
      <c r="S36" s="195"/>
      <c r="T36" s="195"/>
      <c r="U36" s="195"/>
      <c r="V36" s="195"/>
      <c r="W36" s="195"/>
      <c r="X36" s="195"/>
      <c r="Y36" s="195"/>
      <c r="Z36" s="195"/>
      <c r="AA36" s="195">
        <v>34</v>
      </c>
      <c r="AB36" s="197">
        <v>15289213119.026688</v>
      </c>
      <c r="AC36" s="198">
        <v>814741.32266139239</v>
      </c>
      <c r="AD36" s="197">
        <v>18765.726855591078</v>
      </c>
      <c r="AE36" s="195">
        <v>0</v>
      </c>
      <c r="AF36" s="195">
        <v>0</v>
      </c>
      <c r="AG36" s="195"/>
      <c r="AH36" s="195"/>
      <c r="AI36" s="195"/>
      <c r="AJ36" s="195"/>
      <c r="AK36" s="195">
        <v>66000</v>
      </c>
      <c r="AL36" s="195">
        <v>0.65799999237060547</v>
      </c>
      <c r="AM36" s="195">
        <v>66000</v>
      </c>
    </row>
    <row r="37" spans="14:39" x14ac:dyDescent="0.25">
      <c r="N37" s="197">
        <v>10000</v>
      </c>
      <c r="O37" s="200">
        <f>AL8</f>
        <v>0</v>
      </c>
      <c r="P37" s="195"/>
      <c r="Q37" s="195"/>
      <c r="R37" s="195"/>
      <c r="S37" s="195"/>
      <c r="T37" s="195"/>
      <c r="U37" s="195"/>
      <c r="V37" s="195"/>
      <c r="W37" s="195"/>
      <c r="X37" s="195"/>
      <c r="Y37" s="195"/>
      <c r="Z37" s="195"/>
      <c r="AA37" s="195">
        <v>35</v>
      </c>
      <c r="AB37" s="197">
        <v>18259586616.576843</v>
      </c>
      <c r="AC37" s="198">
        <v>125012.96585840732</v>
      </c>
      <c r="AD37" s="197">
        <v>146061.54242639191</v>
      </c>
      <c r="AE37" s="195">
        <v>0</v>
      </c>
      <c r="AF37" s="195">
        <v>0</v>
      </c>
      <c r="AG37" s="195"/>
      <c r="AH37" s="195"/>
      <c r="AI37" s="195"/>
      <c r="AJ37" s="195"/>
      <c r="AK37" s="195">
        <v>68000</v>
      </c>
      <c r="AL37" s="195">
        <v>0.67299997806549072</v>
      </c>
      <c r="AM37" s="195">
        <v>68000</v>
      </c>
    </row>
    <row r="38" spans="14:39" x14ac:dyDescent="0.25">
      <c r="N38" s="197">
        <v>30000</v>
      </c>
      <c r="O38" s="200">
        <f>AL18</f>
        <v>0.18299999833106995</v>
      </c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>
        <v>36</v>
      </c>
      <c r="AB38" s="197">
        <v>16486635244.529364</v>
      </c>
      <c r="AC38" s="198">
        <v>537716.83422581106</v>
      </c>
      <c r="AD38" s="197">
        <v>30660.440951725712</v>
      </c>
      <c r="AE38" s="195">
        <v>0</v>
      </c>
      <c r="AF38" s="195">
        <v>0</v>
      </c>
      <c r="AG38" s="195"/>
      <c r="AH38" s="195"/>
      <c r="AI38" s="195"/>
      <c r="AJ38" s="195"/>
      <c r="AK38" s="195">
        <v>70000</v>
      </c>
      <c r="AL38" s="195">
        <v>0.67799997329711914</v>
      </c>
      <c r="AM38" s="195">
        <v>70000</v>
      </c>
    </row>
    <row r="39" spans="14:39" x14ac:dyDescent="0.25">
      <c r="N39" s="197">
        <v>50000</v>
      </c>
      <c r="O39" s="200">
        <f>AL28</f>
        <v>0.50499999523162842</v>
      </c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>
        <v>37</v>
      </c>
      <c r="AB39" s="197">
        <v>18717893873.264824</v>
      </c>
      <c r="AC39" s="198">
        <v>17836.679323092103</v>
      </c>
      <c r="AD39" s="197">
        <v>1049404.6304365557</v>
      </c>
      <c r="AE39" s="195">
        <v>0</v>
      </c>
      <c r="AF39" s="195">
        <v>0</v>
      </c>
      <c r="AG39" s="195"/>
      <c r="AH39" s="195"/>
      <c r="AI39" s="195"/>
      <c r="AJ39" s="195"/>
      <c r="AK39" s="195">
        <v>72000</v>
      </c>
      <c r="AL39" s="195">
        <v>0.69199997186660767</v>
      </c>
      <c r="AM39" s="195">
        <v>72000</v>
      </c>
    </row>
    <row r="40" spans="14:39" x14ac:dyDescent="0.25">
      <c r="N40" s="197">
        <v>100000</v>
      </c>
      <c r="O40" s="200">
        <f>AL53</f>
        <v>0.79400002956390381</v>
      </c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>
        <v>38</v>
      </c>
      <c r="AB40" s="197">
        <v>17181956075.575565</v>
      </c>
      <c r="AC40" s="198">
        <v>376222.00743377954</v>
      </c>
      <c r="AD40" s="197">
        <v>45669.726215045608</v>
      </c>
      <c r="AE40" s="195">
        <v>0</v>
      </c>
      <c r="AF40" s="195">
        <v>0</v>
      </c>
      <c r="AG40" s="195"/>
      <c r="AH40" s="195"/>
      <c r="AI40" s="195"/>
      <c r="AJ40" s="195"/>
      <c r="AK40" s="195">
        <v>74000</v>
      </c>
      <c r="AL40" s="195">
        <v>0.70399999618530273</v>
      </c>
      <c r="AM40" s="195">
        <v>74000</v>
      </c>
    </row>
    <row r="41" spans="14:39" x14ac:dyDescent="0.25"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>
        <v>39</v>
      </c>
      <c r="AB41" s="197">
        <v>17233806437.147964</v>
      </c>
      <c r="AC41" s="198">
        <v>364160.64658661932</v>
      </c>
      <c r="AD41" s="197">
        <v>47324.735933674616</v>
      </c>
      <c r="AE41" s="195">
        <v>0</v>
      </c>
      <c r="AF41" s="195">
        <v>0</v>
      </c>
      <c r="AG41" s="195"/>
      <c r="AH41" s="195"/>
      <c r="AI41" s="195"/>
      <c r="AJ41" s="195"/>
      <c r="AK41" s="195">
        <v>76000</v>
      </c>
      <c r="AL41" s="195">
        <v>0.71700000762939453</v>
      </c>
      <c r="AM41" s="195">
        <v>76000</v>
      </c>
    </row>
    <row r="42" spans="14:39" x14ac:dyDescent="0.25"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>
        <v>40</v>
      </c>
      <c r="AB42" s="197">
        <v>16706256028.483473</v>
      </c>
      <c r="AC42" s="198">
        <v>486758.0415039286</v>
      </c>
      <c r="AD42" s="197">
        <v>34321.479264865186</v>
      </c>
      <c r="AE42" s="195">
        <v>0</v>
      </c>
      <c r="AF42" s="195">
        <v>0</v>
      </c>
      <c r="AG42" s="195"/>
      <c r="AH42" s="195"/>
      <c r="AI42" s="195"/>
      <c r="AJ42" s="195"/>
      <c r="AK42" s="195">
        <v>78000</v>
      </c>
      <c r="AL42" s="195">
        <v>0.72600001096725464</v>
      </c>
      <c r="AM42" s="195">
        <v>78000</v>
      </c>
    </row>
    <row r="43" spans="14:39" x14ac:dyDescent="0.25">
      <c r="N43" s="195" t="s">
        <v>248</v>
      </c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>
        <v>41</v>
      </c>
      <c r="AB43" s="197">
        <v>17629410976.95792</v>
      </c>
      <c r="AC43" s="198">
        <v>272050.4863004908</v>
      </c>
      <c r="AD43" s="197">
        <v>64801.982957992295</v>
      </c>
      <c r="AE43" s="195">
        <v>0</v>
      </c>
      <c r="AF43" s="195">
        <v>0</v>
      </c>
      <c r="AG43" s="195"/>
      <c r="AH43" s="195"/>
      <c r="AI43" s="195"/>
      <c r="AJ43" s="195"/>
      <c r="AK43" s="195">
        <v>80000</v>
      </c>
      <c r="AL43" s="195">
        <v>0.73199999332427979</v>
      </c>
      <c r="AM43" s="195">
        <v>80000</v>
      </c>
    </row>
    <row r="44" spans="14:39" x14ac:dyDescent="0.25">
      <c r="N44" s="195" t="s">
        <v>249</v>
      </c>
      <c r="O44" s="195" t="s">
        <v>250</v>
      </c>
      <c r="P44" s="195" t="s">
        <v>251</v>
      </c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>
        <v>42</v>
      </c>
      <c r="AB44" s="197">
        <v>16900921784.266621</v>
      </c>
      <c r="AC44" s="198">
        <v>441550.83503608406</v>
      </c>
      <c r="AD44" s="197">
        <v>38276.276349665284</v>
      </c>
      <c r="AE44" s="195">
        <v>0</v>
      </c>
      <c r="AF44" s="195">
        <v>0</v>
      </c>
      <c r="AG44" s="195"/>
      <c r="AH44" s="195"/>
      <c r="AI44" s="195"/>
      <c r="AJ44" s="195"/>
      <c r="AK44" s="195">
        <v>82000</v>
      </c>
      <c r="AL44" s="195">
        <v>0.73600000143051147</v>
      </c>
      <c r="AM44" s="195">
        <v>82000</v>
      </c>
    </row>
    <row r="45" spans="14:39" x14ac:dyDescent="0.25">
      <c r="N45" s="195">
        <v>0.5</v>
      </c>
      <c r="O45" s="197">
        <v>33617.019653320313</v>
      </c>
      <c r="P45" s="197">
        <v>85391.104221343994</v>
      </c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>
        <v>43</v>
      </c>
      <c r="AB45" s="197">
        <v>17484900779.441101</v>
      </c>
      <c r="AC45" s="198">
        <v>305714.82572739571</v>
      </c>
      <c r="AD45" s="197">
        <v>57193.499653930077</v>
      </c>
      <c r="AE45" s="195">
        <v>0</v>
      </c>
      <c r="AF45" s="195">
        <v>0</v>
      </c>
      <c r="AG45" s="195"/>
      <c r="AH45" s="195"/>
      <c r="AI45" s="195"/>
      <c r="AJ45" s="195"/>
      <c r="AK45" s="195">
        <v>84000</v>
      </c>
      <c r="AL45" s="195">
        <v>0.74199998378753662</v>
      </c>
      <c r="AM45" s="195">
        <v>84000</v>
      </c>
    </row>
    <row r="46" spans="14:39" x14ac:dyDescent="0.25">
      <c r="N46" s="195">
        <v>0.6</v>
      </c>
      <c r="O46" s="197">
        <v>31352.043151855469</v>
      </c>
      <c r="P46" s="197">
        <v>104427.33764648437</v>
      </c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>
        <v>44</v>
      </c>
      <c r="AB46" s="197">
        <v>17091457101.855179</v>
      </c>
      <c r="AC46" s="198">
        <v>397267.56016801298</v>
      </c>
      <c r="AD46" s="197">
        <v>43022.533968358337</v>
      </c>
      <c r="AE46" s="195">
        <v>0</v>
      </c>
      <c r="AF46" s="195">
        <v>0</v>
      </c>
      <c r="AG46" s="195"/>
      <c r="AH46" s="195"/>
      <c r="AI46" s="195"/>
      <c r="AJ46" s="195"/>
      <c r="AK46" s="195">
        <v>86000</v>
      </c>
      <c r="AL46" s="195">
        <v>0.75199997425079346</v>
      </c>
      <c r="AM46" s="195">
        <v>86000</v>
      </c>
    </row>
    <row r="47" spans="14:39" x14ac:dyDescent="0.25">
      <c r="N47" s="195">
        <v>0.7</v>
      </c>
      <c r="O47" s="197">
        <v>27656.55517578125</v>
      </c>
      <c r="P47" s="197">
        <v>140190.12451171875</v>
      </c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>
        <v>45</v>
      </c>
      <c r="AB47" s="197">
        <v>17353840370.124786</v>
      </c>
      <c r="AC47" s="198">
        <v>336228.59088818729</v>
      </c>
      <c r="AD47" s="197">
        <v>51613.220411395057</v>
      </c>
      <c r="AE47" s="195">
        <v>0</v>
      </c>
      <c r="AF47" s="195">
        <v>0</v>
      </c>
      <c r="AG47" s="195"/>
      <c r="AH47" s="195"/>
      <c r="AI47" s="195"/>
      <c r="AJ47" s="195"/>
      <c r="AK47" s="195">
        <v>88000</v>
      </c>
      <c r="AL47" s="195">
        <v>0.75800001621246338</v>
      </c>
      <c r="AM47" s="195">
        <v>88000</v>
      </c>
    </row>
    <row r="48" spans="14:39" x14ac:dyDescent="0.25">
      <c r="N48" s="195">
        <v>0.8</v>
      </c>
      <c r="O48" s="197">
        <v>25302.17170715332</v>
      </c>
      <c r="P48" s="197">
        <v>213623.046875</v>
      </c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>
        <v>46</v>
      </c>
      <c r="AB48" s="197">
        <v>17116443591.19836</v>
      </c>
      <c r="AC48" s="198">
        <v>391457.73476980627</v>
      </c>
      <c r="AD48" s="197">
        <v>43724.88284402799</v>
      </c>
      <c r="AE48" s="195">
        <v>0</v>
      </c>
      <c r="AF48" s="195">
        <v>0</v>
      </c>
      <c r="AG48" s="195"/>
      <c r="AH48" s="195"/>
      <c r="AI48" s="195"/>
      <c r="AJ48" s="195"/>
      <c r="AK48" s="195">
        <v>90000</v>
      </c>
      <c r="AL48" s="195">
        <v>0.76099997758865356</v>
      </c>
      <c r="AM48" s="195">
        <v>90000</v>
      </c>
    </row>
    <row r="49" spans="14:39" x14ac:dyDescent="0.25">
      <c r="N49" s="195">
        <v>0.9</v>
      </c>
      <c r="O49" s="197">
        <v>21934.50927734375</v>
      </c>
      <c r="P49" s="197">
        <v>1342773.4375</v>
      </c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>
        <v>47</v>
      </c>
      <c r="AB49" s="197">
        <v>18214134477.264233</v>
      </c>
      <c r="AC49" s="198">
        <v>135631.02065192163</v>
      </c>
      <c r="AD49" s="197">
        <v>134291.80426215552</v>
      </c>
      <c r="AE49" s="195">
        <v>0</v>
      </c>
      <c r="AF49" s="195">
        <v>0</v>
      </c>
      <c r="AG49" s="195"/>
      <c r="AH49" s="195"/>
      <c r="AI49" s="195"/>
      <c r="AJ49" s="195"/>
      <c r="AK49" s="195">
        <v>92000</v>
      </c>
      <c r="AL49" s="195">
        <v>0.7720000147819519</v>
      </c>
      <c r="AM49" s="195">
        <v>92000</v>
      </c>
    </row>
    <row r="50" spans="14:39" x14ac:dyDescent="0.25">
      <c r="N50" s="199">
        <v>0.95</v>
      </c>
      <c r="O50" s="204">
        <v>19699.335098266602</v>
      </c>
      <c r="P50" s="204" t="s">
        <v>345</v>
      </c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>
        <v>48</v>
      </c>
      <c r="AB50" s="197">
        <v>18179867229.674622</v>
      </c>
      <c r="AC50" s="198">
        <v>143634.86096013337</v>
      </c>
      <c r="AD50" s="197">
        <v>126570.02003657413</v>
      </c>
      <c r="AE50" s="195">
        <v>0</v>
      </c>
      <c r="AF50" s="195">
        <v>0</v>
      </c>
      <c r="AG50" s="195"/>
      <c r="AH50" s="195"/>
      <c r="AI50" s="195"/>
      <c r="AJ50" s="195"/>
      <c r="AK50" s="195">
        <v>94000</v>
      </c>
      <c r="AL50" s="195">
        <v>0.78200000524520874</v>
      </c>
      <c r="AM50" s="195">
        <v>94000</v>
      </c>
    </row>
    <row r="51" spans="14:39" x14ac:dyDescent="0.25"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>
        <v>49</v>
      </c>
      <c r="AB51" s="197">
        <v>17226053635.104637</v>
      </c>
      <c r="AC51" s="198">
        <v>365964.25733661652</v>
      </c>
      <c r="AD51" s="197">
        <v>47070.317086348659</v>
      </c>
      <c r="AE51" s="195">
        <v>0</v>
      </c>
      <c r="AF51" s="195">
        <v>0</v>
      </c>
      <c r="AG51" s="195"/>
      <c r="AH51" s="195"/>
      <c r="AI51" s="195"/>
      <c r="AJ51" s="195"/>
      <c r="AK51" s="195">
        <v>96000</v>
      </c>
      <c r="AL51" s="195">
        <v>0.78700000047683716</v>
      </c>
      <c r="AM51" s="195">
        <v>96000</v>
      </c>
    </row>
    <row r="52" spans="14:39" x14ac:dyDescent="0.25"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>
        <v>50</v>
      </c>
      <c r="AB52" s="197">
        <v>17967199058.94381</v>
      </c>
      <c r="AC52" s="198">
        <v>193282.70193624496</v>
      </c>
      <c r="AD52" s="197">
        <v>92958.132719348883</v>
      </c>
      <c r="AE52" s="195">
        <v>0</v>
      </c>
      <c r="AF52" s="195">
        <v>0</v>
      </c>
      <c r="AG52" s="195"/>
      <c r="AH52" s="195"/>
      <c r="AI52" s="195"/>
      <c r="AJ52" s="195"/>
      <c r="AK52" s="195">
        <v>98000</v>
      </c>
      <c r="AL52" s="195">
        <v>0.7929999828338623</v>
      </c>
      <c r="AM52" s="195">
        <v>98000</v>
      </c>
    </row>
    <row r="53" spans="14:39" x14ac:dyDescent="0.25">
      <c r="N53" s="195" t="s">
        <v>252</v>
      </c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>
        <v>51</v>
      </c>
      <c r="AB53" s="197">
        <v>15631415154.32774</v>
      </c>
      <c r="AC53" s="198">
        <v>735712.982448183</v>
      </c>
      <c r="AD53" s="197">
        <v>21246.621341806585</v>
      </c>
      <c r="AE53" s="195">
        <v>0</v>
      </c>
      <c r="AF53" s="195">
        <v>0</v>
      </c>
      <c r="AG53" s="195"/>
      <c r="AH53" s="195"/>
      <c r="AI53" s="195"/>
      <c r="AJ53" s="195"/>
      <c r="AK53" s="199">
        <v>100000</v>
      </c>
      <c r="AL53" s="199">
        <v>0.79400002956390381</v>
      </c>
      <c r="AM53" s="195">
        <v>100000</v>
      </c>
    </row>
    <row r="54" spans="14:39" x14ac:dyDescent="0.25">
      <c r="N54" s="195">
        <v>0</v>
      </c>
      <c r="O54" s="196">
        <f>O50</f>
        <v>19699.335098266602</v>
      </c>
      <c r="P54" s="195"/>
      <c r="Q54" s="195"/>
      <c r="R54" s="195"/>
      <c r="S54" s="195"/>
      <c r="T54" s="195"/>
      <c r="U54" s="195"/>
      <c r="V54" s="195"/>
      <c r="W54" s="195"/>
      <c r="X54" s="195"/>
      <c r="Y54" s="195"/>
      <c r="Z54" s="195"/>
      <c r="AA54" s="195">
        <v>52</v>
      </c>
      <c r="AB54" s="197">
        <v>16867962957.474281</v>
      </c>
      <c r="AC54" s="198">
        <v>449207.42115136981</v>
      </c>
      <c r="AD54" s="197">
        <v>37550.499308848841</v>
      </c>
      <c r="AE54" s="195">
        <v>0</v>
      </c>
      <c r="AF54" s="195">
        <v>0</v>
      </c>
      <c r="AG54" s="195"/>
      <c r="AH54" s="195"/>
      <c r="AI54" s="195"/>
      <c r="AJ54" s="195"/>
      <c r="AK54" s="195">
        <v>102000</v>
      </c>
      <c r="AL54" s="195">
        <v>0.79500001668930054</v>
      </c>
      <c r="AM54" s="195">
        <v>102000</v>
      </c>
    </row>
    <row r="55" spans="14:39" x14ac:dyDescent="0.25">
      <c r="N55" s="195">
        <v>2.5000000000000001E-2</v>
      </c>
      <c r="O55" s="196">
        <f>O50</f>
        <v>19699.335098266602</v>
      </c>
      <c r="P55" s="195"/>
      <c r="Q55" s="195"/>
      <c r="R55" s="195"/>
      <c r="S55" s="195"/>
      <c r="T55" s="195"/>
      <c r="U55" s="195"/>
      <c r="V55" s="195"/>
      <c r="W55" s="195"/>
      <c r="X55" s="195"/>
      <c r="Y55" s="195"/>
      <c r="Z55" s="195"/>
      <c r="AA55" s="195">
        <v>53</v>
      </c>
      <c r="AB55" s="197">
        <v>17229167079.050941</v>
      </c>
      <c r="AC55" s="198">
        <v>365239.95313365012</v>
      </c>
      <c r="AD55" s="197">
        <v>47172.186205889622</v>
      </c>
      <c r="AE55" s="195">
        <v>0</v>
      </c>
      <c r="AF55" s="195">
        <v>0</v>
      </c>
      <c r="AG55" s="195"/>
      <c r="AH55" s="195"/>
      <c r="AI55" s="195"/>
      <c r="AJ55" s="195"/>
      <c r="AK55" s="195">
        <v>104000</v>
      </c>
      <c r="AL55" s="195">
        <v>0.79799997806549072</v>
      </c>
      <c r="AM55" s="195">
        <v>104000</v>
      </c>
    </row>
    <row r="56" spans="14:39" x14ac:dyDescent="0.25"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5"/>
      <c r="Y56" s="195"/>
      <c r="Z56" s="195"/>
      <c r="AA56" s="195">
        <v>54</v>
      </c>
      <c r="AB56" s="197">
        <v>15841902213.373352</v>
      </c>
      <c r="AC56" s="198">
        <v>687047.21096396446</v>
      </c>
      <c r="AD56" s="197">
        <v>23057.952875096173</v>
      </c>
      <c r="AE56" s="195">
        <v>0</v>
      </c>
      <c r="AF56" s="195">
        <v>0</v>
      </c>
      <c r="AG56" s="195"/>
      <c r="AH56" s="195"/>
      <c r="AI56" s="195"/>
      <c r="AJ56" s="195"/>
      <c r="AK56" s="195">
        <v>106000</v>
      </c>
      <c r="AL56" s="195">
        <v>0.80299997329711914</v>
      </c>
      <c r="AM56" s="195">
        <v>106000</v>
      </c>
    </row>
    <row r="57" spans="14:39" x14ac:dyDescent="0.25">
      <c r="N57" s="195">
        <v>2.5000000000000001E-2</v>
      </c>
      <c r="O57" s="195">
        <v>0</v>
      </c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>
        <v>55</v>
      </c>
      <c r="AB57" s="197">
        <v>15229173967.727354</v>
      </c>
      <c r="AC57" s="198">
        <v>828595.22812201083</v>
      </c>
      <c r="AD57" s="197">
        <v>18379.509621656733</v>
      </c>
      <c r="AE57" s="195">
        <v>0</v>
      </c>
      <c r="AF57" s="195">
        <v>0</v>
      </c>
      <c r="AG57" s="195"/>
      <c r="AH57" s="195"/>
      <c r="AI57" s="195"/>
      <c r="AJ57" s="195"/>
      <c r="AK57" s="195">
        <v>108000</v>
      </c>
      <c r="AL57" s="195">
        <v>0.80699998140335083</v>
      </c>
      <c r="AM57" s="195">
        <v>108000</v>
      </c>
    </row>
    <row r="58" spans="14:39" x14ac:dyDescent="0.25">
      <c r="N58" s="195">
        <v>2.5000000000000001E-2</v>
      </c>
      <c r="O58" s="196">
        <f>O50</f>
        <v>19699.335098266602</v>
      </c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>
        <v>56</v>
      </c>
      <c r="AB58" s="197">
        <v>17464776798.413456</v>
      </c>
      <c r="AC58" s="198">
        <v>310401.20840501785</v>
      </c>
      <c r="AD58" s="197">
        <v>56265.170126609359</v>
      </c>
      <c r="AE58" s="195">
        <v>0</v>
      </c>
      <c r="AF58" s="195">
        <v>0</v>
      </c>
      <c r="AG58" s="195"/>
      <c r="AH58" s="195"/>
      <c r="AI58" s="195"/>
      <c r="AJ58" s="195"/>
      <c r="AK58" s="195">
        <v>110000</v>
      </c>
      <c r="AL58" s="195">
        <v>0.80800002813339233</v>
      </c>
      <c r="AM58" s="195">
        <v>110000</v>
      </c>
    </row>
    <row r="59" spans="14:39" x14ac:dyDescent="0.25"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>
        <v>57</v>
      </c>
      <c r="AB59" s="197">
        <v>18733452717.083</v>
      </c>
      <c r="AC59" s="198">
        <v>14194.648872971535</v>
      </c>
      <c r="AD59" s="197">
        <v>1319754.5698191901</v>
      </c>
      <c r="AE59" s="195">
        <v>0</v>
      </c>
      <c r="AF59" s="195">
        <v>0</v>
      </c>
      <c r="AG59" s="195"/>
      <c r="AH59" s="195"/>
      <c r="AI59" s="195"/>
      <c r="AJ59" s="195"/>
      <c r="AK59" s="195">
        <v>112000</v>
      </c>
      <c r="AL59" s="195">
        <v>0.81400001049041748</v>
      </c>
      <c r="AM59" s="195">
        <v>112000</v>
      </c>
    </row>
    <row r="60" spans="14:39" x14ac:dyDescent="0.25">
      <c r="N60" s="195">
        <v>0</v>
      </c>
      <c r="O60" s="196" t="str">
        <f>P50</f>
        <v>Dom</v>
      </c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>
        <v>58</v>
      </c>
      <c r="AB60" s="197">
        <v>17970026359.639839</v>
      </c>
      <c r="AC60" s="198">
        <v>192622.94837886095</v>
      </c>
      <c r="AD60" s="197">
        <v>93291.201857711392</v>
      </c>
      <c r="AE60" s="195">
        <v>0</v>
      </c>
      <c r="AF60" s="195">
        <v>0</v>
      </c>
      <c r="AG60" s="195"/>
      <c r="AH60" s="195"/>
      <c r="AI60" s="195"/>
      <c r="AJ60" s="195"/>
      <c r="AK60" s="195">
        <v>114000</v>
      </c>
      <c r="AL60" s="195">
        <v>0.81699997186660767</v>
      </c>
      <c r="AM60" s="195">
        <v>114000</v>
      </c>
    </row>
    <row r="61" spans="14:39" x14ac:dyDescent="0.25">
      <c r="N61" s="195">
        <v>0.97499999999999998</v>
      </c>
      <c r="O61" s="196" t="str">
        <f>P50</f>
        <v>Dom</v>
      </c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>
        <v>59</v>
      </c>
      <c r="AB61" s="197">
        <v>16864834345.050327</v>
      </c>
      <c r="AC61" s="198">
        <v>449934.1673418954</v>
      </c>
      <c r="AD61" s="197">
        <v>37482.893207874782</v>
      </c>
      <c r="AE61" s="195">
        <v>0</v>
      </c>
      <c r="AF61" s="195">
        <v>0</v>
      </c>
      <c r="AG61" s="195"/>
      <c r="AH61" s="195"/>
      <c r="AI61" s="195"/>
      <c r="AJ61" s="195"/>
      <c r="AK61" s="195">
        <v>116000</v>
      </c>
      <c r="AL61" s="195">
        <v>0.8190000057220459</v>
      </c>
      <c r="AM61" s="195">
        <v>116000</v>
      </c>
    </row>
    <row r="62" spans="14:39" x14ac:dyDescent="0.25"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>
        <v>60</v>
      </c>
      <c r="AB62" s="197">
        <v>16106184655.406956</v>
      </c>
      <c r="AC62" s="198">
        <v>625883.46818397194</v>
      </c>
      <c r="AD62" s="197">
        <v>25733.519854965572</v>
      </c>
      <c r="AE62" s="195">
        <v>0</v>
      </c>
      <c r="AF62" s="195">
        <v>0</v>
      </c>
      <c r="AG62" s="195"/>
      <c r="AH62" s="195"/>
      <c r="AI62" s="195"/>
      <c r="AJ62" s="195"/>
      <c r="AK62" s="195">
        <v>118000</v>
      </c>
      <c r="AL62" s="195">
        <v>0.8190000057220459</v>
      </c>
      <c r="AM62" s="195">
        <v>118000</v>
      </c>
    </row>
    <row r="63" spans="14:39" x14ac:dyDescent="0.25">
      <c r="N63" s="195">
        <v>0.97499999999999998</v>
      </c>
      <c r="O63" s="195">
        <v>0</v>
      </c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>
        <v>61</v>
      </c>
      <c r="AB63" s="197">
        <v>17889162083.434097</v>
      </c>
      <c r="AC63" s="198">
        <v>211489.67141188681</v>
      </c>
      <c r="AD63" s="197">
        <v>84586.457409516006</v>
      </c>
      <c r="AE63" s="195">
        <v>0</v>
      </c>
      <c r="AF63" s="195">
        <v>0</v>
      </c>
      <c r="AG63" s="195"/>
      <c r="AH63" s="195"/>
      <c r="AI63" s="195"/>
      <c r="AJ63" s="195"/>
      <c r="AK63" s="195">
        <v>120000</v>
      </c>
      <c r="AL63" s="195">
        <v>0.82200002670288086</v>
      </c>
      <c r="AM63" s="195">
        <v>120000</v>
      </c>
    </row>
    <row r="64" spans="14:39" x14ac:dyDescent="0.25">
      <c r="N64" s="195">
        <v>0.97499999999999998</v>
      </c>
      <c r="O64" s="196" t="str">
        <f>P50</f>
        <v>Dom</v>
      </c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>
        <v>62</v>
      </c>
      <c r="AB64" s="197">
        <v>19024976219.215111</v>
      </c>
      <c r="AC64" s="198">
        <v>-54088.681562393904</v>
      </c>
      <c r="AD64" s="197">
        <v>-351736.73437147628</v>
      </c>
      <c r="AE64" s="195">
        <v>0</v>
      </c>
      <c r="AF64" s="195">
        <v>0</v>
      </c>
      <c r="AG64" s="195"/>
      <c r="AH64" s="195"/>
      <c r="AI64" s="195"/>
      <c r="AJ64" s="195"/>
      <c r="AK64" s="195">
        <v>122000</v>
      </c>
      <c r="AL64" s="195">
        <v>0.82300001382827759</v>
      </c>
      <c r="AM64" s="195">
        <v>122000</v>
      </c>
    </row>
    <row r="65" spans="14:39" x14ac:dyDescent="0.25"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>
        <v>63</v>
      </c>
      <c r="AB65" s="197">
        <v>17675984555.573254</v>
      </c>
      <c r="AC65" s="198">
        <v>261196.66507613659</v>
      </c>
      <c r="AD65" s="197">
        <v>67673.086677507366</v>
      </c>
      <c r="AE65" s="195">
        <v>0</v>
      </c>
      <c r="AF65" s="195">
        <v>0</v>
      </c>
      <c r="AG65" s="195"/>
      <c r="AH65" s="195"/>
      <c r="AI65" s="195"/>
      <c r="AJ65" s="195"/>
      <c r="AK65" s="195">
        <v>124000</v>
      </c>
      <c r="AL65" s="195">
        <v>0.82700002193450928</v>
      </c>
      <c r="AM65" s="195">
        <v>124000</v>
      </c>
    </row>
    <row r="66" spans="14:39" x14ac:dyDescent="0.25">
      <c r="N66" s="195" t="s">
        <v>253</v>
      </c>
      <c r="O66" s="195"/>
      <c r="P66" s="195"/>
      <c r="Q66" s="195"/>
      <c r="R66" s="195"/>
      <c r="S66" s="195"/>
      <c r="T66" s="195"/>
      <c r="U66" s="195"/>
      <c r="V66" s="195"/>
      <c r="W66" s="195"/>
      <c r="X66" s="195"/>
      <c r="Y66" s="195"/>
      <c r="Z66" s="195"/>
      <c r="AA66" s="195">
        <v>64</v>
      </c>
      <c r="AB66" s="197">
        <v>15139204022.717432</v>
      </c>
      <c r="AC66" s="198">
        <v>849349.13554754108</v>
      </c>
      <c r="AD66" s="197">
        <v>17824.47687187884</v>
      </c>
      <c r="AE66" s="195">
        <v>0</v>
      </c>
      <c r="AF66" s="195">
        <v>0</v>
      </c>
      <c r="AG66" s="195"/>
      <c r="AH66" s="195"/>
      <c r="AI66" s="195"/>
      <c r="AJ66" s="195"/>
      <c r="AK66" s="195">
        <v>126000</v>
      </c>
      <c r="AL66" s="195">
        <v>0.82899999618530273</v>
      </c>
      <c r="AM66" s="195">
        <v>126000</v>
      </c>
    </row>
    <row r="67" spans="14:39" x14ac:dyDescent="0.25">
      <c r="N67" s="195">
        <f>IF((P52="Dom"),150000,(IF(P50&lt;35000,50000,IF(P50&lt;50000,75000,IF(P50&lt;75000,100000,150000)))))</f>
        <v>150000</v>
      </c>
      <c r="O67" s="195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>
        <v>65</v>
      </c>
      <c r="AB67" s="197">
        <v>20062459395.868702</v>
      </c>
      <c r="AC67" s="198">
        <v>-297763.62551533431</v>
      </c>
      <c r="AD67" s="197">
        <v>-67377.132989789985</v>
      </c>
      <c r="AE67" s="195">
        <v>0</v>
      </c>
      <c r="AF67" s="195">
        <v>0</v>
      </c>
      <c r="AG67" s="195"/>
      <c r="AH67" s="195"/>
      <c r="AI67" s="195"/>
      <c r="AJ67" s="195"/>
      <c r="AK67" s="195">
        <v>128000</v>
      </c>
      <c r="AL67" s="195">
        <v>0.83399999141693115</v>
      </c>
      <c r="AM67" s="195">
        <v>128000</v>
      </c>
    </row>
    <row r="68" spans="14:39" x14ac:dyDescent="0.25"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>
        <v>66</v>
      </c>
      <c r="AB68" s="197">
        <v>19130165141.412807</v>
      </c>
      <c r="AC68" s="198">
        <v>-78747.148385874927</v>
      </c>
      <c r="AD68" s="197">
        <v>-242931.52874148055</v>
      </c>
      <c r="AE68" s="195">
        <v>0</v>
      </c>
      <c r="AF68" s="195">
        <v>0</v>
      </c>
      <c r="AG68" s="195"/>
      <c r="AH68" s="195"/>
      <c r="AI68" s="195"/>
      <c r="AJ68" s="195"/>
      <c r="AK68" s="195">
        <v>130000</v>
      </c>
      <c r="AL68" s="195">
        <v>0.83899998664855957</v>
      </c>
      <c r="AM68" s="195">
        <v>130000</v>
      </c>
    </row>
    <row r="69" spans="14:39" x14ac:dyDescent="0.25"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>
        <v>67</v>
      </c>
      <c r="AB69" s="197">
        <v>15551017502.538895</v>
      </c>
      <c r="AC69" s="198">
        <v>754290.15134856105</v>
      </c>
      <c r="AD69" s="197">
        <v>20616.757987275771</v>
      </c>
      <c r="AE69" s="195">
        <v>0</v>
      </c>
      <c r="AF69" s="195">
        <v>0</v>
      </c>
      <c r="AG69" s="195"/>
      <c r="AH69" s="195"/>
      <c r="AI69" s="195"/>
      <c r="AJ69" s="195"/>
      <c r="AK69" s="195">
        <v>132000</v>
      </c>
      <c r="AL69" s="195">
        <v>0.84200000762939453</v>
      </c>
      <c r="AM69" s="195">
        <v>132000</v>
      </c>
    </row>
    <row r="70" spans="14:39" x14ac:dyDescent="0.25"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>
        <v>68</v>
      </c>
      <c r="AB70" s="197">
        <v>17225507301.38361</v>
      </c>
      <c r="AC70" s="198">
        <v>366091.35415376723</v>
      </c>
      <c r="AD70" s="197">
        <v>47052.483228403369</v>
      </c>
      <c r="AE70" s="195">
        <v>0</v>
      </c>
      <c r="AF70" s="195">
        <v>0</v>
      </c>
      <c r="AG70" s="195"/>
      <c r="AH70" s="195"/>
      <c r="AI70" s="195"/>
      <c r="AJ70" s="195"/>
      <c r="AK70" s="195">
        <v>134000</v>
      </c>
      <c r="AL70" s="195">
        <v>0.84299999475479126</v>
      </c>
      <c r="AM70" s="195">
        <v>134000</v>
      </c>
    </row>
    <row r="71" spans="14:39" x14ac:dyDescent="0.25"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>
        <v>69</v>
      </c>
      <c r="AB71" s="197">
        <v>17644102123.999302</v>
      </c>
      <c r="AC71" s="198">
        <v>268626.98769986629</v>
      </c>
      <c r="AD71" s="197">
        <v>65682.53724273172</v>
      </c>
      <c r="AE71" s="195">
        <v>0</v>
      </c>
      <c r="AF71" s="195">
        <v>0</v>
      </c>
      <c r="AG71" s="195"/>
      <c r="AH71" s="195"/>
      <c r="AI71" s="195"/>
      <c r="AJ71" s="195"/>
      <c r="AK71" s="195">
        <v>136000</v>
      </c>
      <c r="AL71" s="195">
        <v>0.84500002861022949</v>
      </c>
      <c r="AM71" s="195">
        <v>136000</v>
      </c>
    </row>
    <row r="72" spans="14:39" x14ac:dyDescent="0.25"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>
        <v>70</v>
      </c>
      <c r="AB72" s="197">
        <v>17747727144.139862</v>
      </c>
      <c r="AC72" s="198">
        <v>244473.20094998926</v>
      </c>
      <c r="AD72" s="197">
        <v>72595.798129098126</v>
      </c>
      <c r="AE72" s="195">
        <v>0</v>
      </c>
      <c r="AF72" s="195">
        <v>0</v>
      </c>
      <c r="AG72" s="195"/>
      <c r="AH72" s="195"/>
      <c r="AI72" s="195"/>
      <c r="AJ72" s="195"/>
      <c r="AK72" s="195">
        <v>138000</v>
      </c>
      <c r="AL72" s="195">
        <v>0.84700000286102295</v>
      </c>
      <c r="AM72" s="195">
        <v>138000</v>
      </c>
    </row>
    <row r="73" spans="14:39" x14ac:dyDescent="0.25"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>
        <v>71</v>
      </c>
      <c r="AB73" s="197">
        <v>17713185584.074684</v>
      </c>
      <c r="AC73" s="198">
        <v>252525.58574141562</v>
      </c>
      <c r="AD73" s="197">
        <v>70144.122355240703</v>
      </c>
      <c r="AE73" s="195">
        <v>0</v>
      </c>
      <c r="AF73" s="195">
        <v>0</v>
      </c>
      <c r="AG73" s="195"/>
      <c r="AH73" s="195"/>
      <c r="AI73" s="195"/>
      <c r="AJ73" s="195"/>
      <c r="AK73" s="195">
        <v>140000</v>
      </c>
      <c r="AL73" s="195">
        <v>0.85000002384185791</v>
      </c>
      <c r="AM73" s="195">
        <v>140000</v>
      </c>
    </row>
    <row r="74" spans="14:39" x14ac:dyDescent="0.25"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5"/>
      <c r="Y74" s="195"/>
      <c r="Z74" s="195"/>
      <c r="AA74" s="195">
        <v>72</v>
      </c>
      <c r="AB74" s="197">
        <v>18848735167.749146</v>
      </c>
      <c r="AC74" s="198">
        <v>-12798.066503219306</v>
      </c>
      <c r="AD74" s="197">
        <v>-1472779.9049182793</v>
      </c>
      <c r="AE74" s="195">
        <v>0</v>
      </c>
      <c r="AF74" s="195">
        <v>0</v>
      </c>
      <c r="AG74" s="195"/>
      <c r="AH74" s="195"/>
      <c r="AI74" s="195"/>
      <c r="AJ74" s="195"/>
      <c r="AK74" s="195">
        <v>142000</v>
      </c>
      <c r="AL74" s="195">
        <v>0.85199999809265137</v>
      </c>
      <c r="AM74" s="195">
        <v>142000</v>
      </c>
    </row>
    <row r="75" spans="14:39" x14ac:dyDescent="0.25"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5"/>
      <c r="Y75" s="195"/>
      <c r="Z75" s="195"/>
      <c r="AA75" s="195">
        <v>73</v>
      </c>
      <c r="AB75" s="197">
        <v>17819701136.510612</v>
      </c>
      <c r="AC75" s="198">
        <v>227690.814804703</v>
      </c>
      <c r="AD75" s="197">
        <v>78262.714074764444</v>
      </c>
      <c r="AE75" s="195">
        <v>0</v>
      </c>
      <c r="AF75" s="195">
        <v>0</v>
      </c>
      <c r="AG75" s="195"/>
      <c r="AH75" s="195"/>
      <c r="AI75" s="195"/>
      <c r="AJ75" s="195"/>
      <c r="AK75" s="195">
        <v>144000</v>
      </c>
      <c r="AL75" s="195">
        <v>0.8529999852180481</v>
      </c>
      <c r="AM75" s="195">
        <v>144000</v>
      </c>
    </row>
    <row r="76" spans="14:39" x14ac:dyDescent="0.25"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5"/>
      <c r="Y76" s="195"/>
      <c r="Z76" s="195"/>
      <c r="AA76" s="195">
        <v>74</v>
      </c>
      <c r="AB76" s="197">
        <v>17784610768.412159</v>
      </c>
      <c r="AC76" s="198">
        <v>235873.56176462024</v>
      </c>
      <c r="AD76" s="197">
        <v>75398.915568839962</v>
      </c>
      <c r="AE76" s="195">
        <v>0</v>
      </c>
      <c r="AF76" s="195">
        <v>0</v>
      </c>
      <c r="AG76" s="195"/>
      <c r="AH76" s="195"/>
      <c r="AI76" s="195"/>
      <c r="AJ76" s="195"/>
      <c r="AK76" s="195">
        <v>146000</v>
      </c>
      <c r="AL76" s="195">
        <v>0.8529999852180481</v>
      </c>
      <c r="AM76" s="195">
        <v>146000</v>
      </c>
    </row>
    <row r="77" spans="14:39" x14ac:dyDescent="0.25"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5"/>
      <c r="Y77" s="195"/>
      <c r="Z77" s="195"/>
      <c r="AA77" s="195">
        <v>75</v>
      </c>
      <c r="AB77" s="197">
        <v>17879877829.863773</v>
      </c>
      <c r="AC77" s="198">
        <v>213655.40945188701</v>
      </c>
      <c r="AD77" s="197">
        <v>83685.584538827869</v>
      </c>
      <c r="AE77" s="195">
        <v>0</v>
      </c>
      <c r="AF77" s="195">
        <v>0</v>
      </c>
      <c r="AG77" s="195"/>
      <c r="AH77" s="195"/>
      <c r="AI77" s="195"/>
      <c r="AJ77" s="195"/>
      <c r="AK77" s="195">
        <v>148000</v>
      </c>
      <c r="AL77" s="195">
        <v>0.85600000619888306</v>
      </c>
      <c r="AM77" s="195">
        <v>148000</v>
      </c>
    </row>
    <row r="78" spans="14:39" x14ac:dyDescent="0.25"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5"/>
      <c r="Y78" s="195"/>
      <c r="Z78" s="195"/>
      <c r="AA78" s="195">
        <v>76</v>
      </c>
      <c r="AB78" s="197">
        <v>16536386126.87653</v>
      </c>
      <c r="AC78" s="198">
        <v>526177.155321531</v>
      </c>
      <c r="AD78" s="197">
        <v>31427.411774978416</v>
      </c>
      <c r="AE78" s="195">
        <v>0</v>
      </c>
      <c r="AF78" s="195">
        <v>0</v>
      </c>
      <c r="AG78" s="195"/>
      <c r="AH78" s="195"/>
      <c r="AI78" s="195"/>
      <c r="AJ78" s="195"/>
      <c r="AK78" s="195">
        <v>150000</v>
      </c>
      <c r="AL78" s="195">
        <v>0.85900002717971802</v>
      </c>
      <c r="AM78" s="195">
        <v>150000</v>
      </c>
    </row>
    <row r="79" spans="14:39" x14ac:dyDescent="0.25"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5"/>
      <c r="Y79" s="195"/>
      <c r="Z79" s="195"/>
      <c r="AA79" s="195">
        <v>77</v>
      </c>
      <c r="AB79" s="197">
        <v>17003318811.203089</v>
      </c>
      <c r="AC79" s="198">
        <v>417756.56429604441</v>
      </c>
      <c r="AD79" s="197">
        <v>40701.500022758795</v>
      </c>
      <c r="AE79" s="195">
        <v>0</v>
      </c>
      <c r="AF79" s="195">
        <v>0</v>
      </c>
      <c r="AG79" s="195"/>
      <c r="AH79" s="195"/>
      <c r="AI79" s="195"/>
      <c r="AJ79" s="195"/>
      <c r="AK79" s="195">
        <v>152000</v>
      </c>
      <c r="AL79" s="195">
        <v>0.8619999885559082</v>
      </c>
      <c r="AM79" s="195">
        <v>152000</v>
      </c>
    </row>
    <row r="80" spans="14:39" x14ac:dyDescent="0.25"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5"/>
      <c r="Y80" s="195"/>
      <c r="Z80" s="195"/>
      <c r="AA80" s="195">
        <v>78</v>
      </c>
      <c r="AB80" s="197">
        <v>16415474456.750593</v>
      </c>
      <c r="AC80" s="198">
        <v>554218.39197600633</v>
      </c>
      <c r="AD80" s="197">
        <v>29619.144175679514</v>
      </c>
      <c r="AE80" s="195">
        <v>0</v>
      </c>
      <c r="AF80" s="195">
        <v>0</v>
      </c>
      <c r="AG80" s="195"/>
      <c r="AH80" s="195"/>
      <c r="AI80" s="195"/>
      <c r="AJ80" s="195"/>
      <c r="AK80" s="195">
        <v>154000</v>
      </c>
      <c r="AL80" s="195">
        <v>0.86500000953674316</v>
      </c>
      <c r="AM80" s="195">
        <v>154000</v>
      </c>
    </row>
    <row r="81" spans="27:39" x14ac:dyDescent="0.25">
      <c r="AA81" s="195">
        <v>79</v>
      </c>
      <c r="AB81" s="197">
        <v>17746856424.896744</v>
      </c>
      <c r="AC81" s="198">
        <v>244676.198556602</v>
      </c>
      <c r="AD81" s="197">
        <v>72532.00977287248</v>
      </c>
      <c r="AE81" s="195">
        <v>0</v>
      </c>
      <c r="AF81" s="195">
        <v>0</v>
      </c>
      <c r="AG81" s="195"/>
      <c r="AH81" s="195"/>
      <c r="AI81" s="195"/>
      <c r="AJ81" s="195"/>
      <c r="AK81" s="195">
        <v>156000</v>
      </c>
      <c r="AL81" s="195">
        <v>0.86799997091293335</v>
      </c>
      <c r="AM81" s="195">
        <v>156000</v>
      </c>
    </row>
    <row r="82" spans="27:39" x14ac:dyDescent="0.25">
      <c r="AA82" s="195">
        <v>80</v>
      </c>
      <c r="AB82" s="197">
        <v>15093355156.370342</v>
      </c>
      <c r="AC82" s="198">
        <v>859922.38655135036</v>
      </c>
      <c r="AD82" s="197">
        <v>17551.997008591705</v>
      </c>
      <c r="AE82" s="195">
        <v>0</v>
      </c>
      <c r="AF82" s="195">
        <v>0</v>
      </c>
      <c r="AG82" s="195"/>
      <c r="AH82" s="195"/>
      <c r="AI82" s="195"/>
      <c r="AJ82" s="195"/>
      <c r="AK82" s="195">
        <v>158000</v>
      </c>
      <c r="AL82" s="195">
        <v>0.87000000476837158</v>
      </c>
      <c r="AM82" s="195">
        <v>158000</v>
      </c>
    </row>
    <row r="83" spans="27:39" x14ac:dyDescent="0.25">
      <c r="AA83" s="195">
        <v>81</v>
      </c>
      <c r="AB83" s="197">
        <v>17948223556.75145</v>
      </c>
      <c r="AC83" s="198">
        <v>197710.45579577237</v>
      </c>
      <c r="AD83" s="197">
        <v>90780.34585733444</v>
      </c>
      <c r="AE83" s="195">
        <v>0</v>
      </c>
      <c r="AF83" s="195">
        <v>0</v>
      </c>
      <c r="AG83" s="195"/>
      <c r="AH83" s="195"/>
      <c r="AI83" s="195"/>
      <c r="AJ83" s="195"/>
      <c r="AK83" s="195">
        <v>160000</v>
      </c>
      <c r="AL83" s="195">
        <v>0.87199997901916504</v>
      </c>
      <c r="AM83" s="195">
        <v>160000</v>
      </c>
    </row>
    <row r="84" spans="27:39" x14ac:dyDescent="0.25">
      <c r="AA84" s="195">
        <v>82</v>
      </c>
      <c r="AB84" s="197">
        <v>17113083027.875074</v>
      </c>
      <c r="AC84" s="198">
        <v>392239.16345050186</v>
      </c>
      <c r="AD84" s="197">
        <v>43629.205399410959</v>
      </c>
      <c r="AE84" s="195">
        <v>0</v>
      </c>
      <c r="AF84" s="195">
        <v>0</v>
      </c>
      <c r="AG84" s="195"/>
      <c r="AH84" s="195"/>
      <c r="AI84" s="195"/>
      <c r="AJ84" s="195"/>
      <c r="AK84" s="195">
        <v>162000</v>
      </c>
      <c r="AL84" s="195">
        <v>0.87199997901916504</v>
      </c>
      <c r="AM84" s="195">
        <v>162000</v>
      </c>
    </row>
    <row r="85" spans="27:39" x14ac:dyDescent="0.25">
      <c r="AA85" s="195">
        <v>83</v>
      </c>
      <c r="AB85" s="197">
        <v>17290521356.134373</v>
      </c>
      <c r="AC85" s="198">
        <v>350964.73720034212</v>
      </c>
      <c r="AD85" s="197">
        <v>49265.694024024924</v>
      </c>
      <c r="AE85" s="195">
        <v>0</v>
      </c>
      <c r="AF85" s="195">
        <v>0</v>
      </c>
      <c r="AG85" s="195"/>
      <c r="AH85" s="195"/>
      <c r="AI85" s="195"/>
      <c r="AJ85" s="195"/>
      <c r="AK85" s="195">
        <v>164000</v>
      </c>
      <c r="AL85" s="195">
        <v>0.87400001287460327</v>
      </c>
      <c r="AM85" s="195">
        <v>164000</v>
      </c>
    </row>
    <row r="86" spans="27:39" x14ac:dyDescent="0.25">
      <c r="AA86" s="195">
        <v>84</v>
      </c>
      <c r="AB86" s="197">
        <v>17603704263.903351</v>
      </c>
      <c r="AC86" s="198">
        <v>278040.45775353163</v>
      </c>
      <c r="AD86" s="197">
        <v>63313.463105819355</v>
      </c>
      <c r="AE86" s="195">
        <v>0</v>
      </c>
      <c r="AF86" s="195">
        <v>0</v>
      </c>
      <c r="AG86" s="195"/>
      <c r="AH86" s="195"/>
      <c r="AI86" s="195"/>
      <c r="AJ86" s="195"/>
      <c r="AK86" s="195">
        <v>166000</v>
      </c>
      <c r="AL86" s="195">
        <v>0.87599998712539673</v>
      </c>
      <c r="AM86" s="195">
        <v>166000</v>
      </c>
    </row>
    <row r="87" spans="27:39" x14ac:dyDescent="0.25">
      <c r="AA87" s="195">
        <v>85</v>
      </c>
      <c r="AB87" s="197">
        <v>17226933629.918938</v>
      </c>
      <c r="AC87" s="198">
        <v>365759.53837905079</v>
      </c>
      <c r="AD87" s="197">
        <v>47099.068711274449</v>
      </c>
      <c r="AE87" s="195">
        <v>0</v>
      </c>
      <c r="AF87" s="195">
        <v>0</v>
      </c>
      <c r="AG87" s="195"/>
      <c r="AH87" s="195"/>
      <c r="AI87" s="195"/>
      <c r="AJ87" s="195"/>
      <c r="AK87" s="195">
        <v>168000</v>
      </c>
      <c r="AL87" s="195">
        <v>0.87599998712539673</v>
      </c>
      <c r="AM87" s="195">
        <v>168000</v>
      </c>
    </row>
    <row r="88" spans="27:39" x14ac:dyDescent="0.25">
      <c r="AA88" s="195">
        <v>86</v>
      </c>
      <c r="AB88" s="197">
        <v>16811344278.511282</v>
      </c>
      <c r="AC88" s="198">
        <v>462357.93314073235</v>
      </c>
      <c r="AD88" s="197">
        <v>36360.021259534115</v>
      </c>
      <c r="AE88" s="195">
        <v>0</v>
      </c>
      <c r="AF88" s="195">
        <v>0</v>
      </c>
      <c r="AG88" s="195"/>
      <c r="AH88" s="195"/>
      <c r="AI88" s="195"/>
      <c r="AJ88" s="195"/>
      <c r="AK88" s="195">
        <v>170000</v>
      </c>
      <c r="AL88" s="195">
        <v>0.87599998712539673</v>
      </c>
      <c r="AM88" s="195">
        <v>170000</v>
      </c>
    </row>
    <row r="89" spans="27:39" x14ac:dyDescent="0.25">
      <c r="AA89" s="195">
        <v>87</v>
      </c>
      <c r="AB89" s="197">
        <v>17440888068.61692</v>
      </c>
      <c r="AC89" s="198">
        <v>315963.80294340104</v>
      </c>
      <c r="AD89" s="197">
        <v>55199.0066778033</v>
      </c>
      <c r="AE89" s="195">
        <v>0</v>
      </c>
      <c r="AF89" s="195">
        <v>0</v>
      </c>
      <c r="AG89" s="195"/>
      <c r="AH89" s="195"/>
      <c r="AI89" s="195"/>
      <c r="AJ89" s="195"/>
      <c r="AK89" s="195">
        <v>172000</v>
      </c>
      <c r="AL89" s="195">
        <v>0.87699997425079346</v>
      </c>
      <c r="AM89" s="195">
        <v>172000</v>
      </c>
    </row>
    <row r="90" spans="27:39" x14ac:dyDescent="0.25">
      <c r="AA90" s="195">
        <v>88</v>
      </c>
      <c r="AB90" s="197">
        <v>16020388443.639505</v>
      </c>
      <c r="AC90" s="198">
        <v>645746.91064010561</v>
      </c>
      <c r="AD90" s="197">
        <v>24809.082598256759</v>
      </c>
      <c r="AE90" s="195">
        <v>0</v>
      </c>
      <c r="AF90" s="195">
        <v>0</v>
      </c>
      <c r="AG90" s="195"/>
      <c r="AH90" s="195"/>
      <c r="AI90" s="195"/>
      <c r="AJ90" s="195"/>
      <c r="AK90" s="195">
        <v>174000</v>
      </c>
      <c r="AL90" s="195">
        <v>0.88099998235702515</v>
      </c>
      <c r="AM90" s="195">
        <v>174000</v>
      </c>
    </row>
    <row r="91" spans="27:39" x14ac:dyDescent="0.25">
      <c r="AA91" s="195">
        <v>89</v>
      </c>
      <c r="AB91" s="197">
        <v>18578794420.963791</v>
      </c>
      <c r="AC91" s="198">
        <v>50386.845639869571</v>
      </c>
      <c r="AD91" s="197">
        <v>368723.10987181461</v>
      </c>
      <c r="AE91" s="195">
        <v>0</v>
      </c>
      <c r="AF91" s="195">
        <v>0</v>
      </c>
      <c r="AG91" s="195"/>
      <c r="AH91" s="195"/>
      <c r="AI91" s="195"/>
      <c r="AJ91" s="195"/>
      <c r="AK91" s="195">
        <v>176000</v>
      </c>
      <c r="AL91" s="195">
        <v>0.88499999046325684</v>
      </c>
      <c r="AM91" s="195">
        <v>176000</v>
      </c>
    </row>
    <row r="92" spans="27:39" x14ac:dyDescent="0.25">
      <c r="AA92" s="195">
        <v>90</v>
      </c>
      <c r="AB92" s="197">
        <v>16788141323.746012</v>
      </c>
      <c r="AC92" s="198">
        <v>467746.26685513556</v>
      </c>
      <c r="AD92" s="197">
        <v>35891.555985299659</v>
      </c>
      <c r="AE92" s="195">
        <v>0</v>
      </c>
      <c r="AF92" s="195">
        <v>0</v>
      </c>
      <c r="AG92" s="195"/>
      <c r="AH92" s="195"/>
      <c r="AI92" s="195"/>
      <c r="AJ92" s="195"/>
      <c r="AK92" s="195">
        <v>178000</v>
      </c>
      <c r="AL92" s="195">
        <v>0.8880000114440918</v>
      </c>
      <c r="AM92" s="195">
        <v>178000</v>
      </c>
    </row>
    <row r="93" spans="27:39" x14ac:dyDescent="0.25">
      <c r="AA93" s="195">
        <v>91</v>
      </c>
      <c r="AB93" s="197">
        <v>16970193017.459337</v>
      </c>
      <c r="AC93" s="198">
        <v>425455.19664206356</v>
      </c>
      <c r="AD93" s="197">
        <v>39887.144760242285</v>
      </c>
      <c r="AE93" s="195">
        <v>0</v>
      </c>
      <c r="AF93" s="195">
        <v>0</v>
      </c>
      <c r="AG93" s="195"/>
      <c r="AH93" s="195"/>
      <c r="AI93" s="195"/>
      <c r="AJ93" s="195"/>
      <c r="AK93" s="195">
        <v>180000</v>
      </c>
      <c r="AL93" s="195">
        <v>0.8880000114440918</v>
      </c>
      <c r="AM93" s="195">
        <v>180000</v>
      </c>
    </row>
    <row r="94" spans="27:39" x14ac:dyDescent="0.25">
      <c r="AA94" s="195">
        <v>92</v>
      </c>
      <c r="AB94" s="197">
        <v>16136443433.423401</v>
      </c>
      <c r="AC94" s="198">
        <v>618876.3047913909</v>
      </c>
      <c r="AD94" s="197">
        <v>26073.778085368172</v>
      </c>
      <c r="AE94" s="195">
        <v>0</v>
      </c>
      <c r="AF94" s="195">
        <v>0</v>
      </c>
      <c r="AG94" s="195"/>
      <c r="AH94" s="195"/>
      <c r="AI94" s="195"/>
      <c r="AJ94" s="195"/>
      <c r="AK94" s="195">
        <v>182000</v>
      </c>
      <c r="AL94" s="195">
        <v>0.8880000114440918</v>
      </c>
      <c r="AM94" s="195">
        <v>182000</v>
      </c>
    </row>
    <row r="95" spans="27:39" x14ac:dyDescent="0.25">
      <c r="AA95" s="195">
        <v>93</v>
      </c>
      <c r="AB95" s="197">
        <v>16880954776.736183</v>
      </c>
      <c r="AC95" s="198">
        <v>446189.4474234134</v>
      </c>
      <c r="AD95" s="197">
        <v>37833.603807122156</v>
      </c>
      <c r="AE95" s="195">
        <v>0</v>
      </c>
      <c r="AF95" s="195">
        <v>0</v>
      </c>
      <c r="AG95" s="195"/>
      <c r="AH95" s="195"/>
      <c r="AI95" s="195"/>
      <c r="AJ95" s="195"/>
      <c r="AK95" s="195">
        <v>184000</v>
      </c>
      <c r="AL95" s="195">
        <v>0.88899999856948853</v>
      </c>
      <c r="AM95" s="195">
        <v>184000</v>
      </c>
    </row>
    <row r="96" spans="27:39" x14ac:dyDescent="0.25">
      <c r="AA96" s="195">
        <v>94</v>
      </c>
      <c r="AB96" s="197">
        <v>17001028406.603004</v>
      </c>
      <c r="AC96" s="198">
        <v>418288.90196221322</v>
      </c>
      <c r="AD96" s="197">
        <v>40644.225383103323</v>
      </c>
      <c r="AE96" s="195">
        <v>0</v>
      </c>
      <c r="AF96" s="195">
        <v>0</v>
      </c>
      <c r="AG96" s="195"/>
      <c r="AH96" s="195"/>
      <c r="AI96" s="195"/>
      <c r="AJ96" s="195"/>
      <c r="AK96" s="195">
        <v>186000</v>
      </c>
      <c r="AL96" s="195">
        <v>0.88899999856948853</v>
      </c>
      <c r="AM96" s="195">
        <v>186000</v>
      </c>
    </row>
    <row r="97" spans="27:39" x14ac:dyDescent="0.25">
      <c r="AA97" s="195">
        <v>95</v>
      </c>
      <c r="AB97" s="197">
        <v>18494704783.401161</v>
      </c>
      <c r="AC97" s="198">
        <v>70055.308293014765</v>
      </c>
      <c r="AD97" s="197">
        <v>264001.4758916602</v>
      </c>
      <c r="AE97" s="195">
        <v>0</v>
      </c>
      <c r="AF97" s="195">
        <v>0</v>
      </c>
      <c r="AG97" s="195"/>
      <c r="AH97" s="195"/>
      <c r="AI97" s="195"/>
      <c r="AJ97" s="195"/>
      <c r="AK97" s="195">
        <v>188000</v>
      </c>
      <c r="AL97" s="195">
        <v>0.89099997282028198</v>
      </c>
      <c r="AM97" s="195">
        <v>188000</v>
      </c>
    </row>
    <row r="98" spans="27:39" x14ac:dyDescent="0.25">
      <c r="AA98" s="195">
        <v>96</v>
      </c>
      <c r="AB98" s="197">
        <v>18407996888.376808</v>
      </c>
      <c r="AC98" s="198">
        <v>90329.035840786994</v>
      </c>
      <c r="AD98" s="197">
        <v>203788.25830514287</v>
      </c>
      <c r="AE98" s="195">
        <v>0</v>
      </c>
      <c r="AF98" s="195">
        <v>0</v>
      </c>
      <c r="AG98" s="195"/>
      <c r="AH98" s="195"/>
      <c r="AI98" s="195"/>
      <c r="AJ98" s="195"/>
      <c r="AK98" s="195">
        <v>190000</v>
      </c>
      <c r="AL98" s="195">
        <v>0.89099997282028198</v>
      </c>
      <c r="AM98" s="195">
        <v>190000</v>
      </c>
    </row>
    <row r="99" spans="27:39" x14ac:dyDescent="0.25">
      <c r="AA99" s="195">
        <v>97</v>
      </c>
      <c r="AB99" s="197">
        <v>17474629541.182529</v>
      </c>
      <c r="AC99" s="198">
        <v>308106.79444861412</v>
      </c>
      <c r="AD99" s="197">
        <v>56716.144713572481</v>
      </c>
      <c r="AE99" s="195">
        <v>0</v>
      </c>
      <c r="AF99" s="195">
        <v>0</v>
      </c>
      <c r="AG99" s="195"/>
      <c r="AH99" s="195"/>
      <c r="AI99" s="195"/>
      <c r="AJ99" s="195"/>
      <c r="AK99" s="195">
        <v>192000</v>
      </c>
      <c r="AL99" s="195">
        <v>0.89300000667572021</v>
      </c>
      <c r="AM99" s="195">
        <v>192000</v>
      </c>
    </row>
    <row r="100" spans="27:39" x14ac:dyDescent="0.25">
      <c r="AA100" s="195">
        <v>98</v>
      </c>
      <c r="AB100" s="197">
        <v>17616146772.481815</v>
      </c>
      <c r="AC100" s="198">
        <v>275141.28396148235</v>
      </c>
      <c r="AD100" s="197">
        <v>64025.821639139911</v>
      </c>
      <c r="AE100" s="195">
        <v>0</v>
      </c>
      <c r="AF100" s="195">
        <v>0</v>
      </c>
      <c r="AG100" s="195"/>
      <c r="AH100" s="195"/>
      <c r="AI100" s="195"/>
      <c r="AJ100" s="195"/>
      <c r="AK100" s="195">
        <v>194000</v>
      </c>
      <c r="AL100" s="195">
        <v>0.89399999380111694</v>
      </c>
      <c r="AM100" s="195">
        <v>194000</v>
      </c>
    </row>
    <row r="101" spans="27:39" x14ac:dyDescent="0.25">
      <c r="AA101" s="195">
        <v>99</v>
      </c>
      <c r="AB101" s="197">
        <v>18301422972.358025</v>
      </c>
      <c r="AC101" s="198">
        <v>115237.83236122131</v>
      </c>
      <c r="AD101" s="197">
        <v>158814.36328124336</v>
      </c>
      <c r="AE101" s="195">
        <v>0</v>
      </c>
      <c r="AF101" s="195">
        <v>0</v>
      </c>
      <c r="AG101" s="195"/>
      <c r="AH101" s="195"/>
      <c r="AI101" s="195"/>
      <c r="AJ101" s="195"/>
      <c r="AK101" s="195">
        <v>196000</v>
      </c>
      <c r="AL101" s="195">
        <v>0.89399999380111694</v>
      </c>
      <c r="AM101" s="195">
        <v>196000</v>
      </c>
    </row>
    <row r="102" spans="27:39" x14ac:dyDescent="0.25">
      <c r="AA102" s="195">
        <v>100</v>
      </c>
      <c r="AB102" s="197">
        <v>17407366652.773766</v>
      </c>
      <c r="AC102" s="198">
        <v>323768.48418231308</v>
      </c>
      <c r="AD102" s="197">
        <v>53764.858234230509</v>
      </c>
      <c r="AE102" s="195">
        <v>0</v>
      </c>
      <c r="AF102" s="195">
        <v>0</v>
      </c>
      <c r="AG102" s="195"/>
      <c r="AH102" s="195"/>
      <c r="AI102" s="195"/>
      <c r="AJ102" s="195"/>
      <c r="AK102" s="195">
        <v>198000</v>
      </c>
      <c r="AL102" s="195">
        <v>0.89499998092651367</v>
      </c>
      <c r="AM102" s="195">
        <v>198000</v>
      </c>
    </row>
    <row r="103" spans="27:39" x14ac:dyDescent="0.25">
      <c r="AA103" s="195">
        <v>101</v>
      </c>
      <c r="AB103" s="197">
        <v>17803860600.699055</v>
      </c>
      <c r="AC103" s="198">
        <v>231384.82704528421</v>
      </c>
      <c r="AD103" s="197">
        <v>76944.805880528496</v>
      </c>
      <c r="AE103" s="195">
        <v>0</v>
      </c>
      <c r="AF103" s="195">
        <v>0</v>
      </c>
      <c r="AG103" s="195"/>
      <c r="AH103" s="195"/>
      <c r="AI103" s="195"/>
      <c r="AJ103" s="195"/>
      <c r="AK103" s="195">
        <v>200000</v>
      </c>
      <c r="AL103" s="195">
        <v>0.89499998092651367</v>
      </c>
      <c r="AM103" s="195">
        <v>200000</v>
      </c>
    </row>
    <row r="104" spans="27:39" x14ac:dyDescent="0.25">
      <c r="AA104" s="195">
        <v>102</v>
      </c>
      <c r="AB104" s="197">
        <v>17573325597.894333</v>
      </c>
      <c r="AC104" s="198">
        <v>285118.22990457714</v>
      </c>
      <c r="AD104" s="197">
        <v>61635.222706649598</v>
      </c>
      <c r="AE104" s="195">
        <v>0</v>
      </c>
      <c r="AF104" s="195">
        <v>0</v>
      </c>
      <c r="AG104" s="195"/>
      <c r="AH104" s="195"/>
      <c r="AI104" s="195"/>
      <c r="AJ104" s="195"/>
      <c r="AK104" s="195"/>
      <c r="AL104" s="195"/>
      <c r="AM104" s="195">
        <v>202000</v>
      </c>
    </row>
    <row r="105" spans="27:39" x14ac:dyDescent="0.25">
      <c r="AA105" s="195">
        <v>103</v>
      </c>
      <c r="AB105" s="197">
        <v>17376033098.547417</v>
      </c>
      <c r="AC105" s="198">
        <v>331062.79492616653</v>
      </c>
      <c r="AD105" s="197">
        <v>52485.611083004995</v>
      </c>
      <c r="AE105" s="195">
        <v>0</v>
      </c>
      <c r="AF105" s="195">
        <v>0</v>
      </c>
      <c r="AG105" s="195"/>
      <c r="AH105" s="195"/>
      <c r="AI105" s="195"/>
      <c r="AJ105" s="195"/>
      <c r="AK105" s="195"/>
      <c r="AL105" s="195"/>
      <c r="AM105" s="195">
        <v>204000</v>
      </c>
    </row>
    <row r="106" spans="27:39" x14ac:dyDescent="0.25">
      <c r="AA106" s="195">
        <v>104</v>
      </c>
      <c r="AB106" s="197">
        <v>17070396139.434566</v>
      </c>
      <c r="AC106" s="198">
        <v>402164.16088856012</v>
      </c>
      <c r="AD106" s="197">
        <v>42446.338584021119</v>
      </c>
      <c r="AE106" s="195">
        <v>0</v>
      </c>
      <c r="AF106" s="195">
        <v>0</v>
      </c>
      <c r="AG106" s="195"/>
      <c r="AH106" s="195"/>
      <c r="AI106" s="195"/>
      <c r="AJ106" s="195"/>
      <c r="AK106" s="195">
        <v>206000</v>
      </c>
      <c r="AL106" s="195"/>
      <c r="AM106" s="195">
        <v>206000</v>
      </c>
    </row>
    <row r="107" spans="27:39" x14ac:dyDescent="0.25">
      <c r="AA107" s="195">
        <v>105</v>
      </c>
      <c r="AB107" s="197">
        <v>16648723463.373978</v>
      </c>
      <c r="AC107" s="198">
        <v>500111.85019662231</v>
      </c>
      <c r="AD107" s="197">
        <v>33289.999940670117</v>
      </c>
      <c r="AE107" s="195">
        <v>0</v>
      </c>
      <c r="AF107" s="195">
        <v>0</v>
      </c>
      <c r="AG107" s="195"/>
      <c r="AH107" s="195"/>
      <c r="AI107" s="195"/>
      <c r="AJ107" s="195"/>
      <c r="AK107" s="195">
        <v>208000</v>
      </c>
      <c r="AL107" s="195"/>
      <c r="AM107" s="195">
        <v>208000</v>
      </c>
    </row>
    <row r="108" spans="27:39" x14ac:dyDescent="0.25">
      <c r="AA108" s="195">
        <v>106</v>
      </c>
      <c r="AB108" s="197">
        <v>17165730689.650883</v>
      </c>
      <c r="AC108" s="198">
        <v>379995.80345098674</v>
      </c>
      <c r="AD108" s="197">
        <v>45173.474374605779</v>
      </c>
      <c r="AE108" s="195">
        <v>0</v>
      </c>
      <c r="AF108" s="195">
        <v>0</v>
      </c>
      <c r="AG108" s="195"/>
      <c r="AH108" s="195"/>
      <c r="AI108" s="195"/>
      <c r="AJ108" s="195"/>
      <c r="AK108" s="195">
        <v>210000</v>
      </c>
      <c r="AL108" s="195"/>
      <c r="AM108" s="195">
        <v>210000</v>
      </c>
    </row>
    <row r="109" spans="27:39" x14ac:dyDescent="0.25">
      <c r="AA109" s="195">
        <v>107</v>
      </c>
      <c r="AB109" s="197">
        <v>17295228274.625252</v>
      </c>
      <c r="AC109" s="198">
        <v>349869.43531486392</v>
      </c>
      <c r="AD109" s="197">
        <v>49433.378651840409</v>
      </c>
      <c r="AE109" s="195">
        <v>0</v>
      </c>
      <c r="AF109" s="195">
        <v>0</v>
      </c>
      <c r="AG109" s="195"/>
      <c r="AH109" s="195"/>
      <c r="AI109" s="195"/>
      <c r="AJ109" s="195"/>
      <c r="AK109" s="195">
        <v>212000</v>
      </c>
      <c r="AL109" s="195"/>
      <c r="AM109" s="195">
        <v>212000</v>
      </c>
    </row>
    <row r="110" spans="27:39" x14ac:dyDescent="0.25">
      <c r="AA110" s="195">
        <v>108</v>
      </c>
      <c r="AB110" s="197">
        <v>18590598974.01535</v>
      </c>
      <c r="AC110" s="198">
        <v>47625.229218788445</v>
      </c>
      <c r="AD110" s="197">
        <v>390351.90547033097</v>
      </c>
      <c r="AE110" s="195">
        <v>0</v>
      </c>
      <c r="AF110" s="195">
        <v>0</v>
      </c>
      <c r="AG110" s="195"/>
      <c r="AH110" s="195"/>
      <c r="AI110" s="195"/>
      <c r="AJ110" s="195"/>
      <c r="AK110" s="195">
        <v>214000</v>
      </c>
      <c r="AL110" s="195"/>
      <c r="AM110" s="195">
        <v>214000</v>
      </c>
    </row>
    <row r="111" spans="27:39" x14ac:dyDescent="0.25">
      <c r="AA111" s="195">
        <v>109</v>
      </c>
      <c r="AB111" s="197">
        <v>16603493236.027596</v>
      </c>
      <c r="AC111" s="198">
        <v>510607.94624496996</v>
      </c>
      <c r="AD111" s="197">
        <v>32517.107025322086</v>
      </c>
      <c r="AE111" s="195">
        <v>0</v>
      </c>
      <c r="AF111" s="195">
        <v>0</v>
      </c>
      <c r="AG111" s="195"/>
      <c r="AH111" s="195"/>
      <c r="AI111" s="195"/>
      <c r="AJ111" s="195"/>
      <c r="AK111" s="195">
        <v>216000</v>
      </c>
      <c r="AL111" s="195"/>
      <c r="AM111" s="195">
        <v>216000</v>
      </c>
    </row>
    <row r="112" spans="27:39" x14ac:dyDescent="0.25">
      <c r="AA112" s="195">
        <v>110</v>
      </c>
      <c r="AB112" s="197">
        <v>17705180623.997765</v>
      </c>
      <c r="AC112" s="198">
        <v>254391.55109003186</v>
      </c>
      <c r="AD112" s="197">
        <v>69598.147218858358</v>
      </c>
      <c r="AE112" s="195">
        <v>0</v>
      </c>
      <c r="AF112" s="195">
        <v>0</v>
      </c>
      <c r="AG112" s="195"/>
      <c r="AH112" s="195"/>
      <c r="AI112" s="195"/>
      <c r="AJ112" s="195"/>
      <c r="AK112" s="195">
        <v>218000</v>
      </c>
      <c r="AL112" s="195"/>
      <c r="AM112" s="195">
        <v>218000</v>
      </c>
    </row>
    <row r="113" spans="27:39" x14ac:dyDescent="0.25">
      <c r="AA113" s="195">
        <v>111</v>
      </c>
      <c r="AB113" s="197">
        <v>15589048318.69416</v>
      </c>
      <c r="AC113" s="198">
        <v>745503.29274406284</v>
      </c>
      <c r="AD113" s="197">
        <v>20910.770576631112</v>
      </c>
      <c r="AE113" s="195">
        <v>0</v>
      </c>
      <c r="AF113" s="195">
        <v>0</v>
      </c>
      <c r="AK113" s="195">
        <v>220000</v>
      </c>
      <c r="AM113" s="195">
        <v>220000</v>
      </c>
    </row>
    <row r="114" spans="27:39" x14ac:dyDescent="0.25">
      <c r="AA114" s="195">
        <v>112</v>
      </c>
      <c r="AB114" s="197">
        <v>17164292328.219122</v>
      </c>
      <c r="AC114" s="198">
        <v>380330.3338220939</v>
      </c>
      <c r="AD114" s="197">
        <v>45129.958885288434</v>
      </c>
      <c r="AE114" s="195">
        <v>0</v>
      </c>
      <c r="AF114" s="195">
        <v>0</v>
      </c>
      <c r="AK114" s="195">
        <v>222000</v>
      </c>
      <c r="AM114" s="195">
        <v>222000</v>
      </c>
    </row>
    <row r="115" spans="27:39" x14ac:dyDescent="0.25">
      <c r="AA115" s="195">
        <v>113</v>
      </c>
      <c r="AB115" s="197">
        <v>15508298992.535645</v>
      </c>
      <c r="AC115" s="198">
        <v>764158.42830254883</v>
      </c>
      <c r="AD115" s="197">
        <v>20294.612240271639</v>
      </c>
      <c r="AE115" s="195">
        <v>0</v>
      </c>
      <c r="AF115" s="195">
        <v>0</v>
      </c>
      <c r="AK115" s="195">
        <v>224000</v>
      </c>
      <c r="AM115" s="195">
        <v>224000</v>
      </c>
    </row>
    <row r="116" spans="27:39" x14ac:dyDescent="0.25">
      <c r="AA116" s="195">
        <v>114</v>
      </c>
      <c r="AB116" s="197">
        <v>18437728113.21048</v>
      </c>
      <c r="AC116" s="198">
        <v>83378.20488575846</v>
      </c>
      <c r="AD116" s="197">
        <v>221133.6660278682</v>
      </c>
      <c r="AE116" s="195">
        <v>0</v>
      </c>
      <c r="AF116" s="195">
        <v>0</v>
      </c>
      <c r="AK116" s="195">
        <v>226000</v>
      </c>
      <c r="AM116" s="195">
        <v>226000</v>
      </c>
    </row>
    <row r="117" spans="27:39" x14ac:dyDescent="0.25">
      <c r="AA117" s="195">
        <v>115</v>
      </c>
      <c r="AB117" s="197">
        <v>16759640389.291903</v>
      </c>
      <c r="AC117" s="198">
        <v>474364.2220178023</v>
      </c>
      <c r="AD117" s="197">
        <v>35330.742942630553</v>
      </c>
      <c r="AE117" s="195">
        <v>0</v>
      </c>
      <c r="AF117" s="195">
        <v>0</v>
      </c>
      <c r="AK117" s="195">
        <v>228000</v>
      </c>
      <c r="AM117" s="195">
        <v>228000</v>
      </c>
    </row>
    <row r="118" spans="27:39" x14ac:dyDescent="0.25">
      <c r="AA118" s="195">
        <v>116</v>
      </c>
      <c r="AB118" s="197">
        <v>17840148667.921471</v>
      </c>
      <c r="AC118" s="198">
        <v>222922.09404277802</v>
      </c>
      <c r="AD118" s="197">
        <v>80028.624998013896</v>
      </c>
      <c r="AE118" s="195">
        <v>0</v>
      </c>
      <c r="AF118" s="195">
        <v>0</v>
      </c>
      <c r="AK118" s="195">
        <v>230000</v>
      </c>
      <c r="AM118" s="195">
        <v>230000</v>
      </c>
    </row>
    <row r="119" spans="27:39" x14ac:dyDescent="0.25">
      <c r="AA119" s="195">
        <v>117</v>
      </c>
      <c r="AB119" s="197">
        <v>18337457948.196552</v>
      </c>
      <c r="AC119" s="198">
        <v>106816.84807591885</v>
      </c>
      <c r="AD119" s="197">
        <v>171671.96260241093</v>
      </c>
      <c r="AE119" s="195">
        <v>0</v>
      </c>
      <c r="AF119" s="195">
        <v>0</v>
      </c>
      <c r="AK119" s="195">
        <v>232000</v>
      </c>
      <c r="AM119" s="195">
        <v>232000</v>
      </c>
    </row>
    <row r="120" spans="27:39" x14ac:dyDescent="0.25">
      <c r="AA120" s="195">
        <v>118</v>
      </c>
      <c r="AB120" s="197">
        <v>16106259272.326542</v>
      </c>
      <c r="AC120" s="198">
        <v>625866.18988402933</v>
      </c>
      <c r="AD120" s="197">
        <v>25734.349502584526</v>
      </c>
      <c r="AE120" s="195">
        <v>0</v>
      </c>
      <c r="AF120" s="195">
        <v>0</v>
      </c>
      <c r="AK120" s="195">
        <v>234000</v>
      </c>
      <c r="AM120" s="195">
        <v>234000</v>
      </c>
    </row>
    <row r="121" spans="27:39" x14ac:dyDescent="0.25">
      <c r="AA121" s="195">
        <v>119</v>
      </c>
      <c r="AB121" s="197">
        <v>16500340617.688042</v>
      </c>
      <c r="AC121" s="198">
        <v>534538.12073222548</v>
      </c>
      <c r="AD121" s="197">
        <v>30868.407654603579</v>
      </c>
      <c r="AE121" s="195">
        <v>0</v>
      </c>
      <c r="AF121" s="195">
        <v>0</v>
      </c>
      <c r="AK121" s="195">
        <v>236000</v>
      </c>
      <c r="AM121" s="195">
        <v>236000</v>
      </c>
    </row>
    <row r="122" spans="27:39" x14ac:dyDescent="0.25">
      <c r="AA122" s="195">
        <v>120</v>
      </c>
      <c r="AB122" s="197">
        <v>16082360019.750105</v>
      </c>
      <c r="AC122" s="198">
        <v>631400.02950794995</v>
      </c>
      <c r="AD122" s="197">
        <v>25470.952277723343</v>
      </c>
      <c r="AE122" s="195">
        <v>0</v>
      </c>
      <c r="AF122" s="195">
        <v>0</v>
      </c>
      <c r="AK122" s="195">
        <v>238000</v>
      </c>
      <c r="AM122" s="195">
        <v>238000</v>
      </c>
    </row>
    <row r="123" spans="27:39" x14ac:dyDescent="0.25">
      <c r="AA123" s="195">
        <v>121</v>
      </c>
      <c r="AB123" s="197">
        <v>16318551240.592436</v>
      </c>
      <c r="AC123" s="198">
        <v>576686.20630222559</v>
      </c>
      <c r="AD123" s="197">
        <v>28297.106922721028</v>
      </c>
      <c r="AE123" s="195">
        <v>0</v>
      </c>
      <c r="AF123" s="195">
        <v>0</v>
      </c>
      <c r="AK123" s="195">
        <v>240000</v>
      </c>
      <c r="AM123" s="195">
        <v>240000</v>
      </c>
    </row>
    <row r="124" spans="27:39" x14ac:dyDescent="0.25">
      <c r="AA124" s="195">
        <v>122</v>
      </c>
      <c r="AB124" s="197">
        <v>18109491901.81147</v>
      </c>
      <c r="AC124" s="198">
        <v>160068.95774269849</v>
      </c>
      <c r="AD124" s="197">
        <v>113135.56455413061</v>
      </c>
      <c r="AE124" s="195">
        <v>0</v>
      </c>
      <c r="AF124" s="195">
        <v>0</v>
      </c>
      <c r="AK124" s="195">
        <v>242000</v>
      </c>
      <c r="AM124" s="195">
        <v>242000</v>
      </c>
    </row>
    <row r="125" spans="27:39" x14ac:dyDescent="0.25">
      <c r="AA125" s="195">
        <v>123</v>
      </c>
      <c r="AB125" s="197">
        <v>16473198411.713989</v>
      </c>
      <c r="AC125" s="198">
        <v>540833.08948558569</v>
      </c>
      <c r="AD125" s="197">
        <v>30458.932213971042</v>
      </c>
      <c r="AE125" s="195">
        <v>0</v>
      </c>
      <c r="AF125" s="195">
        <v>0</v>
      </c>
      <c r="AK125" s="195">
        <v>244000</v>
      </c>
      <c r="AM125" s="195">
        <v>244000</v>
      </c>
    </row>
    <row r="126" spans="27:39" x14ac:dyDescent="0.25">
      <c r="AA126" s="195">
        <v>124</v>
      </c>
      <c r="AB126" s="197">
        <v>17324702624.550407</v>
      </c>
      <c r="AC126" s="198">
        <v>343010.25717510283</v>
      </c>
      <c r="AD126" s="197">
        <v>50507.826696582852</v>
      </c>
      <c r="AE126" s="195">
        <v>0</v>
      </c>
      <c r="AF126" s="195">
        <v>0</v>
      </c>
      <c r="AK126" s="195">
        <v>246000</v>
      </c>
      <c r="AM126" s="195">
        <v>246000</v>
      </c>
    </row>
    <row r="127" spans="27:39" x14ac:dyDescent="0.25">
      <c r="AA127" s="195">
        <v>125</v>
      </c>
      <c r="AB127" s="197">
        <v>17211916737.687031</v>
      </c>
      <c r="AC127" s="198">
        <v>369252.91426438093</v>
      </c>
      <c r="AD127" s="197">
        <v>46612.812175027255</v>
      </c>
      <c r="AE127" s="195">
        <v>0</v>
      </c>
      <c r="AF127" s="195">
        <v>0</v>
      </c>
      <c r="AK127" s="195">
        <v>248000</v>
      </c>
      <c r="AM127" s="195">
        <v>248000</v>
      </c>
    </row>
    <row r="128" spans="27:39" x14ac:dyDescent="0.25">
      <c r="AA128" s="195">
        <v>126</v>
      </c>
      <c r="AB128" s="197">
        <v>18461832683.634125</v>
      </c>
      <c r="AC128" s="198">
        <v>77742.197617881</v>
      </c>
      <c r="AD128" s="197">
        <v>237475.05536668588</v>
      </c>
      <c r="AE128" s="195">
        <v>0</v>
      </c>
      <c r="AF128" s="195">
        <v>0</v>
      </c>
      <c r="AK128" s="195">
        <v>250000</v>
      </c>
      <c r="AM128" s="195">
        <v>250000</v>
      </c>
    </row>
    <row r="129" spans="27:39" x14ac:dyDescent="0.25">
      <c r="AA129" s="195">
        <v>127</v>
      </c>
      <c r="AB129" s="197">
        <v>17440490429.737385</v>
      </c>
      <c r="AC129" s="198">
        <v>316056.39023699611</v>
      </c>
      <c r="AD129" s="197">
        <v>55181.578251461913</v>
      </c>
      <c r="AE129" s="195">
        <v>0</v>
      </c>
      <c r="AF129" s="195">
        <v>0</v>
      </c>
      <c r="AK129" s="195">
        <v>252000</v>
      </c>
      <c r="AM129" s="195">
        <v>252000</v>
      </c>
    </row>
    <row r="130" spans="27:39" x14ac:dyDescent="0.25">
      <c r="AA130" s="195">
        <v>128</v>
      </c>
      <c r="AB130" s="197">
        <v>16664344244.956972</v>
      </c>
      <c r="AC130" s="198">
        <v>496486.44549821317</v>
      </c>
      <c r="AD130" s="197">
        <v>33564.550243128331</v>
      </c>
      <c r="AE130" s="195">
        <v>0</v>
      </c>
      <c r="AF130" s="195">
        <v>0</v>
      </c>
      <c r="AK130" s="195">
        <v>254000</v>
      </c>
      <c r="AM130" s="195">
        <v>254000</v>
      </c>
    </row>
    <row r="131" spans="27:39" x14ac:dyDescent="0.25">
      <c r="AA131" s="195">
        <v>129</v>
      </c>
      <c r="AB131" s="197">
        <v>17136675081.590094</v>
      </c>
      <c r="AC131" s="198">
        <v>386753.09548637271</v>
      </c>
      <c r="AD131" s="197">
        <v>44309.083189209814</v>
      </c>
      <c r="AE131" s="195">
        <v>0</v>
      </c>
      <c r="AF131" s="195">
        <v>0</v>
      </c>
      <c r="AK131" s="195">
        <v>256000</v>
      </c>
      <c r="AM131" s="195">
        <v>256000</v>
      </c>
    </row>
    <row r="132" spans="27:39" x14ac:dyDescent="0.25">
      <c r="AA132" s="195">
        <v>130</v>
      </c>
      <c r="AB132" s="197">
        <v>16558209814.797619</v>
      </c>
      <c r="AC132" s="198">
        <v>521114.41743530333</v>
      </c>
      <c r="AD132" s="197">
        <v>31774.614673472031</v>
      </c>
      <c r="AE132" s="195">
        <v>0</v>
      </c>
      <c r="AF132" s="195">
        <v>0</v>
      </c>
      <c r="AK132" s="195">
        <v>258000</v>
      </c>
      <c r="AM132" s="195">
        <v>258000</v>
      </c>
    </row>
    <row r="133" spans="27:39" x14ac:dyDescent="0.25">
      <c r="AA133" s="195">
        <v>131</v>
      </c>
      <c r="AB133" s="197">
        <v>17740347791.927116</v>
      </c>
      <c r="AC133" s="198">
        <v>246193.58408340067</v>
      </c>
      <c r="AD133" s="197">
        <v>72058.530111480839</v>
      </c>
      <c r="AE133" s="195">
        <v>0</v>
      </c>
      <c r="AF133" s="195">
        <v>0</v>
      </c>
      <c r="AK133" s="195">
        <v>260000</v>
      </c>
      <c r="AM133" s="195">
        <v>260000</v>
      </c>
    </row>
    <row r="134" spans="27:39" x14ac:dyDescent="0.25">
      <c r="AA134" s="195">
        <v>132</v>
      </c>
      <c r="AB134" s="197">
        <v>17045460786.495443</v>
      </c>
      <c r="AC134" s="198">
        <v>407960.99245808274</v>
      </c>
      <c r="AD134" s="197">
        <v>41782.084811078683</v>
      </c>
      <c r="AE134" s="195">
        <v>0</v>
      </c>
      <c r="AF134" s="195">
        <v>0</v>
      </c>
      <c r="AK134" s="195">
        <v>262000</v>
      </c>
      <c r="AM134" s="195">
        <v>262000</v>
      </c>
    </row>
    <row r="135" spans="27:39" x14ac:dyDescent="0.25">
      <c r="AA135" s="195">
        <v>133</v>
      </c>
      <c r="AB135" s="197">
        <v>16559181003.156368</v>
      </c>
      <c r="AC135" s="198">
        <v>520889.10702110827</v>
      </c>
      <c r="AD135" s="197">
        <v>31790.223254726905</v>
      </c>
      <c r="AE135" s="195">
        <v>0</v>
      </c>
      <c r="AF135" s="195">
        <v>0</v>
      </c>
      <c r="AK135" s="195">
        <v>264000</v>
      </c>
      <c r="AM135" s="195">
        <v>264000</v>
      </c>
    </row>
    <row r="136" spans="27:39" x14ac:dyDescent="0.25">
      <c r="AA136" s="195">
        <v>134</v>
      </c>
      <c r="AB136" s="197">
        <v>18971218203.005444</v>
      </c>
      <c r="AC136" s="198">
        <v>-41490.812235318124</v>
      </c>
      <c r="AD136" s="197">
        <v>-457239.01704813144</v>
      </c>
      <c r="AE136" s="195">
        <v>0</v>
      </c>
      <c r="AF136" s="195">
        <v>0</v>
      </c>
      <c r="AK136" s="195">
        <v>266000</v>
      </c>
      <c r="AM136" s="195">
        <v>266000</v>
      </c>
    </row>
    <row r="137" spans="27:39" x14ac:dyDescent="0.25">
      <c r="AA137" s="195">
        <v>135</v>
      </c>
      <c r="AB137" s="197">
        <v>18500628273.157917</v>
      </c>
      <c r="AC137" s="198">
        <v>68670.034651882946</v>
      </c>
      <c r="AD137" s="197">
        <v>269413.41105979221</v>
      </c>
      <c r="AE137" s="195">
        <v>0</v>
      </c>
      <c r="AF137" s="195">
        <v>0</v>
      </c>
      <c r="AK137" s="195">
        <v>268000</v>
      </c>
      <c r="AM137" s="195">
        <v>268000</v>
      </c>
    </row>
    <row r="138" spans="27:39" x14ac:dyDescent="0.25">
      <c r="AA138" s="195">
        <v>136</v>
      </c>
      <c r="AB138" s="197">
        <v>16055940858.35623</v>
      </c>
      <c r="AC138" s="198">
        <v>637516.71270029992</v>
      </c>
      <c r="AD138" s="197">
        <v>25185.129328372943</v>
      </c>
      <c r="AE138" s="195">
        <v>0</v>
      </c>
      <c r="AF138" s="195">
        <v>0</v>
      </c>
      <c r="AK138" s="195">
        <v>270000</v>
      </c>
      <c r="AM138" s="195">
        <v>270000</v>
      </c>
    </row>
    <row r="139" spans="27:39" x14ac:dyDescent="0.25">
      <c r="AA139" s="195">
        <v>137</v>
      </c>
      <c r="AB139" s="197">
        <v>18161785723.162743</v>
      </c>
      <c r="AC139" s="198">
        <v>147857.7229597345</v>
      </c>
      <c r="AD139" s="197">
        <v>122832.85147106364</v>
      </c>
      <c r="AE139" s="195">
        <v>0</v>
      </c>
      <c r="AF139" s="195">
        <v>0</v>
      </c>
      <c r="AK139" s="195">
        <v>272000</v>
      </c>
      <c r="AM139" s="195">
        <v>272000</v>
      </c>
    </row>
    <row r="140" spans="27:39" x14ac:dyDescent="0.25">
      <c r="AA140" s="195">
        <v>138</v>
      </c>
      <c r="AB140" s="197">
        <v>18038294902.949524</v>
      </c>
      <c r="AC140" s="198">
        <v>176690.07444165647</v>
      </c>
      <c r="AD140" s="197">
        <v>102090.02944817829</v>
      </c>
      <c r="AE140" s="195">
        <v>0</v>
      </c>
      <c r="AF140" s="195">
        <v>0</v>
      </c>
      <c r="AK140" s="195">
        <v>274000</v>
      </c>
      <c r="AM140" s="195">
        <v>274000</v>
      </c>
    </row>
    <row r="141" spans="27:39" x14ac:dyDescent="0.25">
      <c r="AA141" s="195">
        <v>139</v>
      </c>
      <c r="AB141" s="197">
        <v>16578248719.503744</v>
      </c>
      <c r="AC141" s="198">
        <v>516465.31705212593</v>
      </c>
      <c r="AD141" s="197">
        <v>32099.442444903867</v>
      </c>
      <c r="AE141" s="195">
        <v>0</v>
      </c>
      <c r="AF141" s="195">
        <v>0</v>
      </c>
      <c r="AK141" s="195">
        <v>276000</v>
      </c>
      <c r="AM141" s="195">
        <v>276000</v>
      </c>
    </row>
    <row r="142" spans="27:39" x14ac:dyDescent="0.25">
      <c r="AA142" s="195">
        <v>140</v>
      </c>
      <c r="AB142" s="197">
        <v>17325643976.527569</v>
      </c>
      <c r="AC142" s="198">
        <v>342791.17492476851</v>
      </c>
      <c r="AD142" s="197">
        <v>50542.853036779561</v>
      </c>
      <c r="AE142" s="195">
        <v>0</v>
      </c>
      <c r="AF142" s="195">
        <v>0</v>
      </c>
      <c r="AK142" s="195">
        <v>278000</v>
      </c>
      <c r="AM142" s="195">
        <v>278000</v>
      </c>
    </row>
    <row r="143" spans="27:39" x14ac:dyDescent="0.25">
      <c r="AA143" s="195">
        <v>141</v>
      </c>
      <c r="AB143" s="197">
        <v>16420896111.589939</v>
      </c>
      <c r="AC143" s="198">
        <v>552961.3292953074</v>
      </c>
      <c r="AD143" s="197">
        <v>29696.282979709791</v>
      </c>
      <c r="AE143" s="195">
        <v>0</v>
      </c>
      <c r="AF143" s="195">
        <v>0</v>
      </c>
      <c r="AK143" s="195">
        <v>280000</v>
      </c>
      <c r="AM143" s="195">
        <v>280000</v>
      </c>
    </row>
    <row r="144" spans="27:39" x14ac:dyDescent="0.25">
      <c r="AA144" s="195">
        <v>142</v>
      </c>
      <c r="AB144" s="197">
        <v>17624308439.237232</v>
      </c>
      <c r="AC144" s="198">
        <v>273239.48919980228</v>
      </c>
      <c r="AD144" s="197">
        <v>64501.32259744389</v>
      </c>
      <c r="AE144" s="195">
        <v>0</v>
      </c>
      <c r="AF144" s="195">
        <v>0</v>
      </c>
      <c r="AK144" s="195">
        <v>282000</v>
      </c>
      <c r="AM144" s="195">
        <v>282000</v>
      </c>
    </row>
    <row r="145" spans="27:39" x14ac:dyDescent="0.25">
      <c r="AA145" s="195">
        <v>143</v>
      </c>
      <c r="AB145" s="197">
        <v>17838419204.527145</v>
      </c>
      <c r="AC145" s="198">
        <v>223325.4506450668</v>
      </c>
      <c r="AD145" s="197">
        <v>79876.338111046323</v>
      </c>
      <c r="AE145" s="195">
        <v>0</v>
      </c>
      <c r="AF145" s="195">
        <v>0</v>
      </c>
      <c r="AK145" s="195">
        <v>284000</v>
      </c>
      <c r="AM145" s="195">
        <v>284000</v>
      </c>
    </row>
    <row r="146" spans="27:39" x14ac:dyDescent="0.25">
      <c r="AA146" s="195">
        <v>144</v>
      </c>
      <c r="AB146" s="197">
        <v>17544051331.830826</v>
      </c>
      <c r="AC146" s="198">
        <v>291937.852884233</v>
      </c>
      <c r="AD146" s="197">
        <v>60095.157782734881</v>
      </c>
      <c r="AE146" s="195">
        <v>0</v>
      </c>
      <c r="AF146" s="195">
        <v>0</v>
      </c>
      <c r="AK146" s="195">
        <v>286000</v>
      </c>
      <c r="AM146" s="195">
        <v>286000</v>
      </c>
    </row>
    <row r="147" spans="27:39" x14ac:dyDescent="0.25">
      <c r="AA147" s="195">
        <v>145</v>
      </c>
      <c r="AB147" s="197">
        <v>18339605986.654102</v>
      </c>
      <c r="AC147" s="198">
        <v>106314.83516835421</v>
      </c>
      <c r="AD147" s="197">
        <v>172502.79283801297</v>
      </c>
      <c r="AE147" s="195">
        <v>0</v>
      </c>
      <c r="AF147" s="195">
        <v>0</v>
      </c>
      <c r="AK147" s="195">
        <v>288000</v>
      </c>
      <c r="AM147" s="195">
        <v>288000</v>
      </c>
    </row>
    <row r="148" spans="27:39" x14ac:dyDescent="0.25">
      <c r="AA148" s="195">
        <v>146</v>
      </c>
      <c r="AB148" s="197">
        <v>17022660754.193186</v>
      </c>
      <c r="AC148" s="198">
        <v>413260.89329042286</v>
      </c>
      <c r="AD148" s="197">
        <v>41191.075735855695</v>
      </c>
      <c r="AE148" s="195">
        <v>0</v>
      </c>
      <c r="AF148" s="195">
        <v>0</v>
      </c>
      <c r="AK148" s="195">
        <v>290000</v>
      </c>
      <c r="AM148" s="195">
        <v>290000</v>
      </c>
    </row>
    <row r="149" spans="27:39" x14ac:dyDescent="0.25">
      <c r="AA149" s="195">
        <v>147</v>
      </c>
      <c r="AB149" s="197">
        <v>17872024825.582348</v>
      </c>
      <c r="AC149" s="198">
        <v>215487.21511559933</v>
      </c>
      <c r="AD149" s="197">
        <v>82937.750232628881</v>
      </c>
      <c r="AE149" s="195">
        <v>0</v>
      </c>
      <c r="AF149" s="195">
        <v>0</v>
      </c>
      <c r="AK149" s="195">
        <v>292000</v>
      </c>
      <c r="AM149" s="195">
        <v>292000</v>
      </c>
    </row>
    <row r="150" spans="27:39" x14ac:dyDescent="0.25">
      <c r="AA150" s="195">
        <v>148</v>
      </c>
      <c r="AB150" s="197">
        <v>17445824951.806141</v>
      </c>
      <c r="AC150" s="198">
        <v>314814.27326632291</v>
      </c>
      <c r="AD150" s="197">
        <v>55416.245174651041</v>
      </c>
      <c r="AE150" s="195">
        <v>0</v>
      </c>
      <c r="AF150" s="195">
        <v>0</v>
      </c>
      <c r="AK150" s="195">
        <v>294000</v>
      </c>
      <c r="AM150" s="195">
        <v>294000</v>
      </c>
    </row>
    <row r="151" spans="27:39" x14ac:dyDescent="0.25">
      <c r="AA151" s="195">
        <v>149</v>
      </c>
      <c r="AB151" s="197">
        <v>17944942873.876457</v>
      </c>
      <c r="AC151" s="198">
        <v>198475.93692295998</v>
      </c>
      <c r="AD151" s="197">
        <v>90413.69524226975</v>
      </c>
      <c r="AE151" s="195">
        <v>0</v>
      </c>
      <c r="AF151" s="195">
        <v>0</v>
      </c>
      <c r="AK151" s="195">
        <v>296000</v>
      </c>
      <c r="AM151" s="195">
        <v>296000</v>
      </c>
    </row>
    <row r="152" spans="27:39" x14ac:dyDescent="0.25">
      <c r="AA152" s="195">
        <v>150</v>
      </c>
      <c r="AB152" s="197">
        <v>16418753257.210148</v>
      </c>
      <c r="AC152" s="198">
        <v>553458.17401207983</v>
      </c>
      <c r="AD152" s="197">
        <v>29665.752586485047</v>
      </c>
      <c r="AE152" s="195">
        <v>0</v>
      </c>
      <c r="AF152" s="195">
        <v>0</v>
      </c>
      <c r="AK152" s="195">
        <v>298000</v>
      </c>
      <c r="AM152" s="195">
        <v>298000</v>
      </c>
    </row>
    <row r="153" spans="27:39" x14ac:dyDescent="0.25">
      <c r="AA153" s="195">
        <v>151</v>
      </c>
      <c r="AB153" s="197">
        <v>17944911210.901218</v>
      </c>
      <c r="AC153" s="198">
        <v>198483.32478858531</v>
      </c>
      <c r="AD153" s="197">
        <v>90410.170375850255</v>
      </c>
      <c r="AE153" s="195">
        <v>0</v>
      </c>
      <c r="AF153" s="195">
        <v>0</v>
      </c>
      <c r="AK153" s="195">
        <v>300000</v>
      </c>
      <c r="AM153" s="195">
        <v>300000</v>
      </c>
    </row>
    <row r="154" spans="27:39" x14ac:dyDescent="0.25">
      <c r="AA154" s="195">
        <v>152</v>
      </c>
      <c r="AB154" s="197">
        <v>15953835801.429724</v>
      </c>
      <c r="AC154" s="198">
        <v>661150.23867189884</v>
      </c>
      <c r="AD154" s="197">
        <v>24130.424324548938</v>
      </c>
      <c r="AE154" s="195">
        <v>0</v>
      </c>
      <c r="AF154" s="195">
        <v>0</v>
      </c>
      <c r="AK154" s="195">
        <v>302000</v>
      </c>
      <c r="AM154" s="195">
        <v>302000</v>
      </c>
    </row>
    <row r="155" spans="27:39" x14ac:dyDescent="0.25">
      <c r="AA155" s="195">
        <v>153</v>
      </c>
      <c r="AB155" s="197">
        <v>16592464909.455301</v>
      </c>
      <c r="AC155" s="198">
        <v>513166.87421292067</v>
      </c>
      <c r="AD155" s="197">
        <v>32333.468396424276</v>
      </c>
      <c r="AE155" s="195">
        <v>0</v>
      </c>
      <c r="AF155" s="195">
        <v>0</v>
      </c>
      <c r="AK155" s="195">
        <v>304000</v>
      </c>
      <c r="AM155" s="195">
        <v>304000</v>
      </c>
    </row>
    <row r="156" spans="27:39" x14ac:dyDescent="0.25">
      <c r="AA156" s="195">
        <v>154</v>
      </c>
      <c r="AB156" s="197">
        <v>17371477039.625919</v>
      </c>
      <c r="AC156" s="198">
        <v>332123.34630850703</v>
      </c>
      <c r="AD156" s="197">
        <v>52304.293668924067</v>
      </c>
      <c r="AE156" s="195">
        <v>0</v>
      </c>
      <c r="AF156" s="195">
        <v>0</v>
      </c>
      <c r="AK156" s="195">
        <v>306000</v>
      </c>
      <c r="AM156" s="195">
        <v>306000</v>
      </c>
    </row>
    <row r="157" spans="27:39" x14ac:dyDescent="0.25">
      <c r="AA157" s="195">
        <v>155</v>
      </c>
      <c r="AB157" s="197">
        <v>16289975721.812719</v>
      </c>
      <c r="AC157" s="198">
        <v>583308.58835026622</v>
      </c>
      <c r="AD157" s="197">
        <v>27926.857322441625</v>
      </c>
      <c r="AE157" s="195">
        <v>0</v>
      </c>
      <c r="AF157" s="195">
        <v>0</v>
      </c>
      <c r="AK157" s="195">
        <v>308000</v>
      </c>
      <c r="AM157" s="195">
        <v>308000</v>
      </c>
    </row>
    <row r="158" spans="27:39" x14ac:dyDescent="0.25">
      <c r="AA158" s="195">
        <v>156</v>
      </c>
      <c r="AB158" s="197">
        <v>16779748197.392767</v>
      </c>
      <c r="AC158" s="198">
        <v>469695.24314150214</v>
      </c>
      <c r="AD158" s="197">
        <v>35724.756514806002</v>
      </c>
      <c r="AE158" s="195">
        <v>0</v>
      </c>
      <c r="AF158" s="195">
        <v>0</v>
      </c>
      <c r="AK158" s="195">
        <v>310000</v>
      </c>
      <c r="AM158" s="195">
        <v>310000</v>
      </c>
    </row>
    <row r="159" spans="27:39" x14ac:dyDescent="0.25">
      <c r="AA159" s="195">
        <v>157</v>
      </c>
      <c r="AB159" s="197">
        <v>16642650069.258665</v>
      </c>
      <c r="AC159" s="198">
        <v>501521.35218819231</v>
      </c>
      <c r="AD159" s="197">
        <v>33184.330032300655</v>
      </c>
      <c r="AE159" s="195">
        <v>0</v>
      </c>
      <c r="AF159" s="195">
        <v>0</v>
      </c>
      <c r="AK159" s="195">
        <v>312000</v>
      </c>
      <c r="AM159" s="195">
        <v>312000</v>
      </c>
    </row>
    <row r="160" spans="27:39" x14ac:dyDescent="0.25">
      <c r="AA160" s="195">
        <v>158</v>
      </c>
      <c r="AB160" s="197">
        <v>16643873510.600264</v>
      </c>
      <c r="AC160" s="198">
        <v>501237.42105159163</v>
      </c>
      <c r="AD160" s="197">
        <v>33205.568482260496</v>
      </c>
      <c r="AE160" s="195">
        <v>0</v>
      </c>
      <c r="AF160" s="195">
        <v>0</v>
      </c>
      <c r="AK160" s="195">
        <v>314000</v>
      </c>
      <c r="AM160" s="195">
        <v>314000</v>
      </c>
    </row>
    <row r="161" spans="27:39" x14ac:dyDescent="0.25">
      <c r="AA161" s="195">
        <v>159</v>
      </c>
      <c r="AB161" s="197">
        <v>17264792308.743557</v>
      </c>
      <c r="AC161" s="198">
        <v>356951.52048106492</v>
      </c>
      <c r="AD161" s="197">
        <v>48367.330906661307</v>
      </c>
      <c r="AE161" s="195">
        <v>0</v>
      </c>
      <c r="AF161" s="195">
        <v>0</v>
      </c>
      <c r="AK161" s="195">
        <v>316000</v>
      </c>
      <c r="AM161" s="195">
        <v>316000</v>
      </c>
    </row>
    <row r="162" spans="27:39" x14ac:dyDescent="0.25">
      <c r="AA162" s="195">
        <v>160</v>
      </c>
      <c r="AB162" s="197">
        <v>17467197748.193111</v>
      </c>
      <c r="AC162" s="198">
        <v>309837.44907628745</v>
      </c>
      <c r="AD162" s="197">
        <v>56375.360048527829</v>
      </c>
      <c r="AE162" s="195">
        <v>0</v>
      </c>
      <c r="AF162" s="195">
        <v>0</v>
      </c>
      <c r="AK162" s="195">
        <v>318000</v>
      </c>
      <c r="AM162" s="195">
        <v>318000</v>
      </c>
    </row>
    <row r="163" spans="27:39" x14ac:dyDescent="0.25">
      <c r="AA163" s="195">
        <v>161</v>
      </c>
      <c r="AB163" s="197">
        <v>16368851492.572821</v>
      </c>
      <c r="AC163" s="198">
        <v>565027.20828959346</v>
      </c>
      <c r="AD163" s="197">
        <v>28970.023482804198</v>
      </c>
      <c r="AE163" s="195">
        <v>0</v>
      </c>
      <c r="AF163" s="195">
        <v>0</v>
      </c>
      <c r="AK163" s="195">
        <v>320000</v>
      </c>
      <c r="AM163" s="195">
        <v>320000</v>
      </c>
    </row>
    <row r="164" spans="27:39" x14ac:dyDescent="0.25">
      <c r="AA164" s="195">
        <v>162</v>
      </c>
      <c r="AB164" s="197">
        <v>18674220369.028419</v>
      </c>
      <c r="AC164" s="198">
        <v>28058.570768468082</v>
      </c>
      <c r="AD164" s="197">
        <v>665544.24753574072</v>
      </c>
      <c r="AE164" s="195">
        <v>0</v>
      </c>
      <c r="AF164" s="195">
        <v>0</v>
      </c>
      <c r="AK164" s="195">
        <v>322000</v>
      </c>
      <c r="AM164" s="195">
        <v>322000</v>
      </c>
    </row>
    <row r="165" spans="27:39" x14ac:dyDescent="0.25">
      <c r="AA165" s="195">
        <v>163</v>
      </c>
      <c r="AB165" s="197">
        <v>18243688218.841713</v>
      </c>
      <c r="AC165" s="198">
        <v>128727.21022558957</v>
      </c>
      <c r="AD165" s="197">
        <v>141723.63548367386</v>
      </c>
      <c r="AE165" s="195">
        <v>0</v>
      </c>
      <c r="AF165" s="195">
        <v>0</v>
      </c>
      <c r="AK165" s="195">
        <v>324000</v>
      </c>
      <c r="AM165" s="195">
        <v>324000</v>
      </c>
    </row>
    <row r="166" spans="27:39" x14ac:dyDescent="0.25">
      <c r="AA166" s="195">
        <v>164</v>
      </c>
      <c r="AB166" s="197">
        <v>19174572428.733635</v>
      </c>
      <c r="AC166" s="198">
        <v>-89160.346228256822</v>
      </c>
      <c r="AD166" s="197">
        <v>-215057.17776875122</v>
      </c>
      <c r="AE166" s="195">
        <v>0</v>
      </c>
      <c r="AF166" s="195">
        <v>0</v>
      </c>
      <c r="AK166" s="195">
        <v>326000</v>
      </c>
      <c r="AM166" s="195">
        <v>326000</v>
      </c>
    </row>
    <row r="167" spans="27:39" x14ac:dyDescent="0.25">
      <c r="AA167" s="195">
        <v>165</v>
      </c>
      <c r="AB167" s="197">
        <v>16695563242.727882</v>
      </c>
      <c r="AC167" s="198">
        <v>489240.17070852965</v>
      </c>
      <c r="AD167" s="197">
        <v>34125.495497536431</v>
      </c>
      <c r="AE167" s="195">
        <v>0</v>
      </c>
      <c r="AF167" s="195">
        <v>0</v>
      </c>
      <c r="AK167" s="195">
        <v>328000</v>
      </c>
      <c r="AM167" s="195">
        <v>328000</v>
      </c>
    </row>
    <row r="168" spans="27:39" x14ac:dyDescent="0.25">
      <c r="AA168" s="195">
        <v>166</v>
      </c>
      <c r="AB168" s="197">
        <v>17160698039.355799</v>
      </c>
      <c r="AC168" s="198">
        <v>381166.275503546</v>
      </c>
      <c r="AD168" s="197">
        <v>45021.553957483186</v>
      </c>
      <c r="AE168" s="195">
        <v>0</v>
      </c>
      <c r="AF168" s="195">
        <v>0</v>
      </c>
      <c r="AK168" s="195">
        <v>330000</v>
      </c>
      <c r="AM168" s="195">
        <v>330000</v>
      </c>
    </row>
    <row r="169" spans="27:39" x14ac:dyDescent="0.25">
      <c r="AA169" s="195">
        <v>167</v>
      </c>
      <c r="AB169" s="197">
        <v>17574702900.814228</v>
      </c>
      <c r="AC169" s="198">
        <v>284797.3582726866</v>
      </c>
      <c r="AD169" s="197">
        <v>61709.501125311966</v>
      </c>
      <c r="AE169" s="195">
        <v>0</v>
      </c>
      <c r="AF169" s="195">
        <v>0</v>
      </c>
      <c r="AK169" s="195">
        <v>332000</v>
      </c>
      <c r="AM169" s="195">
        <v>332000</v>
      </c>
    </row>
    <row r="170" spans="27:39" x14ac:dyDescent="0.25">
      <c r="AA170" s="195">
        <v>168</v>
      </c>
      <c r="AB170" s="197">
        <v>17245134745.882179</v>
      </c>
      <c r="AC170" s="198">
        <v>361525.12649925053</v>
      </c>
      <c r="AD170" s="197">
        <v>47701.06828499493</v>
      </c>
      <c r="AE170" s="195">
        <v>0</v>
      </c>
      <c r="AF170" s="195">
        <v>0</v>
      </c>
      <c r="AK170" s="195">
        <v>334000</v>
      </c>
      <c r="AM170" s="195">
        <v>334000</v>
      </c>
    </row>
    <row r="171" spans="27:39" x14ac:dyDescent="0.25">
      <c r="AA171" s="195">
        <v>169</v>
      </c>
      <c r="AB171" s="197">
        <v>15758807131.464157</v>
      </c>
      <c r="AC171" s="198">
        <v>706264.32920373231</v>
      </c>
      <c r="AD171" s="197">
        <v>22312.902520832675</v>
      </c>
      <c r="AE171" s="195">
        <v>0</v>
      </c>
      <c r="AF171" s="195">
        <v>0</v>
      </c>
      <c r="AK171" s="195">
        <v>336000</v>
      </c>
      <c r="AM171" s="195">
        <v>336000</v>
      </c>
    </row>
    <row r="172" spans="27:39" x14ac:dyDescent="0.25">
      <c r="AA172" s="195">
        <v>170</v>
      </c>
      <c r="AB172" s="197">
        <v>18808639040.822998</v>
      </c>
      <c r="AC172" s="198">
        <v>-3408.3367481082678</v>
      </c>
      <c r="AD172" s="197">
        <v>-5518421.5735908058</v>
      </c>
      <c r="AE172" s="195">
        <v>0</v>
      </c>
      <c r="AF172" s="195">
        <v>0</v>
      </c>
      <c r="AK172" s="195">
        <v>338000</v>
      </c>
      <c r="AM172" s="195">
        <v>338000</v>
      </c>
    </row>
    <row r="173" spans="27:39" x14ac:dyDescent="0.25">
      <c r="AA173" s="195">
        <v>171</v>
      </c>
      <c r="AB173" s="197">
        <v>16635098824.124718</v>
      </c>
      <c r="AC173" s="198">
        <v>503273.7816632688</v>
      </c>
      <c r="AD173" s="197">
        <v>33053.775956989855</v>
      </c>
      <c r="AE173" s="195">
        <v>0</v>
      </c>
      <c r="AF173" s="195">
        <v>0</v>
      </c>
      <c r="AK173" s="195">
        <v>340000</v>
      </c>
      <c r="AM173" s="195">
        <v>340000</v>
      </c>
    </row>
    <row r="174" spans="27:39" x14ac:dyDescent="0.25">
      <c r="AA174" s="195">
        <v>172</v>
      </c>
      <c r="AB174" s="197">
        <v>18970531962.641117</v>
      </c>
      <c r="AC174" s="198">
        <v>-41330.013950623572</v>
      </c>
      <c r="AD174" s="197">
        <v>-459001.34428468772</v>
      </c>
      <c r="AE174" s="195">
        <v>0</v>
      </c>
      <c r="AF174" s="195">
        <v>0</v>
      </c>
      <c r="AK174" s="195">
        <v>342000</v>
      </c>
      <c r="AM174" s="195">
        <v>342000</v>
      </c>
    </row>
    <row r="175" spans="27:39" x14ac:dyDescent="0.25">
      <c r="AA175" s="195">
        <v>173</v>
      </c>
      <c r="AB175" s="197">
        <v>16821878788.263384</v>
      </c>
      <c r="AC175" s="198">
        <v>459911.37330201268</v>
      </c>
      <c r="AD175" s="197">
        <v>36576.348759300767</v>
      </c>
      <c r="AE175" s="195">
        <v>0</v>
      </c>
      <c r="AF175" s="195">
        <v>0</v>
      </c>
      <c r="AK175" s="195">
        <v>344000</v>
      </c>
      <c r="AM175" s="195">
        <v>344000</v>
      </c>
    </row>
    <row r="176" spans="27:39" x14ac:dyDescent="0.25">
      <c r="AA176" s="195">
        <v>174</v>
      </c>
      <c r="AB176" s="197">
        <v>18061231567.108105</v>
      </c>
      <c r="AC176" s="198">
        <v>171335.98645249009</v>
      </c>
      <c r="AD176" s="197">
        <v>105414.11609473133</v>
      </c>
      <c r="AE176" s="195">
        <v>0</v>
      </c>
      <c r="AF176" s="195">
        <v>0</v>
      </c>
      <c r="AK176" s="195">
        <v>346000</v>
      </c>
      <c r="AM176" s="195">
        <v>346000</v>
      </c>
    </row>
    <row r="177" spans="27:39" x14ac:dyDescent="0.25">
      <c r="AA177" s="195">
        <v>175</v>
      </c>
      <c r="AB177" s="197">
        <v>17514519646.330147</v>
      </c>
      <c r="AC177" s="198">
        <v>298816.60742930323</v>
      </c>
      <c r="AD177" s="197">
        <v>58612.939210461693</v>
      </c>
      <c r="AE177" s="195">
        <v>0</v>
      </c>
      <c r="AF177" s="195">
        <v>0</v>
      </c>
      <c r="AK177" s="195">
        <v>348000</v>
      </c>
      <c r="AM177" s="195">
        <v>348000</v>
      </c>
    </row>
    <row r="178" spans="27:39" x14ac:dyDescent="0.25">
      <c r="AA178" s="195">
        <v>176</v>
      </c>
      <c r="AB178" s="197">
        <v>18944083961.031895</v>
      </c>
      <c r="AC178" s="198">
        <v>-35133.124677762389</v>
      </c>
      <c r="AD178" s="197">
        <v>-539208.62817597901</v>
      </c>
      <c r="AE178" s="195">
        <v>0</v>
      </c>
      <c r="AF178" s="195">
        <v>0</v>
      </c>
      <c r="AK178" s="195">
        <v>350000</v>
      </c>
      <c r="AM178" s="195">
        <v>350000</v>
      </c>
    </row>
    <row r="179" spans="27:39" x14ac:dyDescent="0.25">
      <c r="AA179" s="195">
        <v>177</v>
      </c>
      <c r="AB179" s="197">
        <v>18383924008.097828</v>
      </c>
      <c r="AC179" s="198">
        <v>95956.383982717991</v>
      </c>
      <c r="AD179" s="197">
        <v>191586.2524728821</v>
      </c>
      <c r="AE179" s="195">
        <v>0</v>
      </c>
      <c r="AF179" s="195">
        <v>0</v>
      </c>
      <c r="AK179" s="195">
        <v>352000</v>
      </c>
      <c r="AM179" s="195">
        <v>352000</v>
      </c>
    </row>
    <row r="180" spans="27:39" x14ac:dyDescent="0.25">
      <c r="AA180" s="195">
        <v>178</v>
      </c>
      <c r="AB180" s="197">
        <v>16236127352.137363</v>
      </c>
      <c r="AC180" s="198">
        <v>595785.8278163299</v>
      </c>
      <c r="AD180" s="197">
        <v>27251.617265966037</v>
      </c>
      <c r="AE180" s="195">
        <v>0</v>
      </c>
      <c r="AF180" s="195">
        <v>0</v>
      </c>
      <c r="AK180" s="195">
        <v>354000</v>
      </c>
      <c r="AM180" s="195">
        <v>354000</v>
      </c>
    </row>
    <row r="181" spans="27:39" x14ac:dyDescent="0.25">
      <c r="AA181" s="195">
        <v>179</v>
      </c>
      <c r="AB181" s="197">
        <v>16485476576.748579</v>
      </c>
      <c r="AC181" s="198">
        <v>537985.55799588561</v>
      </c>
      <c r="AD181" s="197">
        <v>30642.97234699125</v>
      </c>
      <c r="AE181" s="195">
        <v>0</v>
      </c>
      <c r="AF181" s="195">
        <v>0</v>
      </c>
      <c r="AK181" s="195">
        <v>356000</v>
      </c>
      <c r="AM181" s="195">
        <v>356000</v>
      </c>
    </row>
    <row r="182" spans="27:39" x14ac:dyDescent="0.25">
      <c r="AA182" s="195">
        <v>180</v>
      </c>
      <c r="AB182" s="197">
        <v>16247452076.052166</v>
      </c>
      <c r="AC182" s="198">
        <v>593162.00011595339</v>
      </c>
      <c r="AD182" s="197">
        <v>27391.255800061463</v>
      </c>
      <c r="AE182" s="195">
        <v>0</v>
      </c>
      <c r="AF182" s="195">
        <v>0</v>
      </c>
      <c r="AK182" s="195">
        <v>358000</v>
      </c>
      <c r="AM182" s="195">
        <v>358000</v>
      </c>
    </row>
    <row r="183" spans="27:39" x14ac:dyDescent="0.25">
      <c r="AA183" s="195">
        <v>181</v>
      </c>
      <c r="AB183" s="197">
        <v>16615299797.108522</v>
      </c>
      <c r="AC183" s="198">
        <v>507868.31322174519</v>
      </c>
      <c r="AD183" s="197">
        <v>32715.763839855783</v>
      </c>
      <c r="AE183" s="195">
        <v>0</v>
      </c>
      <c r="AF183" s="195">
        <v>0</v>
      </c>
      <c r="AK183" s="195">
        <v>360000</v>
      </c>
      <c r="AM183" s="195">
        <v>360000</v>
      </c>
    </row>
    <row r="184" spans="27:39" x14ac:dyDescent="0.25">
      <c r="AA184" s="195">
        <v>182</v>
      </c>
      <c r="AB184" s="197">
        <v>16633560282.594286</v>
      </c>
      <c r="AC184" s="198">
        <v>503630.82672595233</v>
      </c>
      <c r="AD184" s="197">
        <v>33027.287846391773</v>
      </c>
      <c r="AE184" s="195">
        <v>0</v>
      </c>
      <c r="AF184" s="195">
        <v>0</v>
      </c>
      <c r="AK184" s="195">
        <v>362000</v>
      </c>
      <c r="AM184" s="195">
        <v>362000</v>
      </c>
    </row>
    <row r="185" spans="27:39" x14ac:dyDescent="0.25">
      <c r="AA185" s="195">
        <v>183</v>
      </c>
      <c r="AB185" s="197">
        <v>16050639284.720455</v>
      </c>
      <c r="AC185" s="198">
        <v>638744.07620282471</v>
      </c>
      <c r="AD185" s="197">
        <v>25128.435444971215</v>
      </c>
      <c r="AE185" s="195">
        <v>0</v>
      </c>
      <c r="AF185" s="195">
        <v>0</v>
      </c>
      <c r="AK185" s="195">
        <v>364000</v>
      </c>
      <c r="AM185" s="195">
        <v>364000</v>
      </c>
    </row>
    <row r="186" spans="27:39" x14ac:dyDescent="0.25">
      <c r="AA186" s="195">
        <v>184</v>
      </c>
      <c r="AB186" s="197">
        <v>17268330787.615192</v>
      </c>
      <c r="AC186" s="198">
        <v>356128.20456294715</v>
      </c>
      <c r="AD186" s="197">
        <v>48489.08501590736</v>
      </c>
      <c r="AE186" s="195">
        <v>0</v>
      </c>
      <c r="AF186" s="195">
        <v>0</v>
      </c>
      <c r="AK186" s="195">
        <v>366000</v>
      </c>
      <c r="AM186" s="195">
        <v>366000</v>
      </c>
    </row>
    <row r="187" spans="27:39" x14ac:dyDescent="0.25">
      <c r="AA187" s="195">
        <v>185</v>
      </c>
      <c r="AB187" s="197">
        <v>17906531632.344776</v>
      </c>
      <c r="AC187" s="198">
        <v>207437.65334491432</v>
      </c>
      <c r="AD187" s="197">
        <v>86322.474939354041</v>
      </c>
      <c r="AE187" s="195">
        <v>0</v>
      </c>
      <c r="AF187" s="195">
        <v>0</v>
      </c>
      <c r="AK187" s="195">
        <v>368000</v>
      </c>
      <c r="AM187" s="195">
        <v>368000</v>
      </c>
    </row>
    <row r="188" spans="27:39" x14ac:dyDescent="0.25">
      <c r="AA188" s="195">
        <v>186</v>
      </c>
      <c r="AB188" s="197">
        <v>17738854530.635918</v>
      </c>
      <c r="AC188" s="198">
        <v>246541.70874065906</v>
      </c>
      <c r="AD188" s="197">
        <v>71950.724367274044</v>
      </c>
      <c r="AE188" s="195">
        <v>0</v>
      </c>
      <c r="AF188" s="195">
        <v>0</v>
      </c>
      <c r="AK188" s="195">
        <v>370000</v>
      </c>
      <c r="AM188" s="195">
        <v>370000</v>
      </c>
    </row>
    <row r="189" spans="27:39" x14ac:dyDescent="0.25">
      <c r="AA189" s="195">
        <v>187</v>
      </c>
      <c r="AB189" s="197">
        <v>17438168784.22287</v>
      </c>
      <c r="AC189" s="198">
        <v>316596.96531116962</v>
      </c>
      <c r="AD189" s="197">
        <v>55080.025063043919</v>
      </c>
      <c r="AE189" s="195">
        <v>0</v>
      </c>
      <c r="AF189" s="195">
        <v>0</v>
      </c>
      <c r="AK189" s="195">
        <v>372000</v>
      </c>
      <c r="AM189" s="195">
        <v>372000</v>
      </c>
    </row>
    <row r="190" spans="27:39" x14ac:dyDescent="0.25">
      <c r="AA190" s="195">
        <v>188</v>
      </c>
      <c r="AB190" s="197">
        <v>17071673962.284311</v>
      </c>
      <c r="AC190" s="198">
        <v>401867.0836635977</v>
      </c>
      <c r="AD190" s="197">
        <v>42480.896436332623</v>
      </c>
      <c r="AE190" s="195">
        <v>0</v>
      </c>
      <c r="AF190" s="195">
        <v>0</v>
      </c>
      <c r="AK190" s="195">
        <v>374000</v>
      </c>
      <c r="AM190" s="195">
        <v>374000</v>
      </c>
    </row>
    <row r="191" spans="27:39" x14ac:dyDescent="0.25">
      <c r="AA191" s="195">
        <v>189</v>
      </c>
      <c r="AB191" s="197">
        <v>17929873818.871738</v>
      </c>
      <c r="AC191" s="198">
        <v>201991.8635301888</v>
      </c>
      <c r="AD191" s="197">
        <v>88765.327006312902</v>
      </c>
      <c r="AE191" s="195">
        <v>0</v>
      </c>
      <c r="AF191" s="195">
        <v>0</v>
      </c>
      <c r="AK191" s="195">
        <v>376000</v>
      </c>
      <c r="AM191" s="195">
        <v>376000</v>
      </c>
    </row>
    <row r="192" spans="27:39" x14ac:dyDescent="0.25">
      <c r="AA192" s="195">
        <v>190</v>
      </c>
      <c r="AB192" s="197">
        <v>16278195172.988087</v>
      </c>
      <c r="AC192" s="198">
        <v>586038.50460076332</v>
      </c>
      <c r="AD192" s="197">
        <v>27776.664920810195</v>
      </c>
      <c r="AE192" s="195">
        <v>0</v>
      </c>
      <c r="AF192" s="195">
        <v>0</v>
      </c>
      <c r="AK192" s="195">
        <v>378000</v>
      </c>
      <c r="AM192" s="195">
        <v>378000</v>
      </c>
    </row>
    <row r="193" spans="27:39" x14ac:dyDescent="0.25">
      <c r="AA193" s="195">
        <v>191</v>
      </c>
      <c r="AB193" s="197">
        <v>17339697107.194942</v>
      </c>
      <c r="AC193" s="198">
        <v>339520.46747364104</v>
      </c>
      <c r="AD193" s="197">
        <v>51071.139351977727</v>
      </c>
      <c r="AE193" s="195">
        <v>0</v>
      </c>
      <c r="AF193" s="195">
        <v>0</v>
      </c>
      <c r="AK193" s="195">
        <v>380000</v>
      </c>
      <c r="AM193" s="195">
        <v>380000</v>
      </c>
    </row>
    <row r="194" spans="27:39" x14ac:dyDescent="0.25">
      <c r="AA194" s="195">
        <v>192</v>
      </c>
      <c r="AB194" s="197">
        <v>16877596630.07288</v>
      </c>
      <c r="AC194" s="198">
        <v>446969.55375209451</v>
      </c>
      <c r="AD194" s="197">
        <v>37760.058796832069</v>
      </c>
      <c r="AE194" s="195">
        <v>0</v>
      </c>
      <c r="AF194" s="195">
        <v>0</v>
      </c>
      <c r="AK194" s="195">
        <v>382000</v>
      </c>
      <c r="AM194" s="195">
        <v>382000</v>
      </c>
    </row>
    <row r="195" spans="27:39" x14ac:dyDescent="0.25">
      <c r="AA195" s="195">
        <v>193</v>
      </c>
      <c r="AB195" s="197">
        <v>16938040223.939196</v>
      </c>
      <c r="AC195" s="198">
        <v>432926.68886946887</v>
      </c>
      <c r="AD195" s="197">
        <v>39124.499965965741</v>
      </c>
      <c r="AE195" s="195">
        <v>0</v>
      </c>
      <c r="AF195" s="195">
        <v>0</v>
      </c>
      <c r="AK195" s="195">
        <v>384000</v>
      </c>
      <c r="AM195" s="195">
        <v>384000</v>
      </c>
    </row>
    <row r="196" spans="27:39" x14ac:dyDescent="0.25">
      <c r="AA196" s="195">
        <v>194</v>
      </c>
      <c r="AB196" s="197">
        <v>14771192050.512779</v>
      </c>
      <c r="AC196" s="198">
        <v>934159.96710847318</v>
      </c>
      <c r="AD196" s="197">
        <v>15812.272598486948</v>
      </c>
      <c r="AE196" s="195">
        <v>0</v>
      </c>
      <c r="AF196" s="195">
        <v>0</v>
      </c>
      <c r="AK196" s="195">
        <v>386000</v>
      </c>
      <c r="AM196" s="195">
        <v>386000</v>
      </c>
    </row>
    <row r="197" spans="27:39" x14ac:dyDescent="0.25">
      <c r="AA197" s="195">
        <v>195</v>
      </c>
      <c r="AB197" s="197">
        <v>17753054066.366581</v>
      </c>
      <c r="AC197" s="198">
        <v>243231.27789202332</v>
      </c>
      <c r="AD197" s="197">
        <v>72988.368191066373</v>
      </c>
      <c r="AE197" s="195">
        <v>0</v>
      </c>
      <c r="AF197" s="195">
        <v>0</v>
      </c>
      <c r="AK197" s="195">
        <v>388000</v>
      </c>
      <c r="AM197" s="195">
        <v>388000</v>
      </c>
    </row>
    <row r="198" spans="27:39" x14ac:dyDescent="0.25">
      <c r="AA198" s="195">
        <v>196</v>
      </c>
      <c r="AB198" s="197">
        <v>16715610160.531788</v>
      </c>
      <c r="AC198" s="198">
        <v>484586.56549053639</v>
      </c>
      <c r="AD198" s="197">
        <v>34494.580227602761</v>
      </c>
      <c r="AE198" s="195">
        <v>0</v>
      </c>
      <c r="AF198" s="195">
        <v>0</v>
      </c>
      <c r="AK198" s="195">
        <v>390000</v>
      </c>
      <c r="AM198" s="195">
        <v>390000</v>
      </c>
    </row>
    <row r="199" spans="27:39" x14ac:dyDescent="0.25">
      <c r="AA199" s="195">
        <v>197</v>
      </c>
      <c r="AB199" s="197">
        <v>18727021947.657726</v>
      </c>
      <c r="AC199" s="198">
        <v>15699.998436205089</v>
      </c>
      <c r="AD199" s="197">
        <v>1192804.0645196594</v>
      </c>
      <c r="AE199" s="195">
        <v>0</v>
      </c>
      <c r="AF199" s="195">
        <v>0</v>
      </c>
      <c r="AK199" s="195">
        <v>392000</v>
      </c>
      <c r="AM199" s="195">
        <v>392000</v>
      </c>
    </row>
    <row r="200" spans="27:39" x14ac:dyDescent="0.25">
      <c r="AA200" s="195">
        <v>198</v>
      </c>
      <c r="AB200" s="197">
        <v>17996512555.763947</v>
      </c>
      <c r="AC200" s="198">
        <v>186441.99292776734</v>
      </c>
      <c r="AD200" s="197">
        <v>96526.068366670384</v>
      </c>
      <c r="AE200" s="195">
        <v>0</v>
      </c>
      <c r="AF200" s="195">
        <v>0</v>
      </c>
      <c r="AK200" s="195">
        <v>394000</v>
      </c>
      <c r="AM200" s="195">
        <v>394000</v>
      </c>
    </row>
    <row r="201" spans="27:39" x14ac:dyDescent="0.25">
      <c r="AA201" s="195">
        <v>199</v>
      </c>
      <c r="AB201" s="197">
        <v>17359363588.661003</v>
      </c>
      <c r="AC201" s="198">
        <v>334942.99696083367</v>
      </c>
      <c r="AD201" s="197">
        <v>51827.814721234216</v>
      </c>
      <c r="AE201" s="195">
        <v>0</v>
      </c>
      <c r="AF201" s="195">
        <v>0</v>
      </c>
      <c r="AK201" s="195">
        <v>396000</v>
      </c>
      <c r="AM201" s="195">
        <v>396000</v>
      </c>
    </row>
    <row r="202" spans="27:39" x14ac:dyDescent="0.25">
      <c r="AA202" s="195">
        <v>200</v>
      </c>
      <c r="AB202" s="197">
        <v>15646368545.1091</v>
      </c>
      <c r="AC202" s="198">
        <v>732257.07779435813</v>
      </c>
      <c r="AD202" s="197">
        <v>21367.316233033551</v>
      </c>
      <c r="AE202" s="195">
        <v>0</v>
      </c>
      <c r="AF202" s="195">
        <v>0</v>
      </c>
      <c r="AK202" s="195">
        <v>398000</v>
      </c>
      <c r="AM202" s="195">
        <v>398000</v>
      </c>
    </row>
    <row r="203" spans="27:39" x14ac:dyDescent="0.25">
      <c r="AA203" s="195">
        <v>201</v>
      </c>
      <c r="AB203" s="197">
        <v>17321100122.52282</v>
      </c>
      <c r="AC203" s="198">
        <v>343848.66497223079</v>
      </c>
      <c r="AD203" s="197">
        <v>50374.196229383851</v>
      </c>
      <c r="AE203" s="195">
        <v>0</v>
      </c>
      <c r="AF203" s="195">
        <v>0</v>
      </c>
      <c r="AK203" s="195">
        <v>400000</v>
      </c>
      <c r="AM203" s="195">
        <v>400000</v>
      </c>
    </row>
    <row r="204" spans="27:39" x14ac:dyDescent="0.25">
      <c r="AA204" s="195">
        <v>202</v>
      </c>
      <c r="AB204" s="197">
        <v>16304806652.458611</v>
      </c>
      <c r="AC204" s="198">
        <v>579871.61514477432</v>
      </c>
      <c r="AD204" s="197">
        <v>28117.95960798642</v>
      </c>
      <c r="AE204" s="195">
        <v>0</v>
      </c>
      <c r="AF204" s="195">
        <v>0</v>
      </c>
      <c r="AK204" s="195">
        <v>402000</v>
      </c>
      <c r="AM204" s="195">
        <v>402000</v>
      </c>
    </row>
    <row r="205" spans="27:39" x14ac:dyDescent="0.25">
      <c r="AA205" s="195">
        <v>203</v>
      </c>
      <c r="AB205" s="197">
        <v>18489407739.368481</v>
      </c>
      <c r="AC205" s="198">
        <v>71294.05200342834</v>
      </c>
      <c r="AD205" s="197">
        <v>259340.11631825016</v>
      </c>
      <c r="AE205" s="195">
        <v>0</v>
      </c>
      <c r="AF205" s="195">
        <v>0</v>
      </c>
      <c r="AK205" s="195">
        <v>404000</v>
      </c>
      <c r="AM205" s="195">
        <v>404000</v>
      </c>
    </row>
    <row r="206" spans="27:39" x14ac:dyDescent="0.25">
      <c r="AA206" s="195">
        <v>204</v>
      </c>
      <c r="AB206" s="197">
        <v>16627939847.122486</v>
      </c>
      <c r="AC206" s="198">
        <v>504935.12625578791</v>
      </c>
      <c r="AD206" s="197">
        <v>32930.843949048562</v>
      </c>
      <c r="AE206" s="195">
        <v>0</v>
      </c>
      <c r="AF206" s="195">
        <v>0</v>
      </c>
      <c r="AK206" s="195">
        <v>406000</v>
      </c>
      <c r="AM206" s="195">
        <v>406000</v>
      </c>
    </row>
    <row r="207" spans="27:39" x14ac:dyDescent="0.25">
      <c r="AA207" s="195">
        <v>205</v>
      </c>
      <c r="AB207" s="197">
        <v>17833781237.629475</v>
      </c>
      <c r="AC207" s="198">
        <v>224407.13296160102</v>
      </c>
      <c r="AD207" s="197">
        <v>79470.652301774506</v>
      </c>
      <c r="AE207" s="195">
        <v>0</v>
      </c>
      <c r="AF207" s="195">
        <v>0</v>
      </c>
      <c r="AK207" s="195">
        <v>408000</v>
      </c>
      <c r="AM207" s="195">
        <v>408000</v>
      </c>
    </row>
    <row r="208" spans="27:39" x14ac:dyDescent="0.25">
      <c r="AA208" s="195">
        <v>206</v>
      </c>
      <c r="AB208" s="197">
        <v>18293167488.129433</v>
      </c>
      <c r="AC208" s="198">
        <v>117166.87350341678</v>
      </c>
      <c r="AD208" s="197">
        <v>156129.17662769224</v>
      </c>
      <c r="AE208" s="195">
        <v>0</v>
      </c>
      <c r="AF208" s="195">
        <v>0</v>
      </c>
      <c r="AK208" s="195">
        <v>410000</v>
      </c>
      <c r="AM208" s="195">
        <v>410000</v>
      </c>
    </row>
    <row r="209" spans="27:39" x14ac:dyDescent="0.25">
      <c r="AA209" s="195">
        <v>207</v>
      </c>
      <c r="AB209" s="197">
        <v>17284101427.02861</v>
      </c>
      <c r="AC209" s="198">
        <v>352458.62300150841</v>
      </c>
      <c r="AD209" s="197">
        <v>49038.668084890749</v>
      </c>
      <c r="AE209" s="195">
        <v>0</v>
      </c>
      <c r="AF209" s="195">
        <v>0</v>
      </c>
      <c r="AK209" s="195">
        <v>412000</v>
      </c>
      <c r="AM209" s="195">
        <v>412000</v>
      </c>
    </row>
    <row r="210" spans="27:39" x14ac:dyDescent="0.25">
      <c r="AA210" s="195">
        <v>208</v>
      </c>
      <c r="AB210" s="197">
        <v>19208351450.455379</v>
      </c>
      <c r="AC210" s="198">
        <v>-97082.565726213157</v>
      </c>
      <c r="AD210" s="197">
        <v>-197855.82825062229</v>
      </c>
      <c r="AE210" s="195">
        <v>0</v>
      </c>
      <c r="AF210" s="195">
        <v>0</v>
      </c>
      <c r="AK210" s="195">
        <v>414000</v>
      </c>
      <c r="AM210" s="195">
        <v>414000</v>
      </c>
    </row>
    <row r="211" spans="27:39" x14ac:dyDescent="0.25">
      <c r="AA211" s="195">
        <v>209</v>
      </c>
      <c r="AB211" s="197">
        <v>17652947228.959351</v>
      </c>
      <c r="AC211" s="198">
        <v>266565.70026069134</v>
      </c>
      <c r="AD211" s="197">
        <v>66223.625964238556</v>
      </c>
      <c r="AE211" s="195">
        <v>0</v>
      </c>
      <c r="AF211" s="195">
        <v>0</v>
      </c>
      <c r="AK211" s="195">
        <v>416000</v>
      </c>
      <c r="AM211" s="195">
        <v>416000</v>
      </c>
    </row>
    <row r="212" spans="27:39" x14ac:dyDescent="0.25">
      <c r="AA212" s="195">
        <v>210</v>
      </c>
      <c r="AB212" s="197">
        <v>16897474447.791346</v>
      </c>
      <c r="AC212" s="198">
        <v>442351.7264181301</v>
      </c>
      <c r="AD212" s="197">
        <v>38199.182773888664</v>
      </c>
      <c r="AE212" s="195">
        <v>0</v>
      </c>
      <c r="AF212" s="195">
        <v>0</v>
      </c>
      <c r="AK212" s="195">
        <v>418000</v>
      </c>
      <c r="AM212" s="195">
        <v>418000</v>
      </c>
    </row>
    <row r="213" spans="27:39" x14ac:dyDescent="0.25">
      <c r="AA213" s="195">
        <v>211</v>
      </c>
      <c r="AB213" s="197">
        <v>14909887168.499413</v>
      </c>
      <c r="AC213" s="198">
        <v>902211.97042836994</v>
      </c>
      <c r="AD213" s="197">
        <v>16525.92479062343</v>
      </c>
      <c r="AE213" s="195">
        <v>0</v>
      </c>
      <c r="AF213" s="195">
        <v>0</v>
      </c>
      <c r="AK213" s="195">
        <v>420000</v>
      </c>
      <c r="AM213" s="195">
        <v>420000</v>
      </c>
    </row>
    <row r="214" spans="27:39" x14ac:dyDescent="0.25">
      <c r="AA214" s="195">
        <v>212</v>
      </c>
      <c r="AB214" s="197">
        <v>17022177047.380114</v>
      </c>
      <c r="AC214" s="198">
        <v>413373.32623090595</v>
      </c>
      <c r="AD214" s="197">
        <v>41178.702076852693</v>
      </c>
      <c r="AE214" s="195">
        <v>0</v>
      </c>
      <c r="AF214" s="195">
        <v>0</v>
      </c>
      <c r="AK214" s="195">
        <v>422000</v>
      </c>
      <c r="AM214" s="195">
        <v>422000</v>
      </c>
    </row>
    <row r="215" spans="27:39" x14ac:dyDescent="0.25">
      <c r="AA215" s="195">
        <v>213</v>
      </c>
      <c r="AB215" s="197">
        <v>17026683384.96884</v>
      </c>
      <c r="AC215" s="198">
        <v>412325.86320565641</v>
      </c>
      <c r="AD215" s="197">
        <v>41294.240561563842</v>
      </c>
      <c r="AE215" s="195">
        <v>0</v>
      </c>
      <c r="AF215" s="195">
        <v>0</v>
      </c>
      <c r="AK215" s="195">
        <v>424000</v>
      </c>
      <c r="AM215" s="195">
        <v>424000</v>
      </c>
    </row>
    <row r="216" spans="27:39" x14ac:dyDescent="0.25">
      <c r="AA216" s="195">
        <v>214</v>
      </c>
      <c r="AB216" s="197">
        <v>15308619310.153063</v>
      </c>
      <c r="AC216" s="198">
        <v>810262.64710453898</v>
      </c>
      <c r="AD216" s="197">
        <v>18893.403718977021</v>
      </c>
      <c r="AE216" s="195">
        <v>0</v>
      </c>
      <c r="AF216" s="195">
        <v>0</v>
      </c>
      <c r="AK216" s="195">
        <v>426000</v>
      </c>
      <c r="AM216" s="195">
        <v>426000</v>
      </c>
    </row>
    <row r="217" spans="27:39" x14ac:dyDescent="0.25">
      <c r="AA217" s="195">
        <v>215</v>
      </c>
      <c r="AB217" s="197">
        <v>15645223513.888426</v>
      </c>
      <c r="AC217" s="198">
        <v>732521.71556976438</v>
      </c>
      <c r="AD217" s="197">
        <v>21358.033736541693</v>
      </c>
      <c r="AE217" s="195">
        <v>0</v>
      </c>
      <c r="AF217" s="195">
        <v>0</v>
      </c>
      <c r="AK217" s="195">
        <v>428000</v>
      </c>
      <c r="AM217" s="195">
        <v>428000</v>
      </c>
    </row>
    <row r="218" spans="27:39" x14ac:dyDescent="0.25">
      <c r="AA218" s="195">
        <v>216</v>
      </c>
      <c r="AB218" s="197">
        <v>18107653147.047047</v>
      </c>
      <c r="AC218" s="198">
        <v>160498.28107630461</v>
      </c>
      <c r="AD218" s="197">
        <v>112821.47712496838</v>
      </c>
      <c r="AE218" s="195">
        <v>0</v>
      </c>
      <c r="AF218" s="195">
        <v>0</v>
      </c>
      <c r="AK218" s="195">
        <v>430000</v>
      </c>
      <c r="AM218" s="195">
        <v>430000</v>
      </c>
    </row>
    <row r="219" spans="27:39" x14ac:dyDescent="0.25">
      <c r="AA219" s="195">
        <v>217</v>
      </c>
      <c r="AB219" s="197">
        <v>16804062043.377867</v>
      </c>
      <c r="AC219" s="198">
        <v>464049.11455768347</v>
      </c>
      <c r="AD219" s="197">
        <v>36211.817922322625</v>
      </c>
      <c r="AE219" s="195">
        <v>0</v>
      </c>
      <c r="AF219" s="195">
        <v>0</v>
      </c>
      <c r="AK219" s="195">
        <v>432000</v>
      </c>
      <c r="AM219" s="195">
        <v>432000</v>
      </c>
    </row>
    <row r="220" spans="27:39" x14ac:dyDescent="0.25">
      <c r="AA220" s="195">
        <v>218</v>
      </c>
      <c r="AB220" s="197">
        <v>17245672184.275505</v>
      </c>
      <c r="AC220" s="198">
        <v>361400.08890847117</v>
      </c>
      <c r="AD220" s="197">
        <v>47719.059052703153</v>
      </c>
      <c r="AE220" s="195">
        <v>0</v>
      </c>
      <c r="AF220" s="195">
        <v>0</v>
      </c>
      <c r="AK220" s="195">
        <v>434000</v>
      </c>
      <c r="AM220" s="195">
        <v>434000</v>
      </c>
    </row>
    <row r="221" spans="27:39" x14ac:dyDescent="0.25">
      <c r="AA221" s="195">
        <v>219</v>
      </c>
      <c r="AB221" s="197">
        <v>18070019034.979549</v>
      </c>
      <c r="AC221" s="198">
        <v>169284.60021577775</v>
      </c>
      <c r="AD221" s="197">
        <v>106743.43095560194</v>
      </c>
      <c r="AE221" s="195">
        <v>0</v>
      </c>
      <c r="AF221" s="195">
        <v>0</v>
      </c>
      <c r="AK221" s="195">
        <v>436000</v>
      </c>
      <c r="AM221" s="195">
        <v>436000</v>
      </c>
    </row>
    <row r="222" spans="27:39" x14ac:dyDescent="0.25">
      <c r="AA222" s="195">
        <v>220</v>
      </c>
      <c r="AB222" s="197">
        <v>18177251967.370148</v>
      </c>
      <c r="AC222" s="198">
        <v>144245.66428486258</v>
      </c>
      <c r="AD222" s="197">
        <v>126015.93300907072</v>
      </c>
      <c r="AE222" s="195">
        <v>0</v>
      </c>
      <c r="AF222" s="195">
        <v>0</v>
      </c>
      <c r="AK222" s="195">
        <v>438000</v>
      </c>
      <c r="AM222" s="195">
        <v>438000</v>
      </c>
    </row>
    <row r="223" spans="27:39" x14ac:dyDescent="0.25">
      <c r="AA223" s="195">
        <v>221</v>
      </c>
      <c r="AB223" s="197">
        <v>16057970469.506557</v>
      </c>
      <c r="AC223" s="198">
        <v>637046.83174178749</v>
      </c>
      <c r="AD223" s="197">
        <v>25206.891659128905</v>
      </c>
      <c r="AE223" s="195">
        <v>0</v>
      </c>
      <c r="AF223" s="195">
        <v>0</v>
      </c>
      <c r="AK223" s="195">
        <v>440000</v>
      </c>
      <c r="AM223" s="195">
        <v>440000</v>
      </c>
    </row>
    <row r="224" spans="27:39" x14ac:dyDescent="0.25">
      <c r="AA224" s="195">
        <v>222</v>
      </c>
      <c r="AB224" s="197">
        <v>16801806570.603035</v>
      </c>
      <c r="AC224" s="198">
        <v>464572.90131902695</v>
      </c>
      <c r="AD224" s="197">
        <v>36166.135654703336</v>
      </c>
      <c r="AE224" s="195">
        <v>0</v>
      </c>
      <c r="AF224" s="195">
        <v>0</v>
      </c>
      <c r="AK224" s="195">
        <v>442000</v>
      </c>
      <c r="AM224" s="195">
        <v>442000</v>
      </c>
    </row>
    <row r="225" spans="27:39" x14ac:dyDescent="0.25">
      <c r="AA225" s="195">
        <v>223</v>
      </c>
      <c r="AB225" s="197">
        <v>17300120453.217033</v>
      </c>
      <c r="AC225" s="198">
        <v>348731.00073516369</v>
      </c>
      <c r="AD225" s="197">
        <v>49608.782748727404</v>
      </c>
      <c r="AE225" s="195">
        <v>0</v>
      </c>
      <c r="AF225" s="195">
        <v>0</v>
      </c>
      <c r="AK225" s="195">
        <v>444000</v>
      </c>
      <c r="AM225" s="195">
        <v>444000</v>
      </c>
    </row>
    <row r="226" spans="27:39" x14ac:dyDescent="0.25">
      <c r="AA226" s="195">
        <v>224</v>
      </c>
      <c r="AB226" s="197">
        <v>19170356508.735615</v>
      </c>
      <c r="AC226" s="198">
        <v>-88171.66068700701</v>
      </c>
      <c r="AD226" s="197">
        <v>-217420.83975016433</v>
      </c>
      <c r="AE226" s="195">
        <v>0</v>
      </c>
      <c r="AF226" s="195">
        <v>0</v>
      </c>
      <c r="AK226" s="195">
        <v>446000</v>
      </c>
      <c r="AM226" s="195">
        <v>446000</v>
      </c>
    </row>
    <row r="227" spans="27:39" x14ac:dyDescent="0.25">
      <c r="AA227" s="195">
        <v>225</v>
      </c>
      <c r="AB227" s="197">
        <v>17531222811.452099</v>
      </c>
      <c r="AC227" s="198">
        <v>294926.07679092884</v>
      </c>
      <c r="AD227" s="197">
        <v>59442.769531294674</v>
      </c>
      <c r="AE227" s="195">
        <v>0</v>
      </c>
      <c r="AF227" s="195">
        <v>0</v>
      </c>
      <c r="AK227" s="195">
        <v>448000</v>
      </c>
      <c r="AM227" s="195">
        <v>448000</v>
      </c>
    </row>
    <row r="228" spans="27:39" x14ac:dyDescent="0.25">
      <c r="AA228" s="195">
        <v>226</v>
      </c>
      <c r="AB228" s="197">
        <v>17653617904.568489</v>
      </c>
      <c r="AC228" s="198">
        <v>266409.40111081302</v>
      </c>
      <c r="AD228" s="197">
        <v>66264.996021013023</v>
      </c>
      <c r="AE228" s="195">
        <v>0</v>
      </c>
      <c r="AF228" s="195">
        <v>0</v>
      </c>
      <c r="AK228" s="195">
        <v>450000</v>
      </c>
      <c r="AM228" s="195">
        <v>450000</v>
      </c>
    </row>
    <row r="229" spans="27:39" x14ac:dyDescent="0.25">
      <c r="AA229" s="195">
        <v>227</v>
      </c>
      <c r="AB229" s="197">
        <v>17428033469.741009</v>
      </c>
      <c r="AC229" s="198">
        <v>318956.82485372573</v>
      </c>
      <c r="AD229" s="197">
        <v>54640.729126061313</v>
      </c>
      <c r="AE229" s="195">
        <v>0</v>
      </c>
      <c r="AF229" s="195">
        <v>0</v>
      </c>
      <c r="AK229" s="195">
        <v>452000</v>
      </c>
      <c r="AM229" s="195">
        <v>452000</v>
      </c>
    </row>
    <row r="230" spans="27:39" x14ac:dyDescent="0.25">
      <c r="AA230" s="195">
        <v>228</v>
      </c>
      <c r="AB230" s="197">
        <v>16608807627.225557</v>
      </c>
      <c r="AC230" s="198">
        <v>509374.79411566257</v>
      </c>
      <c r="AD230" s="197">
        <v>32606.261281657044</v>
      </c>
      <c r="AE230" s="195">
        <v>0</v>
      </c>
      <c r="AF230" s="195">
        <v>0</v>
      </c>
      <c r="AK230" s="195">
        <v>454000</v>
      </c>
      <c r="AM230" s="195">
        <v>454000</v>
      </c>
    </row>
    <row r="231" spans="27:39" x14ac:dyDescent="0.25">
      <c r="AA231" s="195">
        <v>229</v>
      </c>
      <c r="AB231" s="197">
        <v>16915282503.754309</v>
      </c>
      <c r="AC231" s="198">
        <v>438214.40404325724</v>
      </c>
      <c r="AD231" s="197">
        <v>38600.471248052723</v>
      </c>
      <c r="AE231" s="195">
        <v>0</v>
      </c>
      <c r="AF231" s="195">
        <v>0</v>
      </c>
      <c r="AK231" s="195">
        <v>456000</v>
      </c>
      <c r="AM231" s="195">
        <v>456000</v>
      </c>
    </row>
    <row r="232" spans="27:39" x14ac:dyDescent="0.25">
      <c r="AA232" s="195">
        <v>230</v>
      </c>
      <c r="AB232" s="197">
        <v>17722342926.549675</v>
      </c>
      <c r="AC232" s="198">
        <v>250390.92306470126</v>
      </c>
      <c r="AD232" s="197">
        <v>70778.695607788482</v>
      </c>
      <c r="AE232" s="195">
        <v>0</v>
      </c>
      <c r="AF232" s="195">
        <v>0</v>
      </c>
      <c r="AK232" s="195">
        <v>458000</v>
      </c>
      <c r="AM232" s="195">
        <v>458000</v>
      </c>
    </row>
    <row r="233" spans="27:39" x14ac:dyDescent="0.25">
      <c r="AA233" s="195">
        <v>231</v>
      </c>
      <c r="AB233" s="197">
        <v>17234171841.398872</v>
      </c>
      <c r="AC233" s="198">
        <v>364075.63756745309</v>
      </c>
      <c r="AD233" s="197">
        <v>47336.789565343715</v>
      </c>
      <c r="AE233" s="195">
        <v>0</v>
      </c>
      <c r="AF233" s="195">
        <v>0</v>
      </c>
      <c r="AK233" s="195">
        <v>460000</v>
      </c>
      <c r="AM233" s="195">
        <v>460000</v>
      </c>
    </row>
    <row r="234" spans="27:39" x14ac:dyDescent="0.25">
      <c r="AA234" s="195">
        <v>232</v>
      </c>
      <c r="AB234" s="197">
        <v>16624914089.514246</v>
      </c>
      <c r="AC234" s="198">
        <v>505637.28245113045</v>
      </c>
      <c r="AD234" s="197">
        <v>32879.130290636815</v>
      </c>
      <c r="AE234" s="195">
        <v>0</v>
      </c>
      <c r="AF234" s="195">
        <v>0</v>
      </c>
      <c r="AK234" s="195">
        <v>462000</v>
      </c>
      <c r="AM234" s="195">
        <v>462000</v>
      </c>
    </row>
    <row r="235" spans="27:39" x14ac:dyDescent="0.25">
      <c r="AA235" s="195">
        <v>233</v>
      </c>
      <c r="AB235" s="197">
        <v>18098871688.549541</v>
      </c>
      <c r="AC235" s="198">
        <v>162548.58298293501</v>
      </c>
      <c r="AD235" s="197">
        <v>111344.38305407825</v>
      </c>
      <c r="AE235" s="195">
        <v>0</v>
      </c>
      <c r="AF235" s="195">
        <v>0</v>
      </c>
      <c r="AK235" s="195">
        <v>464000</v>
      </c>
      <c r="AM235" s="195">
        <v>464000</v>
      </c>
    </row>
    <row r="236" spans="27:39" x14ac:dyDescent="0.25">
      <c r="AA236" s="195">
        <v>234</v>
      </c>
      <c r="AB236" s="197">
        <v>17514659138.044331</v>
      </c>
      <c r="AC236" s="198">
        <v>298784.1178856194</v>
      </c>
      <c r="AD236" s="197">
        <v>58619.779598691042</v>
      </c>
      <c r="AE236" s="195">
        <v>0</v>
      </c>
      <c r="AF236" s="195">
        <v>0</v>
      </c>
      <c r="AK236" s="195">
        <v>466000</v>
      </c>
      <c r="AM236" s="195">
        <v>466000</v>
      </c>
    </row>
    <row r="237" spans="27:39" x14ac:dyDescent="0.25">
      <c r="AA237" s="195">
        <v>235</v>
      </c>
      <c r="AB237" s="197">
        <v>17404015248.222511</v>
      </c>
      <c r="AC237" s="198">
        <v>324548.72123996913</v>
      </c>
      <c r="AD237" s="197">
        <v>53625.277529145154</v>
      </c>
      <c r="AE237" s="195">
        <v>0</v>
      </c>
      <c r="AF237" s="195">
        <v>0</v>
      </c>
      <c r="AK237" s="195">
        <v>468000</v>
      </c>
      <c r="AM237" s="195">
        <v>468000</v>
      </c>
    </row>
    <row r="238" spans="27:39" x14ac:dyDescent="0.25">
      <c r="AA238" s="195">
        <v>236</v>
      </c>
      <c r="AB238" s="197">
        <v>16810765303.611843</v>
      </c>
      <c r="AC238" s="198">
        <v>462492.39256914705</v>
      </c>
      <c r="AD238" s="197">
        <v>36348.19852977035</v>
      </c>
      <c r="AE238" s="195">
        <v>0</v>
      </c>
      <c r="AF238" s="195">
        <v>0</v>
      </c>
      <c r="AK238" s="195">
        <v>470000</v>
      </c>
      <c r="AM238" s="195">
        <v>470000</v>
      </c>
    </row>
    <row r="239" spans="27:39" x14ac:dyDescent="0.25">
      <c r="AA239" s="195">
        <v>237</v>
      </c>
      <c r="AB239" s="197">
        <v>17309964934.623035</v>
      </c>
      <c r="AC239" s="198">
        <v>346440.07057273388</v>
      </c>
      <c r="AD239" s="197">
        <v>49965.250572793855</v>
      </c>
      <c r="AE239" s="195">
        <v>0</v>
      </c>
      <c r="AF239" s="195">
        <v>0</v>
      </c>
      <c r="AK239" s="195">
        <v>472000</v>
      </c>
      <c r="AM239" s="195">
        <v>472000</v>
      </c>
    </row>
    <row r="240" spans="27:39" x14ac:dyDescent="0.25">
      <c r="AA240" s="195">
        <v>238</v>
      </c>
      <c r="AB240" s="197">
        <v>17404081200.390671</v>
      </c>
      <c r="AC240" s="198">
        <v>324533.36708758026</v>
      </c>
      <c r="AD240" s="197">
        <v>53628.017841672088</v>
      </c>
      <c r="AE240" s="195">
        <v>0</v>
      </c>
      <c r="AF240" s="195">
        <v>0</v>
      </c>
      <c r="AK240" s="195">
        <v>474000</v>
      </c>
      <c r="AM240" s="195">
        <v>474000</v>
      </c>
    </row>
    <row r="241" spans="27:39" x14ac:dyDescent="0.25">
      <c r="AA241" s="195">
        <v>239</v>
      </c>
      <c r="AB241" s="197">
        <v>16726348303.360109</v>
      </c>
      <c r="AC241" s="198">
        <v>482093.70039088279</v>
      </c>
      <c r="AD241" s="197">
        <v>34695.222712510753</v>
      </c>
      <c r="AE241" s="195">
        <v>0</v>
      </c>
      <c r="AF241" s="195">
        <v>0</v>
      </c>
      <c r="AK241" s="195">
        <v>476000</v>
      </c>
      <c r="AM241" s="195">
        <v>476000</v>
      </c>
    </row>
    <row r="242" spans="27:39" x14ac:dyDescent="0.25">
      <c r="AA242" s="195">
        <v>240</v>
      </c>
      <c r="AB242" s="197">
        <v>16246215221.515924</v>
      </c>
      <c r="AC242" s="198">
        <v>593448.57319674641</v>
      </c>
      <c r="AD242" s="197">
        <v>27375.944530461962</v>
      </c>
      <c r="AE242" s="195">
        <v>0</v>
      </c>
      <c r="AF242" s="195">
        <v>0</v>
      </c>
      <c r="AK242" s="195">
        <v>478000</v>
      </c>
      <c r="AM242" s="195">
        <v>478000</v>
      </c>
    </row>
    <row r="243" spans="27:39" x14ac:dyDescent="0.25">
      <c r="AA243" s="195">
        <v>241</v>
      </c>
      <c r="AB243" s="197">
        <v>18002723954.831215</v>
      </c>
      <c r="AC243" s="198">
        <v>184992.37092996389</v>
      </c>
      <c r="AD243" s="197">
        <v>97316.03451715775</v>
      </c>
      <c r="AE243" s="195">
        <v>0</v>
      </c>
      <c r="AF243" s="195">
        <v>0</v>
      </c>
      <c r="AK243" s="195">
        <v>480000</v>
      </c>
      <c r="AM243" s="195">
        <v>480000</v>
      </c>
    </row>
    <row r="244" spans="27:39" x14ac:dyDescent="0.25">
      <c r="AA244" s="195">
        <v>242</v>
      </c>
      <c r="AB244" s="197">
        <v>16597683474.9196</v>
      </c>
      <c r="AC244" s="198">
        <v>511956.01303561032</v>
      </c>
      <c r="AD244" s="197">
        <v>32420.135816951733</v>
      </c>
      <c r="AE244" s="195">
        <v>0</v>
      </c>
      <c r="AF244" s="195">
        <v>0</v>
      </c>
      <c r="AK244" s="195">
        <v>482000</v>
      </c>
      <c r="AM244" s="195">
        <v>482000</v>
      </c>
    </row>
    <row r="245" spans="27:39" x14ac:dyDescent="0.25">
      <c r="AA245" s="195">
        <v>243</v>
      </c>
      <c r="AB245" s="197">
        <v>17327817095.924763</v>
      </c>
      <c r="AC245" s="198">
        <v>342285.41834847629</v>
      </c>
      <c r="AD245" s="197">
        <v>50623.883364740766</v>
      </c>
      <c r="AE245" s="195">
        <v>0</v>
      </c>
      <c r="AF245" s="195">
        <v>0</v>
      </c>
      <c r="AK245" s="195">
        <v>484000</v>
      </c>
      <c r="AM245" s="195">
        <v>484000</v>
      </c>
    </row>
    <row r="246" spans="27:39" x14ac:dyDescent="0.25">
      <c r="AA246" s="195">
        <v>244</v>
      </c>
      <c r="AB246" s="197">
        <v>16804318212.61599</v>
      </c>
      <c r="AC246" s="198">
        <v>463989.62425722927</v>
      </c>
      <c r="AD246" s="197">
        <v>36217.012911693717</v>
      </c>
      <c r="AE246" s="195">
        <v>0</v>
      </c>
      <c r="AF246" s="195">
        <v>0</v>
      </c>
      <c r="AK246" s="195">
        <v>486000</v>
      </c>
      <c r="AM246" s="195">
        <v>486000</v>
      </c>
    </row>
    <row r="247" spans="27:39" x14ac:dyDescent="0.25">
      <c r="AA247" s="195">
        <v>245</v>
      </c>
      <c r="AB247" s="197">
        <v>16844596675.812407</v>
      </c>
      <c r="AC247" s="198">
        <v>454634.9534856081</v>
      </c>
      <c r="AD247" s="197">
        <v>37050.817467217988</v>
      </c>
      <c r="AE247" s="195">
        <v>0</v>
      </c>
      <c r="AF247" s="195">
        <v>0</v>
      </c>
      <c r="AK247" s="195">
        <v>488000</v>
      </c>
      <c r="AM247" s="195">
        <v>488000</v>
      </c>
    </row>
    <row r="248" spans="27:39" x14ac:dyDescent="0.25">
      <c r="AA248" s="195">
        <v>246</v>
      </c>
      <c r="AB248" s="197">
        <v>16587780577.662975</v>
      </c>
      <c r="AC248" s="198">
        <v>514253.75513024628</v>
      </c>
      <c r="AD248" s="197">
        <v>32256.022269515073</v>
      </c>
      <c r="AE248" s="195">
        <v>0</v>
      </c>
      <c r="AF248" s="195">
        <v>0</v>
      </c>
      <c r="AK248" s="195">
        <v>490000</v>
      </c>
      <c r="AM248" s="195">
        <v>490000</v>
      </c>
    </row>
    <row r="249" spans="27:39" x14ac:dyDescent="0.25">
      <c r="AA249" s="195">
        <v>247</v>
      </c>
      <c r="AB249" s="197">
        <v>17162499633.255013</v>
      </c>
      <c r="AC249" s="198">
        <v>380747.27138128877</v>
      </c>
      <c r="AD249" s="197">
        <v>45075.830933711681</v>
      </c>
      <c r="AE249" s="195">
        <v>0</v>
      </c>
      <c r="AF249" s="195">
        <v>1</v>
      </c>
      <c r="AK249" s="195">
        <v>492000</v>
      </c>
      <c r="AM249" s="195">
        <v>492000</v>
      </c>
    </row>
    <row r="250" spans="27:39" x14ac:dyDescent="0.25">
      <c r="AA250" s="195">
        <v>248</v>
      </c>
      <c r="AB250" s="197">
        <v>17299281029.07428</v>
      </c>
      <c r="AC250" s="198">
        <v>348926.34059447795</v>
      </c>
      <c r="AD250" s="197">
        <v>49578.604468785285</v>
      </c>
      <c r="AE250" s="195">
        <v>0</v>
      </c>
      <c r="AF250" s="195">
        <v>0</v>
      </c>
      <c r="AK250" s="195">
        <v>494000</v>
      </c>
      <c r="AM250" s="195">
        <v>494000</v>
      </c>
    </row>
    <row r="251" spans="27:39" x14ac:dyDescent="0.25">
      <c r="AA251" s="195">
        <v>249</v>
      </c>
      <c r="AB251" s="197">
        <v>17252376150.217678</v>
      </c>
      <c r="AC251" s="198">
        <v>359840.35608895868</v>
      </c>
      <c r="AD251" s="197">
        <v>47944.528339541204</v>
      </c>
      <c r="AE251" s="195">
        <v>0</v>
      </c>
      <c r="AF251" s="195">
        <v>0</v>
      </c>
      <c r="AK251" s="195">
        <v>496000</v>
      </c>
      <c r="AM251" s="195">
        <v>496000</v>
      </c>
    </row>
    <row r="252" spans="27:39" x14ac:dyDescent="0.25">
      <c r="AA252" s="195">
        <v>250</v>
      </c>
      <c r="AB252" s="197">
        <v>16286670187.485525</v>
      </c>
      <c r="AC252" s="198">
        <v>584074.59598239511</v>
      </c>
      <c r="AD252" s="197">
        <v>27884.572106910175</v>
      </c>
      <c r="AE252" s="195">
        <v>0</v>
      </c>
      <c r="AF252" s="195">
        <v>0</v>
      </c>
      <c r="AK252" s="195">
        <v>498000</v>
      </c>
      <c r="AM252" s="195">
        <v>498000</v>
      </c>
    </row>
    <row r="253" spans="27:39" x14ac:dyDescent="0.25">
      <c r="AA253" s="195">
        <v>251</v>
      </c>
      <c r="AB253" s="197">
        <v>16483705716.350721</v>
      </c>
      <c r="AC253" s="198">
        <v>538396.26191240549</v>
      </c>
      <c r="AD253" s="197">
        <v>30616.307880370354</v>
      </c>
      <c r="AE253" s="195">
        <v>0</v>
      </c>
      <c r="AF253" s="195">
        <v>0</v>
      </c>
      <c r="AK253" s="195">
        <v>500000</v>
      </c>
      <c r="AM253" s="195">
        <v>500000</v>
      </c>
    </row>
    <row r="254" spans="27:39" x14ac:dyDescent="0.25">
      <c r="AA254" s="195">
        <v>252</v>
      </c>
      <c r="AB254" s="197">
        <v>17357898185.622437</v>
      </c>
      <c r="AC254" s="198">
        <v>335284.08957509696</v>
      </c>
      <c r="AD254" s="197">
        <v>51770.718400685138</v>
      </c>
      <c r="AE254" s="195">
        <v>0</v>
      </c>
      <c r="AF254" s="195">
        <v>0</v>
      </c>
    </row>
    <row r="255" spans="27:39" x14ac:dyDescent="0.25">
      <c r="AA255" s="195">
        <v>253</v>
      </c>
      <c r="AB255" s="197">
        <v>16940494062.577751</v>
      </c>
      <c r="AC255" s="198">
        <v>432356.51415498555</v>
      </c>
      <c r="AD255" s="197">
        <v>39181.771311314493</v>
      </c>
      <c r="AE255" s="195">
        <v>0</v>
      </c>
      <c r="AF255" s="195">
        <v>0</v>
      </c>
    </row>
    <row r="256" spans="27:39" x14ac:dyDescent="0.25">
      <c r="AA256" s="195">
        <v>254</v>
      </c>
      <c r="AB256" s="197">
        <v>17164367802.700275</v>
      </c>
      <c r="AC256" s="198">
        <v>380312.7802124992</v>
      </c>
      <c r="AD256" s="197">
        <v>45132.240344670274</v>
      </c>
      <c r="AE256" s="195">
        <v>0</v>
      </c>
      <c r="AF256" s="195">
        <v>1</v>
      </c>
    </row>
    <row r="257" spans="27:32" x14ac:dyDescent="0.25">
      <c r="AA257" s="195">
        <v>255</v>
      </c>
      <c r="AB257" s="197">
        <v>16753250068.483864</v>
      </c>
      <c r="AC257" s="198">
        <v>475847.95592362434</v>
      </c>
      <c r="AD257" s="197">
        <v>35207.14938444084</v>
      </c>
      <c r="AE257" s="195">
        <v>0</v>
      </c>
      <c r="AF257" s="195">
        <v>0</v>
      </c>
    </row>
    <row r="258" spans="27:32" x14ac:dyDescent="0.25">
      <c r="AA258" s="195">
        <v>256</v>
      </c>
      <c r="AB258" s="197">
        <v>19659552254.503876</v>
      </c>
      <c r="AC258" s="198">
        <v>-203008.75004746765</v>
      </c>
      <c r="AD258" s="197">
        <v>-96840.910797722099</v>
      </c>
      <c r="AE258" s="195">
        <v>0</v>
      </c>
      <c r="AF258" s="195">
        <v>0</v>
      </c>
    </row>
    <row r="259" spans="27:32" x14ac:dyDescent="0.25">
      <c r="AA259" s="195">
        <v>257</v>
      </c>
      <c r="AB259" s="197">
        <v>17299546380.297897</v>
      </c>
      <c r="AC259" s="198">
        <v>348864.59158520401</v>
      </c>
      <c r="AD259" s="197">
        <v>49588.140492248232</v>
      </c>
      <c r="AE259" s="195">
        <v>0</v>
      </c>
      <c r="AF259" s="195">
        <v>0</v>
      </c>
    </row>
    <row r="260" spans="27:32" x14ac:dyDescent="0.25">
      <c r="AA260" s="195">
        <v>258</v>
      </c>
      <c r="AB260" s="197">
        <v>16058331693.19104</v>
      </c>
      <c r="AC260" s="198">
        <v>636963.20342108607</v>
      </c>
      <c r="AD260" s="197">
        <v>25210.768231104768</v>
      </c>
      <c r="AE260" s="195">
        <v>0</v>
      </c>
      <c r="AF260" s="195">
        <v>0</v>
      </c>
    </row>
    <row r="261" spans="27:32" x14ac:dyDescent="0.25">
      <c r="AA261" s="195">
        <v>259</v>
      </c>
      <c r="AB261" s="197">
        <v>18059689188.667629</v>
      </c>
      <c r="AC261" s="198">
        <v>171696.03857314587</v>
      </c>
      <c r="AD261" s="197">
        <v>105184.07610769568</v>
      </c>
      <c r="AE261" s="195">
        <v>0</v>
      </c>
      <c r="AF261" s="195">
        <v>0</v>
      </c>
    </row>
    <row r="262" spans="27:32" x14ac:dyDescent="0.25">
      <c r="AA262" s="195">
        <v>260</v>
      </c>
      <c r="AB262" s="197">
        <v>18210531635.743908</v>
      </c>
      <c r="AC262" s="198">
        <v>136472.59372615069</v>
      </c>
      <c r="AD262" s="197">
        <v>133437.27951918036</v>
      </c>
      <c r="AE262" s="195">
        <v>0</v>
      </c>
      <c r="AF262" s="195">
        <v>0</v>
      </c>
    </row>
    <row r="263" spans="27:32" x14ac:dyDescent="0.25">
      <c r="AA263" s="195">
        <v>261</v>
      </c>
      <c r="AB263" s="197">
        <v>17448977841.328056</v>
      </c>
      <c r="AC263" s="198">
        <v>314080.12572173029</v>
      </c>
      <c r="AD263" s="197">
        <v>55555.816533222984</v>
      </c>
      <c r="AE263" s="195">
        <v>0</v>
      </c>
      <c r="AF263" s="195">
        <v>0</v>
      </c>
    </row>
    <row r="264" spans="27:32" x14ac:dyDescent="0.25">
      <c r="AA264" s="195">
        <v>262</v>
      </c>
      <c r="AB264" s="197">
        <v>18342777260.693314</v>
      </c>
      <c r="AC264" s="198">
        <v>105573.67619817704</v>
      </c>
      <c r="AD264" s="197">
        <v>173743.85283563746</v>
      </c>
      <c r="AE264" s="195">
        <v>0</v>
      </c>
      <c r="AF264" s="195">
        <v>0</v>
      </c>
    </row>
    <row r="265" spans="27:32" x14ac:dyDescent="0.25">
      <c r="AA265" s="195">
        <v>263</v>
      </c>
      <c r="AB265" s="197">
        <v>16810125292.551168</v>
      </c>
      <c r="AC265" s="198">
        <v>462641.02648124844</v>
      </c>
      <c r="AD265" s="197">
        <v>36335.137461555212</v>
      </c>
      <c r="AE265" s="195">
        <v>0</v>
      </c>
      <c r="AF265" s="195">
        <v>0</v>
      </c>
    </row>
    <row r="266" spans="27:32" x14ac:dyDescent="0.25">
      <c r="AA266" s="195">
        <v>264</v>
      </c>
      <c r="AB266" s="197">
        <v>17391973956.373791</v>
      </c>
      <c r="AC266" s="198">
        <v>327351.95286302269</v>
      </c>
      <c r="AD266" s="197">
        <v>53129.281204109073</v>
      </c>
      <c r="AE266" s="195">
        <v>0</v>
      </c>
      <c r="AF266" s="195">
        <v>0</v>
      </c>
    </row>
    <row r="267" spans="27:32" x14ac:dyDescent="0.25">
      <c r="AA267" s="195">
        <v>265</v>
      </c>
      <c r="AB267" s="197">
        <v>17355260876.442104</v>
      </c>
      <c r="AC267" s="198">
        <v>335897.95417774469</v>
      </c>
      <c r="AD267" s="197">
        <v>51668.254184300109</v>
      </c>
      <c r="AE267" s="195">
        <v>0</v>
      </c>
      <c r="AF267" s="195">
        <v>0</v>
      </c>
    </row>
    <row r="268" spans="27:32" x14ac:dyDescent="0.25">
      <c r="AA268" s="195">
        <v>266</v>
      </c>
      <c r="AB268" s="197">
        <v>17334691422.227196</v>
      </c>
      <c r="AC268" s="198">
        <v>340685.50590652972</v>
      </c>
      <c r="AD268" s="197">
        <v>50881.798966179478</v>
      </c>
      <c r="AE268" s="195">
        <v>0</v>
      </c>
      <c r="AF268" s="195">
        <v>0</v>
      </c>
    </row>
    <row r="269" spans="27:32" x14ac:dyDescent="0.25">
      <c r="AA269" s="195">
        <v>267</v>
      </c>
      <c r="AB269" s="197">
        <v>17349775534.33786</v>
      </c>
      <c r="AC269" s="198">
        <v>337174.71036507934</v>
      </c>
      <c r="AD269" s="197">
        <v>51456.337029405957</v>
      </c>
      <c r="AE269" s="195">
        <v>0</v>
      </c>
      <c r="AF269" s="195">
        <v>0</v>
      </c>
    </row>
    <row r="270" spans="27:32" x14ac:dyDescent="0.25">
      <c r="AA270" s="195">
        <v>268</v>
      </c>
      <c r="AB270" s="197">
        <v>16234574614.335062</v>
      </c>
      <c r="AC270" s="198">
        <v>596145.57237093896</v>
      </c>
      <c r="AD270" s="197">
        <v>27232.567625669526</v>
      </c>
      <c r="AE270" s="195">
        <v>0</v>
      </c>
      <c r="AF270" s="195">
        <v>0</v>
      </c>
    </row>
    <row r="271" spans="27:32" x14ac:dyDescent="0.25">
      <c r="AA271" s="195">
        <v>269</v>
      </c>
      <c r="AB271" s="197">
        <v>17961746642.595032</v>
      </c>
      <c r="AC271" s="198">
        <v>194555.00721243769</v>
      </c>
      <c r="AD271" s="197">
        <v>92322.201828413061</v>
      </c>
      <c r="AE271" s="195">
        <v>0</v>
      </c>
      <c r="AF271" s="195">
        <v>0</v>
      </c>
    </row>
    <row r="272" spans="27:32" x14ac:dyDescent="0.25">
      <c r="AA272" s="195">
        <v>270</v>
      </c>
      <c r="AB272" s="197">
        <v>17483154355.985264</v>
      </c>
      <c r="AC272" s="198">
        <v>306121.54045540839</v>
      </c>
      <c r="AD272" s="197">
        <v>57111.807061914253</v>
      </c>
      <c r="AE272" s="195">
        <v>0</v>
      </c>
      <c r="AF272" s="195">
        <v>0</v>
      </c>
    </row>
    <row r="273" spans="27:32" x14ac:dyDescent="0.25">
      <c r="AA273" s="195">
        <v>271</v>
      </c>
      <c r="AB273" s="197">
        <v>17958271300.613571</v>
      </c>
      <c r="AC273" s="198">
        <v>195365.95306800306</v>
      </c>
      <c r="AD273" s="197">
        <v>91921.192094114012</v>
      </c>
      <c r="AE273" s="195">
        <v>0</v>
      </c>
      <c r="AF273" s="195">
        <v>0</v>
      </c>
    </row>
    <row r="274" spans="27:32" x14ac:dyDescent="0.25">
      <c r="AA274" s="195">
        <v>272</v>
      </c>
      <c r="AB274" s="197">
        <v>18388371876.631439</v>
      </c>
      <c r="AC274" s="198">
        <v>94916.67908526957</v>
      </c>
      <c r="AD274" s="197">
        <v>193731.72401145659</v>
      </c>
      <c r="AE274" s="195">
        <v>0</v>
      </c>
      <c r="AF274" s="195">
        <v>0</v>
      </c>
    </row>
    <row r="275" spans="27:32" x14ac:dyDescent="0.25">
      <c r="AA275" s="195">
        <v>273</v>
      </c>
      <c r="AB275" s="197">
        <v>18268483401.096153</v>
      </c>
      <c r="AC275" s="198">
        <v>122934.35876019299</v>
      </c>
      <c r="AD275" s="197">
        <v>148603.5603498964</v>
      </c>
      <c r="AE275" s="195">
        <v>0</v>
      </c>
      <c r="AF275" s="195">
        <v>0</v>
      </c>
    </row>
    <row r="276" spans="27:32" x14ac:dyDescent="0.25">
      <c r="AA276" s="195">
        <v>274</v>
      </c>
      <c r="AB276" s="197">
        <v>15426559052.042055</v>
      </c>
      <c r="AC276" s="198">
        <v>783036.0551052317</v>
      </c>
      <c r="AD276" s="197">
        <v>19700.95623498319</v>
      </c>
      <c r="AE276" s="195">
        <v>0</v>
      </c>
      <c r="AF276" s="195">
        <v>0</v>
      </c>
    </row>
    <row r="277" spans="27:32" x14ac:dyDescent="0.25">
      <c r="AA277" s="195">
        <v>275</v>
      </c>
      <c r="AB277" s="197">
        <v>15889776582.749725</v>
      </c>
      <c r="AC277" s="198">
        <v>675972.460493505</v>
      </c>
      <c r="AD277" s="197">
        <v>23506.544291980666</v>
      </c>
      <c r="AE277" s="195">
        <v>0</v>
      </c>
      <c r="AF277" s="195">
        <v>0</v>
      </c>
    </row>
    <row r="278" spans="27:32" x14ac:dyDescent="0.25">
      <c r="AA278" s="195">
        <v>276</v>
      </c>
      <c r="AB278" s="197">
        <v>18224564464.444813</v>
      </c>
      <c r="AC278" s="198">
        <v>133194.65188694745</v>
      </c>
      <c r="AD278" s="197">
        <v>136826.54826046171</v>
      </c>
      <c r="AE278" s="195">
        <v>0</v>
      </c>
      <c r="AF278" s="195">
        <v>0</v>
      </c>
    </row>
    <row r="279" spans="27:32" x14ac:dyDescent="0.25">
      <c r="AA279" s="195">
        <v>277</v>
      </c>
      <c r="AB279" s="197">
        <v>16149810619.981819</v>
      </c>
      <c r="AC279" s="198">
        <v>615780.52450049669</v>
      </c>
      <c r="AD279" s="197">
        <v>26226.569333419691</v>
      </c>
      <c r="AE279" s="195">
        <v>0</v>
      </c>
      <c r="AF279" s="195">
        <v>0</v>
      </c>
    </row>
    <row r="280" spans="27:32" x14ac:dyDescent="0.25">
      <c r="AA280" s="195">
        <v>278</v>
      </c>
      <c r="AB280" s="197">
        <v>17482989647.487442</v>
      </c>
      <c r="AC280" s="198">
        <v>306159.89833882451</v>
      </c>
      <c r="AD280" s="197">
        <v>57104.113707730488</v>
      </c>
      <c r="AE280" s="195">
        <v>0</v>
      </c>
      <c r="AF280" s="195">
        <v>0</v>
      </c>
    </row>
    <row r="281" spans="27:32" x14ac:dyDescent="0.25">
      <c r="AA281" s="195">
        <v>279</v>
      </c>
      <c r="AB281" s="197">
        <v>16341339806.731707</v>
      </c>
      <c r="AC281" s="198">
        <v>571404.38969590515</v>
      </c>
      <c r="AD281" s="197">
        <v>28598.55489634649</v>
      </c>
      <c r="AE281" s="195">
        <v>0</v>
      </c>
      <c r="AF281" s="195">
        <v>0</v>
      </c>
    </row>
    <row r="282" spans="27:32" x14ac:dyDescent="0.25">
      <c r="AA282" s="195">
        <v>280</v>
      </c>
      <c r="AB282" s="197">
        <v>15653361903.095327</v>
      </c>
      <c r="AC282" s="198">
        <v>730640.75685037673</v>
      </c>
      <c r="AD282" s="197">
        <v>21424.15647680722</v>
      </c>
      <c r="AE282" s="195">
        <v>0</v>
      </c>
      <c r="AF282" s="195">
        <v>0</v>
      </c>
    </row>
    <row r="283" spans="27:32" x14ac:dyDescent="0.25">
      <c r="AA283" s="195">
        <v>281</v>
      </c>
      <c r="AB283" s="197">
        <v>18426143030.277641</v>
      </c>
      <c r="AC283" s="198">
        <v>86086.770289167762</v>
      </c>
      <c r="AD283" s="197">
        <v>214041.5184398687</v>
      </c>
      <c r="AE283" s="195">
        <v>0</v>
      </c>
      <c r="AF283" s="195">
        <v>0</v>
      </c>
    </row>
    <row r="284" spans="27:32" x14ac:dyDescent="0.25">
      <c r="AA284" s="195">
        <v>282</v>
      </c>
      <c r="AB284" s="197">
        <v>18396243499.368034</v>
      </c>
      <c r="AC284" s="198">
        <v>93076.61285481602</v>
      </c>
      <c r="AD284" s="197">
        <v>197646.250063516</v>
      </c>
      <c r="AE284" s="195">
        <v>0</v>
      </c>
      <c r="AF284" s="195">
        <v>0</v>
      </c>
    </row>
    <row r="285" spans="27:32" x14ac:dyDescent="0.25">
      <c r="AA285" s="195">
        <v>283</v>
      </c>
      <c r="AB285" s="197">
        <v>16033641586.004879</v>
      </c>
      <c r="AC285" s="198">
        <v>642679.01934634894</v>
      </c>
      <c r="AD285" s="197">
        <v>24948.132898927139</v>
      </c>
      <c r="AE285" s="195">
        <v>0</v>
      </c>
      <c r="AF285" s="195">
        <v>0</v>
      </c>
    </row>
    <row r="286" spans="27:32" x14ac:dyDescent="0.25">
      <c r="AA286" s="195">
        <v>284</v>
      </c>
      <c r="AB286" s="197">
        <v>17226877203.858608</v>
      </c>
      <c r="AC286" s="198">
        <v>365772.66516539454</v>
      </c>
      <c r="AD286" s="197">
        <v>47097.224162633873</v>
      </c>
      <c r="AE286" s="195">
        <v>0</v>
      </c>
      <c r="AF286" s="195">
        <v>0</v>
      </c>
    </row>
    <row r="287" spans="27:32" x14ac:dyDescent="0.25">
      <c r="AA287" s="195">
        <v>285</v>
      </c>
      <c r="AB287" s="197">
        <v>17597297725.697708</v>
      </c>
      <c r="AC287" s="198">
        <v>279533.1587022692</v>
      </c>
      <c r="AD287" s="197">
        <v>62952.451892981298</v>
      </c>
      <c r="AE287" s="195">
        <v>0</v>
      </c>
      <c r="AF287" s="195">
        <v>0</v>
      </c>
    </row>
    <row r="288" spans="27:32" x14ac:dyDescent="0.25">
      <c r="AA288" s="195">
        <v>286</v>
      </c>
      <c r="AB288" s="197">
        <v>16792618918.557261</v>
      </c>
      <c r="AC288" s="198">
        <v>466706.49237898737</v>
      </c>
      <c r="AD288" s="197">
        <v>35981.112739526397</v>
      </c>
      <c r="AE288" s="195">
        <v>0</v>
      </c>
      <c r="AF288" s="195">
        <v>0</v>
      </c>
    </row>
    <row r="289" spans="27:32" x14ac:dyDescent="0.25">
      <c r="AA289" s="195">
        <v>287</v>
      </c>
      <c r="AB289" s="197">
        <v>17772890434.769375</v>
      </c>
      <c r="AC289" s="198">
        <v>238606.37017801404</v>
      </c>
      <c r="AD289" s="197">
        <v>74486.236144951952</v>
      </c>
      <c r="AE289" s="195">
        <v>0</v>
      </c>
      <c r="AF289" s="195">
        <v>0</v>
      </c>
    </row>
    <row r="290" spans="27:32" x14ac:dyDescent="0.25">
      <c r="AA290" s="195">
        <v>288</v>
      </c>
      <c r="AB290" s="197">
        <v>18241130128.481255</v>
      </c>
      <c r="AC290" s="198">
        <v>129324.81830203533</v>
      </c>
      <c r="AD290" s="197">
        <v>141048.95230457225</v>
      </c>
      <c r="AE290" s="195">
        <v>0</v>
      </c>
      <c r="AF290" s="195">
        <v>0</v>
      </c>
    </row>
    <row r="291" spans="27:32" x14ac:dyDescent="0.25">
      <c r="AA291" s="195">
        <v>289</v>
      </c>
      <c r="AB291" s="197">
        <v>17652733755.752636</v>
      </c>
      <c r="AC291" s="198">
        <v>266615.44952745736</v>
      </c>
      <c r="AD291" s="197">
        <v>66210.468249457801</v>
      </c>
      <c r="AE291" s="195">
        <v>0</v>
      </c>
      <c r="AF291" s="195">
        <v>0</v>
      </c>
    </row>
    <row r="292" spans="27:32" x14ac:dyDescent="0.25">
      <c r="AA292" s="195">
        <v>290</v>
      </c>
      <c r="AB292" s="197">
        <v>17399357026.807907</v>
      </c>
      <c r="AC292" s="198">
        <v>325633.17903829366</v>
      </c>
      <c r="AD292" s="197">
        <v>53432.383881133275</v>
      </c>
      <c r="AE292" s="195">
        <v>0</v>
      </c>
      <c r="AF292" s="195">
        <v>0</v>
      </c>
    </row>
    <row r="293" spans="27:32" x14ac:dyDescent="0.25">
      <c r="AA293" s="195">
        <v>291</v>
      </c>
      <c r="AB293" s="197">
        <v>17905376423.687786</v>
      </c>
      <c r="AC293" s="198">
        <v>207707.15274813026</v>
      </c>
      <c r="AD293" s="197">
        <v>86204.910070671438</v>
      </c>
      <c r="AE293" s="195">
        <v>0</v>
      </c>
      <c r="AF293" s="195">
        <v>0</v>
      </c>
    </row>
    <row r="294" spans="27:32" x14ac:dyDescent="0.25">
      <c r="AA294" s="195">
        <v>292</v>
      </c>
      <c r="AB294" s="197">
        <v>15822423987.173872</v>
      </c>
      <c r="AC294" s="198">
        <v>691552.46865698695</v>
      </c>
      <c r="AD294" s="197">
        <v>22879.571260733745</v>
      </c>
      <c r="AE294" s="195">
        <v>0</v>
      </c>
      <c r="AF294" s="195">
        <v>0</v>
      </c>
    </row>
    <row r="295" spans="27:32" x14ac:dyDescent="0.25">
      <c r="AA295" s="195">
        <v>293</v>
      </c>
      <c r="AB295" s="197">
        <v>17793630659.149666</v>
      </c>
      <c r="AC295" s="198">
        <v>233770.32051499188</v>
      </c>
      <c r="AD295" s="197">
        <v>76115.867146653225</v>
      </c>
      <c r="AE295" s="195">
        <v>0</v>
      </c>
      <c r="AF295" s="195">
        <v>0</v>
      </c>
    </row>
    <row r="296" spans="27:32" x14ac:dyDescent="0.25">
      <c r="AA296" s="195">
        <v>294</v>
      </c>
      <c r="AB296" s="197">
        <v>15929850644.40674</v>
      </c>
      <c r="AC296" s="198">
        <v>666700.46019480377</v>
      </c>
      <c r="AD296" s="197">
        <v>23893.564794828824</v>
      </c>
      <c r="AE296" s="195">
        <v>0</v>
      </c>
      <c r="AF296" s="195">
        <v>0</v>
      </c>
    </row>
    <row r="297" spans="27:32" x14ac:dyDescent="0.25">
      <c r="AA297" s="195">
        <v>295</v>
      </c>
      <c r="AB297" s="197">
        <v>18270756715.03965</v>
      </c>
      <c r="AC297" s="198">
        <v>122403.21906661242</v>
      </c>
      <c r="AD297" s="197">
        <v>149266.96253875984</v>
      </c>
      <c r="AE297" s="195">
        <v>0</v>
      </c>
      <c r="AF297" s="195">
        <v>0</v>
      </c>
    </row>
    <row r="298" spans="27:32" x14ac:dyDescent="0.25">
      <c r="AA298" s="195">
        <v>296</v>
      </c>
      <c r="AB298" s="197">
        <v>17118185803.359755</v>
      </c>
      <c r="AC298" s="198">
        <v>391052.61551237851</v>
      </c>
      <c r="AD298" s="197">
        <v>43774.635750564084</v>
      </c>
      <c r="AE298" s="195">
        <v>0</v>
      </c>
      <c r="AF298" s="195">
        <v>0</v>
      </c>
    </row>
    <row r="299" spans="27:32" x14ac:dyDescent="0.25">
      <c r="AA299" s="195">
        <v>297</v>
      </c>
      <c r="AB299" s="197">
        <v>16712135983.070602</v>
      </c>
      <c r="AC299" s="198">
        <v>485393.07375878841</v>
      </c>
      <c r="AD299" s="197">
        <v>34430.108064079104</v>
      </c>
      <c r="AE299" s="195">
        <v>0</v>
      </c>
      <c r="AF299" s="195">
        <v>0</v>
      </c>
    </row>
    <row r="300" spans="27:32" x14ac:dyDescent="0.25">
      <c r="AA300" s="195">
        <v>298</v>
      </c>
      <c r="AB300" s="197">
        <v>16262645302.854027</v>
      </c>
      <c r="AC300" s="198">
        <v>589641.68475575</v>
      </c>
      <c r="AD300" s="197">
        <v>27580.55565489841</v>
      </c>
      <c r="AE300" s="195">
        <v>0</v>
      </c>
      <c r="AF300" s="195">
        <v>0</v>
      </c>
    </row>
    <row r="301" spans="27:32" x14ac:dyDescent="0.25">
      <c r="AA301" s="195">
        <v>299</v>
      </c>
      <c r="AB301" s="197">
        <v>16423554269.921658</v>
      </c>
      <c r="AC301" s="198">
        <v>552344.99947471172</v>
      </c>
      <c r="AD301" s="197">
        <v>29734.231839775322</v>
      </c>
      <c r="AE301" s="195">
        <v>0</v>
      </c>
      <c r="AF301" s="195">
        <v>0</v>
      </c>
    </row>
    <row r="302" spans="27:32" x14ac:dyDescent="0.25">
      <c r="AA302" s="195">
        <v>300</v>
      </c>
      <c r="AB302" s="197">
        <v>17733310251.773911</v>
      </c>
      <c r="AC302" s="198">
        <v>247834.23010607809</v>
      </c>
      <c r="AD302" s="197">
        <v>71553.111304212071</v>
      </c>
      <c r="AE302" s="195">
        <v>0</v>
      </c>
      <c r="AF302" s="195">
        <v>0</v>
      </c>
    </row>
    <row r="303" spans="27:32" x14ac:dyDescent="0.25">
      <c r="AA303" s="195">
        <v>301</v>
      </c>
      <c r="AB303" s="197">
        <v>17486559924.912964</v>
      </c>
      <c r="AC303" s="198">
        <v>305328.43395841867</v>
      </c>
      <c r="AD303" s="197">
        <v>57271.311741946643</v>
      </c>
      <c r="AE303" s="195">
        <v>0</v>
      </c>
      <c r="AF303" s="195">
        <v>0</v>
      </c>
    </row>
    <row r="304" spans="27:32" x14ac:dyDescent="0.25">
      <c r="AA304" s="195">
        <v>302</v>
      </c>
      <c r="AB304" s="197">
        <v>17722193128.690712</v>
      </c>
      <c r="AC304" s="198">
        <v>250425.84300451726</v>
      </c>
      <c r="AD304" s="197">
        <v>70768.227895597156</v>
      </c>
      <c r="AE304" s="195">
        <v>0</v>
      </c>
      <c r="AF304" s="195">
        <v>0</v>
      </c>
    </row>
    <row r="305" spans="27:32" x14ac:dyDescent="0.25">
      <c r="AA305" s="195">
        <v>303</v>
      </c>
      <c r="AB305" s="197">
        <v>18125437729.498806</v>
      </c>
      <c r="AC305" s="198">
        <v>156345.69495603442</v>
      </c>
      <c r="AD305" s="197">
        <v>115931.79930279382</v>
      </c>
      <c r="AE305" s="195">
        <v>0</v>
      </c>
      <c r="AF305" s="195">
        <v>0</v>
      </c>
    </row>
    <row r="306" spans="27:32" x14ac:dyDescent="0.25">
      <c r="AA306" s="195">
        <v>304</v>
      </c>
      <c r="AB306" s="197">
        <v>17779828339.906166</v>
      </c>
      <c r="AC306" s="198">
        <v>236988.68770967424</v>
      </c>
      <c r="AD306" s="197">
        <v>75023.953724270381</v>
      </c>
      <c r="AE306" s="195">
        <v>0</v>
      </c>
      <c r="AF306" s="195">
        <v>0</v>
      </c>
    </row>
    <row r="307" spans="27:32" x14ac:dyDescent="0.25">
      <c r="AA307" s="195">
        <v>305</v>
      </c>
      <c r="AB307" s="197">
        <v>17224733812.497646</v>
      </c>
      <c r="AC307" s="198">
        <v>366271.29491789639</v>
      </c>
      <c r="AD307" s="197">
        <v>47027.25562034217</v>
      </c>
      <c r="AE307" s="195">
        <v>0</v>
      </c>
      <c r="AF307" s="195">
        <v>0</v>
      </c>
    </row>
    <row r="308" spans="27:32" x14ac:dyDescent="0.25">
      <c r="AA308" s="195">
        <v>306</v>
      </c>
      <c r="AB308" s="197">
        <v>18734477858.199688</v>
      </c>
      <c r="AC308" s="198">
        <v>13954.674563966691</v>
      </c>
      <c r="AD308" s="197">
        <v>1342523.4513583893</v>
      </c>
      <c r="AE308" s="195">
        <v>0</v>
      </c>
      <c r="AF308" s="195">
        <v>0</v>
      </c>
    </row>
    <row r="309" spans="27:32" x14ac:dyDescent="0.25">
      <c r="AA309" s="195">
        <v>307</v>
      </c>
      <c r="AB309" s="197">
        <v>14167111164.80127</v>
      </c>
      <c r="AC309" s="198">
        <v>1073093.5109935924</v>
      </c>
      <c r="AD309" s="197">
        <v>13202.121734650824</v>
      </c>
      <c r="AE309" s="195">
        <v>0</v>
      </c>
      <c r="AF309" s="195">
        <v>0</v>
      </c>
    </row>
    <row r="310" spans="27:32" x14ac:dyDescent="0.25">
      <c r="AA310" s="195">
        <v>308</v>
      </c>
      <c r="AB310" s="197">
        <v>19200430406.208824</v>
      </c>
      <c r="AC310" s="198">
        <v>-95224.73830807209</v>
      </c>
      <c r="AD310" s="197">
        <v>-201632.79781448585</v>
      </c>
      <c r="AE310" s="195">
        <v>0</v>
      </c>
      <c r="AF310" s="195">
        <v>0</v>
      </c>
    </row>
    <row r="311" spans="27:32" x14ac:dyDescent="0.25">
      <c r="AA311" s="195">
        <v>309</v>
      </c>
      <c r="AB311" s="197">
        <v>18317909763.057171</v>
      </c>
      <c r="AC311" s="198">
        <v>111385.20298679173</v>
      </c>
      <c r="AD311" s="197">
        <v>164455.50460799845</v>
      </c>
      <c r="AE311" s="195">
        <v>0</v>
      </c>
      <c r="AF311" s="195">
        <v>0</v>
      </c>
    </row>
    <row r="312" spans="27:32" x14ac:dyDescent="0.25">
      <c r="AA312" s="195">
        <v>310</v>
      </c>
      <c r="AB312" s="197">
        <v>18095778028.164196</v>
      </c>
      <c r="AC312" s="198">
        <v>163270.87556415051</v>
      </c>
      <c r="AD312" s="197">
        <v>110832.859599961</v>
      </c>
      <c r="AE312" s="195">
        <v>0</v>
      </c>
      <c r="AF312" s="195">
        <v>0</v>
      </c>
    </row>
    <row r="313" spans="27:32" x14ac:dyDescent="0.25">
      <c r="AA313" s="195">
        <v>311</v>
      </c>
      <c r="AB313" s="197">
        <v>15046928405.691965</v>
      </c>
      <c r="AC313" s="198">
        <v>870626.85256781429</v>
      </c>
      <c r="AD313" s="197">
        <v>17282.867351624605</v>
      </c>
      <c r="AE313" s="195">
        <v>0</v>
      </c>
      <c r="AF313" s="195">
        <v>0</v>
      </c>
    </row>
    <row r="314" spans="27:32" x14ac:dyDescent="0.25">
      <c r="AA314" s="195">
        <v>312</v>
      </c>
      <c r="AB314" s="197">
        <v>18416358328.051678</v>
      </c>
      <c r="AC314" s="198">
        <v>88374.310048080981</v>
      </c>
      <c r="AD314" s="197">
        <v>208390.40574157878</v>
      </c>
      <c r="AE314" s="195">
        <v>0</v>
      </c>
      <c r="AF314" s="195">
        <v>0</v>
      </c>
    </row>
    <row r="315" spans="27:32" x14ac:dyDescent="0.25">
      <c r="AA315" s="195">
        <v>313</v>
      </c>
      <c r="AB315" s="197">
        <v>16152260124.076509</v>
      </c>
      <c r="AC315" s="198">
        <v>615213.21177449822</v>
      </c>
      <c r="AD315" s="197">
        <v>26254.735455839007</v>
      </c>
      <c r="AE315" s="195">
        <v>0</v>
      </c>
      <c r="AF315" s="195">
        <v>0</v>
      </c>
    </row>
    <row r="316" spans="27:32" x14ac:dyDescent="0.25">
      <c r="AA316" s="195">
        <v>314</v>
      </c>
      <c r="AB316" s="197">
        <v>18639783618.691212</v>
      </c>
      <c r="AC316" s="198">
        <v>36117.279415890574</v>
      </c>
      <c r="AD316" s="197">
        <v>516090.46750321501</v>
      </c>
      <c r="AE316" s="195">
        <v>0</v>
      </c>
      <c r="AF316" s="195">
        <v>0</v>
      </c>
    </row>
    <row r="317" spans="27:32" x14ac:dyDescent="0.25">
      <c r="AA317" s="195">
        <v>315</v>
      </c>
      <c r="AB317" s="197">
        <v>18176954504.818588</v>
      </c>
      <c r="AC317" s="198">
        <v>144315.13724865019</v>
      </c>
      <c r="AD317" s="197">
        <v>125953.20803735439</v>
      </c>
      <c r="AE317" s="195">
        <v>0</v>
      </c>
      <c r="AF317" s="195">
        <v>0</v>
      </c>
    </row>
    <row r="318" spans="27:32" x14ac:dyDescent="0.25">
      <c r="AA318" s="195">
        <v>316</v>
      </c>
      <c r="AB318" s="197">
        <v>17599747934.637695</v>
      </c>
      <c r="AC318" s="198">
        <v>278962.27327307314</v>
      </c>
      <c r="AD318" s="197">
        <v>63090.064932936264</v>
      </c>
      <c r="AE318" s="195">
        <v>0</v>
      </c>
      <c r="AF318" s="195">
        <v>0</v>
      </c>
    </row>
    <row r="319" spans="27:32" x14ac:dyDescent="0.25">
      <c r="AA319" s="195">
        <v>317</v>
      </c>
      <c r="AB319" s="197">
        <v>15228559262.864408</v>
      </c>
      <c r="AC319" s="198">
        <v>828737.05209174752</v>
      </c>
      <c r="AD319" s="197">
        <v>18375.622550514963</v>
      </c>
      <c r="AE319" s="195">
        <v>0</v>
      </c>
      <c r="AF319" s="195">
        <v>0</v>
      </c>
    </row>
    <row r="320" spans="27:32" x14ac:dyDescent="0.25">
      <c r="AA320" s="195">
        <v>318</v>
      </c>
      <c r="AB320" s="197">
        <v>17452494330.317322</v>
      </c>
      <c r="AC320" s="198">
        <v>313261.30307550728</v>
      </c>
      <c r="AD320" s="197">
        <v>55712.257335884991</v>
      </c>
      <c r="AE320" s="195">
        <v>0</v>
      </c>
      <c r="AF320" s="195">
        <v>0</v>
      </c>
    </row>
    <row r="321" spans="27:32" x14ac:dyDescent="0.25">
      <c r="AA321" s="195">
        <v>319</v>
      </c>
      <c r="AB321" s="197">
        <v>17517292686.614174</v>
      </c>
      <c r="AC321" s="198">
        <v>298170.72459474951</v>
      </c>
      <c r="AD321" s="197">
        <v>58749.20386775837</v>
      </c>
      <c r="AE321" s="195">
        <v>0</v>
      </c>
      <c r="AF321" s="195">
        <v>0</v>
      </c>
    </row>
    <row r="322" spans="27:32" x14ac:dyDescent="0.25">
      <c r="AA322" s="195">
        <v>320</v>
      </c>
      <c r="AB322" s="197">
        <v>14026075784.394016</v>
      </c>
      <c r="AC322" s="198">
        <v>1105480.2281723395</v>
      </c>
      <c r="AD322" s="197">
        <v>12687.767204650007</v>
      </c>
      <c r="AE322" s="195">
        <v>0</v>
      </c>
      <c r="AF322" s="195">
        <v>0</v>
      </c>
    </row>
    <row r="323" spans="27:32" x14ac:dyDescent="0.25">
      <c r="AA323" s="195">
        <v>321</v>
      </c>
      <c r="AB323" s="197">
        <v>17620834903.756866</v>
      </c>
      <c r="AC323" s="198">
        <v>274048.88460418582</v>
      </c>
      <c r="AD323" s="197">
        <v>64298.144943034466</v>
      </c>
      <c r="AE323" s="195">
        <v>0</v>
      </c>
      <c r="AF323" s="195">
        <v>0</v>
      </c>
    </row>
    <row r="324" spans="27:32" x14ac:dyDescent="0.25">
      <c r="AA324" s="195">
        <v>322</v>
      </c>
      <c r="AB324" s="197">
        <v>16607079038.490658</v>
      </c>
      <c r="AC324" s="198">
        <v>509775.89908218384</v>
      </c>
      <c r="AD324" s="197">
        <v>32577.214945607575</v>
      </c>
      <c r="AE324" s="195">
        <v>0</v>
      </c>
      <c r="AF324" s="195">
        <v>0</v>
      </c>
    </row>
    <row r="325" spans="27:32" x14ac:dyDescent="0.25">
      <c r="AA325" s="195">
        <v>323</v>
      </c>
      <c r="AB325" s="197">
        <v>17923471071.166134</v>
      </c>
      <c r="AC325" s="198">
        <v>203485.69264189154</v>
      </c>
      <c r="AD325" s="197">
        <v>88082.217665834236</v>
      </c>
      <c r="AE325" s="195">
        <v>0</v>
      </c>
      <c r="AF325" s="195">
        <v>0</v>
      </c>
    </row>
    <row r="326" spans="27:32" x14ac:dyDescent="0.25">
      <c r="AA326" s="195">
        <v>324</v>
      </c>
      <c r="AB326" s="197">
        <v>18284428790.293774</v>
      </c>
      <c r="AC326" s="198">
        <v>119208.75453183055</v>
      </c>
      <c r="AD326" s="197">
        <v>153381.59401213736</v>
      </c>
      <c r="AE326" s="195">
        <v>0</v>
      </c>
      <c r="AF326" s="195">
        <v>0</v>
      </c>
    </row>
    <row r="327" spans="27:32" x14ac:dyDescent="0.25">
      <c r="AA327" s="195">
        <v>325</v>
      </c>
      <c r="AB327" s="197">
        <v>18259479216.615898</v>
      </c>
      <c r="AC327" s="198">
        <v>125038.05786477774</v>
      </c>
      <c r="AD327" s="197">
        <v>146031.37259507494</v>
      </c>
      <c r="AE327" s="195">
        <v>0</v>
      </c>
      <c r="AF327" s="195">
        <v>0</v>
      </c>
    </row>
    <row r="328" spans="27:32" x14ac:dyDescent="0.25">
      <c r="AA328" s="195">
        <v>326</v>
      </c>
      <c r="AB328" s="197">
        <v>20278805052.253159</v>
      </c>
      <c r="AC328" s="198">
        <v>-348708.16483995318</v>
      </c>
      <c r="AD328" s="197">
        <v>-58154.087276850929</v>
      </c>
      <c r="AE328" s="195">
        <v>0</v>
      </c>
      <c r="AF328" s="195">
        <v>0</v>
      </c>
    </row>
    <row r="329" spans="27:32" x14ac:dyDescent="0.25">
      <c r="AA329" s="195">
        <v>327</v>
      </c>
      <c r="AB329" s="197">
        <v>19081889814.10022</v>
      </c>
      <c r="AC329" s="198">
        <v>-67429.0829237625</v>
      </c>
      <c r="AD329" s="197">
        <v>-282991.9818971114</v>
      </c>
      <c r="AE329" s="195">
        <v>0</v>
      </c>
      <c r="AF329" s="195">
        <v>0</v>
      </c>
    </row>
    <row r="330" spans="27:32" x14ac:dyDescent="0.25">
      <c r="AA330" s="195">
        <v>328</v>
      </c>
      <c r="AB330" s="197">
        <v>16945237022.984482</v>
      </c>
      <c r="AC330" s="198">
        <v>431254.42198040336</v>
      </c>
      <c r="AD330" s="197">
        <v>39292.900337505387</v>
      </c>
      <c r="AE330" s="195">
        <v>0</v>
      </c>
      <c r="AF330" s="195">
        <v>0</v>
      </c>
    </row>
    <row r="331" spans="27:32" x14ac:dyDescent="0.25">
      <c r="AA331" s="195">
        <v>329</v>
      </c>
      <c r="AB331" s="197">
        <v>17573514665.585674</v>
      </c>
      <c r="AC331" s="198">
        <v>285074.18272452056</v>
      </c>
      <c r="AD331" s="197">
        <v>61645.409267270326</v>
      </c>
      <c r="AE331" s="195">
        <v>0</v>
      </c>
      <c r="AF331" s="195">
        <v>0</v>
      </c>
    </row>
    <row r="332" spans="27:32" x14ac:dyDescent="0.25">
      <c r="AA332" s="195">
        <v>330</v>
      </c>
      <c r="AB332" s="197">
        <v>17678185217.623066</v>
      </c>
      <c r="AC332" s="198">
        <v>260683.75625662506</v>
      </c>
      <c r="AD332" s="197">
        <v>67814.678871744196</v>
      </c>
      <c r="AE332" s="195">
        <v>0</v>
      </c>
      <c r="AF332" s="195">
        <v>0</v>
      </c>
    </row>
    <row r="333" spans="27:32" x14ac:dyDescent="0.25">
      <c r="AA333" s="195">
        <v>331</v>
      </c>
      <c r="AB333" s="197">
        <v>18228857630.591797</v>
      </c>
      <c r="AC333" s="198">
        <v>132191.76918964088</v>
      </c>
      <c r="AD333" s="197">
        <v>137897.06985796426</v>
      </c>
      <c r="AE333" s="195">
        <v>0</v>
      </c>
      <c r="AF333" s="195">
        <v>0</v>
      </c>
    </row>
    <row r="334" spans="27:32" x14ac:dyDescent="0.25">
      <c r="AA334" s="195">
        <v>332</v>
      </c>
      <c r="AB334" s="197">
        <v>18699985762.222813</v>
      </c>
      <c r="AC334" s="198">
        <v>22028.339527770877</v>
      </c>
      <c r="AD334" s="197">
        <v>848905.82599963807</v>
      </c>
      <c r="AE334" s="195">
        <v>0</v>
      </c>
      <c r="AF334" s="195">
        <v>0</v>
      </c>
    </row>
    <row r="335" spans="27:32" x14ac:dyDescent="0.25">
      <c r="AA335" s="195">
        <v>333</v>
      </c>
      <c r="AB335" s="197">
        <v>15825649117.102386</v>
      </c>
      <c r="AC335" s="198">
        <v>690806.53052136302</v>
      </c>
      <c r="AD335" s="197">
        <v>22908.945439700041</v>
      </c>
      <c r="AE335" s="195">
        <v>0</v>
      </c>
      <c r="AF335" s="195">
        <v>0</v>
      </c>
    </row>
    <row r="336" spans="27:32" x14ac:dyDescent="0.25">
      <c r="AA336" s="195">
        <v>334</v>
      </c>
      <c r="AB336" s="197">
        <v>17424745072.55323</v>
      </c>
      <c r="AC336" s="198">
        <v>319722.45873724669</v>
      </c>
      <c r="AD336" s="197">
        <v>54499.59674829468</v>
      </c>
      <c r="AE336" s="195">
        <v>0</v>
      </c>
      <c r="AF336" s="195">
        <v>0</v>
      </c>
    </row>
    <row r="337" spans="27:32" x14ac:dyDescent="0.25">
      <c r="AA337" s="195">
        <v>335</v>
      </c>
      <c r="AB337" s="197">
        <v>16723655604.460821</v>
      </c>
      <c r="AC337" s="198">
        <v>482718.82216452062</v>
      </c>
      <c r="AD337" s="197">
        <v>34644.71414118808</v>
      </c>
      <c r="AE337" s="195">
        <v>0</v>
      </c>
      <c r="AF337" s="195">
        <v>0</v>
      </c>
    </row>
    <row r="338" spans="27:32" x14ac:dyDescent="0.25">
      <c r="AA338" s="195">
        <v>336</v>
      </c>
      <c r="AB338" s="197">
        <v>15822309394.381578</v>
      </c>
      <c r="AC338" s="198">
        <v>691578.97256342322</v>
      </c>
      <c r="AD338" s="197">
        <v>22878.528732205705</v>
      </c>
      <c r="AE338" s="195">
        <v>0</v>
      </c>
      <c r="AF338" s="195">
        <v>0</v>
      </c>
    </row>
    <row r="339" spans="27:32" x14ac:dyDescent="0.25">
      <c r="AA339" s="195">
        <v>337</v>
      </c>
      <c r="AB339" s="197">
        <v>16592177303.827217</v>
      </c>
      <c r="AC339" s="198">
        <v>513233.60644458234</v>
      </c>
      <c r="AD339" s="197">
        <v>32328.703918609815</v>
      </c>
      <c r="AE339" s="195">
        <v>0</v>
      </c>
      <c r="AF339" s="195">
        <v>0</v>
      </c>
    </row>
    <row r="340" spans="27:32" x14ac:dyDescent="0.25">
      <c r="AA340" s="195">
        <v>338</v>
      </c>
      <c r="AB340" s="197">
        <v>16499039898.515064</v>
      </c>
      <c r="AC340" s="198">
        <v>534839.80677501112</v>
      </c>
      <c r="AD340" s="197">
        <v>30848.563793337184</v>
      </c>
      <c r="AE340" s="195">
        <v>0</v>
      </c>
      <c r="AF340" s="195">
        <v>0</v>
      </c>
    </row>
    <row r="341" spans="27:32" x14ac:dyDescent="0.25">
      <c r="AA341" s="195">
        <v>339</v>
      </c>
      <c r="AB341" s="197">
        <v>17686518092.798325</v>
      </c>
      <c r="AC341" s="198">
        <v>258741.56882665306</v>
      </c>
      <c r="AD341" s="197">
        <v>68355.920438310452</v>
      </c>
      <c r="AE341" s="195">
        <v>0</v>
      </c>
      <c r="AF341" s="195">
        <v>0</v>
      </c>
    </row>
    <row r="342" spans="27:32" x14ac:dyDescent="0.25">
      <c r="AA342" s="195">
        <v>340</v>
      </c>
      <c r="AB342" s="197">
        <v>17736443701.565727</v>
      </c>
      <c r="AC342" s="198">
        <v>247103.7418430075</v>
      </c>
      <c r="AD342" s="197">
        <v>71777.31736994184</v>
      </c>
      <c r="AE342" s="195">
        <v>0</v>
      </c>
      <c r="AF342" s="195">
        <v>0</v>
      </c>
    </row>
    <row r="343" spans="27:32" x14ac:dyDescent="0.25">
      <c r="AA343" s="195">
        <v>341</v>
      </c>
      <c r="AB343" s="197">
        <v>17712786608.905293</v>
      </c>
      <c r="AC343" s="198">
        <v>252618.58877083659</v>
      </c>
      <c r="AD343" s="197">
        <v>70116.719023291982</v>
      </c>
      <c r="AE343" s="195">
        <v>0</v>
      </c>
      <c r="AF343" s="195">
        <v>0</v>
      </c>
    </row>
    <row r="344" spans="27:32" x14ac:dyDescent="0.25">
      <c r="AA344" s="195">
        <v>342</v>
      </c>
      <c r="AB344" s="197">
        <v>17570311398.831299</v>
      </c>
      <c r="AC344" s="198">
        <v>285820.44448821992</v>
      </c>
      <c r="AD344" s="197">
        <v>61473.249159247804</v>
      </c>
      <c r="AE344" s="195">
        <v>0</v>
      </c>
      <c r="AF344" s="195">
        <v>0</v>
      </c>
    </row>
    <row r="345" spans="27:32" x14ac:dyDescent="0.25">
      <c r="AA345" s="195">
        <v>343</v>
      </c>
      <c r="AB345" s="197">
        <v>18269307764.165226</v>
      </c>
      <c r="AC345" s="198">
        <v>122741.75419706851</v>
      </c>
      <c r="AD345" s="197">
        <v>148843.46312040536</v>
      </c>
      <c r="AE345" s="195">
        <v>0</v>
      </c>
      <c r="AF345" s="195">
        <v>0</v>
      </c>
    </row>
    <row r="346" spans="27:32" x14ac:dyDescent="0.25">
      <c r="AA346" s="195">
        <v>344</v>
      </c>
      <c r="AB346" s="197">
        <v>17324360475.09906</v>
      </c>
      <c r="AC346" s="198">
        <v>343089.88591618836</v>
      </c>
      <c r="AD346" s="197">
        <v>50495.10692755058</v>
      </c>
      <c r="AE346" s="195">
        <v>0</v>
      </c>
      <c r="AF346" s="195">
        <v>1</v>
      </c>
    </row>
    <row r="347" spans="27:32" x14ac:dyDescent="0.25">
      <c r="AA347" s="195">
        <v>345</v>
      </c>
      <c r="AB347" s="197">
        <v>17895807611.838612</v>
      </c>
      <c r="AC347" s="198">
        <v>209939.41785985976</v>
      </c>
      <c r="AD347" s="197">
        <v>85242.722849620113</v>
      </c>
      <c r="AE347" s="195">
        <v>0</v>
      </c>
      <c r="AF347" s="195">
        <v>0</v>
      </c>
    </row>
    <row r="348" spans="27:32" x14ac:dyDescent="0.25">
      <c r="AA348" s="195">
        <v>346</v>
      </c>
      <c r="AB348" s="197">
        <v>17269866540.489372</v>
      </c>
      <c r="AC348" s="198">
        <v>355770.86936374009</v>
      </c>
      <c r="AD348" s="197">
        <v>48542.10399905638</v>
      </c>
      <c r="AE348" s="195">
        <v>0</v>
      </c>
      <c r="AF348" s="195">
        <v>0</v>
      </c>
    </row>
    <row r="349" spans="27:32" x14ac:dyDescent="0.25">
      <c r="AA349" s="195">
        <v>347</v>
      </c>
      <c r="AB349" s="197">
        <v>17947813828.312035</v>
      </c>
      <c r="AC349" s="198">
        <v>197806.05822327733</v>
      </c>
      <c r="AD349" s="197">
        <v>90734.39908525502</v>
      </c>
      <c r="AE349" s="195">
        <v>0</v>
      </c>
      <c r="AF349" s="195">
        <v>0</v>
      </c>
    </row>
    <row r="350" spans="27:32" x14ac:dyDescent="0.25">
      <c r="AA350" s="195">
        <v>348</v>
      </c>
      <c r="AB350" s="197">
        <v>19032293832.476841</v>
      </c>
      <c r="AC350" s="198">
        <v>-55803.736202411354</v>
      </c>
      <c r="AD350" s="197">
        <v>-341057.69842081703</v>
      </c>
      <c r="AE350" s="195">
        <v>0</v>
      </c>
      <c r="AF350" s="195">
        <v>0</v>
      </c>
    </row>
    <row r="351" spans="27:32" x14ac:dyDescent="0.25">
      <c r="AA351" s="195">
        <v>349</v>
      </c>
      <c r="AB351" s="197">
        <v>17531110721.592651</v>
      </c>
      <c r="AC351" s="198">
        <v>294952.18585350364</v>
      </c>
      <c r="AD351" s="197">
        <v>59437.127651259296</v>
      </c>
      <c r="AE351" s="195">
        <v>0</v>
      </c>
      <c r="AF351" s="195">
        <v>0</v>
      </c>
    </row>
    <row r="352" spans="27:32" x14ac:dyDescent="0.25">
      <c r="AA352" s="195">
        <v>350</v>
      </c>
      <c r="AB352" s="197">
        <v>19251929226.490005</v>
      </c>
      <c r="AC352" s="198">
        <v>-107304.52265554667</v>
      </c>
      <c r="AD352" s="197">
        <v>-179413.95898372095</v>
      </c>
      <c r="AE352" s="195">
        <v>0</v>
      </c>
      <c r="AF352" s="195">
        <v>0</v>
      </c>
    </row>
    <row r="353" spans="27:32" x14ac:dyDescent="0.25">
      <c r="AA353" s="195">
        <v>351</v>
      </c>
      <c r="AB353" s="197">
        <v>18143594363.403305</v>
      </c>
      <c r="AC353" s="198">
        <v>152105.92272177339</v>
      </c>
      <c r="AD353" s="197">
        <v>119282.62909650736</v>
      </c>
      <c r="AE353" s="195">
        <v>0</v>
      </c>
      <c r="AF353" s="195">
        <v>0</v>
      </c>
    </row>
    <row r="354" spans="27:32" x14ac:dyDescent="0.25">
      <c r="AA354" s="195">
        <v>352</v>
      </c>
      <c r="AB354" s="197">
        <v>18648700456.401157</v>
      </c>
      <c r="AC354" s="198">
        <v>34030.717358767986</v>
      </c>
      <c r="AD354" s="197">
        <v>547996.10186872352</v>
      </c>
      <c r="AE354" s="195">
        <v>0</v>
      </c>
      <c r="AF354" s="195">
        <v>0</v>
      </c>
    </row>
    <row r="355" spans="27:32" x14ac:dyDescent="0.25">
      <c r="AA355" s="195">
        <v>353</v>
      </c>
      <c r="AB355" s="197">
        <v>15835119463.186283</v>
      </c>
      <c r="AC355" s="198">
        <v>688616.08287161589</v>
      </c>
      <c r="AD355" s="197">
        <v>22995.570183536576</v>
      </c>
      <c r="AE355" s="195">
        <v>0</v>
      </c>
      <c r="AF355" s="195">
        <v>0</v>
      </c>
    </row>
    <row r="356" spans="27:32" x14ac:dyDescent="0.25">
      <c r="AA356" s="195">
        <v>354</v>
      </c>
      <c r="AB356" s="197">
        <v>16972097455.840366</v>
      </c>
      <c r="AC356" s="198">
        <v>425012.62237202376</v>
      </c>
      <c r="AD356" s="197">
        <v>39933.160952062928</v>
      </c>
      <c r="AE356" s="195">
        <v>0</v>
      </c>
      <c r="AF356" s="195">
        <v>0</v>
      </c>
    </row>
    <row r="357" spans="27:32" x14ac:dyDescent="0.25">
      <c r="AA357" s="195">
        <v>355</v>
      </c>
      <c r="AB357" s="197">
        <v>16358116746.159023</v>
      </c>
      <c r="AC357" s="198">
        <v>567515.5982991308</v>
      </c>
      <c r="AD357" s="197">
        <v>28824.083065179209</v>
      </c>
      <c r="AE357" s="195">
        <v>0</v>
      </c>
      <c r="AF357" s="195">
        <v>0</v>
      </c>
    </row>
    <row r="358" spans="27:32" x14ac:dyDescent="0.25">
      <c r="AA358" s="195">
        <v>356</v>
      </c>
      <c r="AB358" s="197">
        <v>16529695442.700485</v>
      </c>
      <c r="AC358" s="198">
        <v>527729.19274692237</v>
      </c>
      <c r="AD358" s="197">
        <v>31322.306345534045</v>
      </c>
      <c r="AE358" s="195">
        <v>0</v>
      </c>
      <c r="AF358" s="195">
        <v>0</v>
      </c>
    </row>
    <row r="359" spans="27:32" x14ac:dyDescent="0.25">
      <c r="AA359" s="195">
        <v>357</v>
      </c>
      <c r="AB359" s="197">
        <v>16087763714.14065</v>
      </c>
      <c r="AC359" s="198">
        <v>630148.85933760554</v>
      </c>
      <c r="AD359" s="197">
        <v>25530.100508396772</v>
      </c>
      <c r="AE359" s="195">
        <v>0</v>
      </c>
      <c r="AF359" s="195">
        <v>0</v>
      </c>
    </row>
    <row r="360" spans="27:32" x14ac:dyDescent="0.25">
      <c r="AA360" s="195">
        <v>358</v>
      </c>
      <c r="AB360" s="197">
        <v>16993565727.541136</v>
      </c>
      <c r="AC360" s="198">
        <v>420023.34879557043</v>
      </c>
      <c r="AD360" s="197">
        <v>40458.621589182352</v>
      </c>
      <c r="AE360" s="195">
        <v>0</v>
      </c>
      <c r="AF360" s="195">
        <v>0</v>
      </c>
    </row>
    <row r="361" spans="27:32" x14ac:dyDescent="0.25">
      <c r="AA361" s="195">
        <v>359</v>
      </c>
      <c r="AB361" s="197">
        <v>17302009776.79211</v>
      </c>
      <c r="AC361" s="198">
        <v>348291.33946673572</v>
      </c>
      <c r="AD361" s="197">
        <v>49676.830331994446</v>
      </c>
      <c r="AE361" s="195">
        <v>0</v>
      </c>
      <c r="AF361" s="195">
        <v>0</v>
      </c>
    </row>
    <row r="362" spans="27:32" x14ac:dyDescent="0.25">
      <c r="AA362" s="195">
        <v>360</v>
      </c>
      <c r="AB362" s="197">
        <v>18067983270.243584</v>
      </c>
      <c r="AC362" s="198">
        <v>169759.84496444464</v>
      </c>
      <c r="AD362" s="197">
        <v>106432.60939610208</v>
      </c>
      <c r="AE362" s="195">
        <v>0</v>
      </c>
      <c r="AF362" s="195">
        <v>0</v>
      </c>
    </row>
    <row r="363" spans="27:32" x14ac:dyDescent="0.25">
      <c r="AA363" s="195">
        <v>361</v>
      </c>
      <c r="AB363" s="197">
        <v>16433928219.976435</v>
      </c>
      <c r="AC363" s="198">
        <v>549939.59447254241</v>
      </c>
      <c r="AD363" s="197">
        <v>29883.15150455484</v>
      </c>
      <c r="AE363" s="195">
        <v>0</v>
      </c>
      <c r="AF363" s="195">
        <v>0</v>
      </c>
    </row>
    <row r="364" spans="27:32" x14ac:dyDescent="0.25">
      <c r="AA364" s="195">
        <v>362</v>
      </c>
      <c r="AB364" s="197">
        <v>16850069816.791531</v>
      </c>
      <c r="AC364" s="198">
        <v>453363.69645735621</v>
      </c>
      <c r="AD364" s="197">
        <v>37166.782317287863</v>
      </c>
      <c r="AE364" s="195">
        <v>0</v>
      </c>
      <c r="AF364" s="195">
        <v>0</v>
      </c>
    </row>
    <row r="365" spans="27:32" x14ac:dyDescent="0.25">
      <c r="AA365" s="195">
        <v>363</v>
      </c>
      <c r="AB365" s="197">
        <v>18348196669.931236</v>
      </c>
      <c r="AC365" s="198">
        <v>104307.08273980021</v>
      </c>
      <c r="AD365" s="197">
        <v>175905.56832752985</v>
      </c>
      <c r="AE365" s="195">
        <v>0</v>
      </c>
      <c r="AF365" s="195">
        <v>0</v>
      </c>
    </row>
    <row r="366" spans="27:32" x14ac:dyDescent="0.25">
      <c r="AA366" s="195">
        <v>364</v>
      </c>
      <c r="AB366" s="197">
        <v>18273661014.868252</v>
      </c>
      <c r="AC366" s="198">
        <v>121724.64785371721</v>
      </c>
      <c r="AD366" s="197">
        <v>150122.93185541726</v>
      </c>
      <c r="AE366" s="195">
        <v>0</v>
      </c>
      <c r="AF366" s="195">
        <v>0</v>
      </c>
    </row>
    <row r="367" spans="27:32" x14ac:dyDescent="0.25">
      <c r="AA367" s="195">
        <v>365</v>
      </c>
      <c r="AB367" s="197">
        <v>16755341528.551556</v>
      </c>
      <c r="AC367" s="198">
        <v>475362.35548211634</v>
      </c>
      <c r="AD367" s="197">
        <v>35247.514523017191</v>
      </c>
      <c r="AE367" s="195">
        <v>0</v>
      </c>
      <c r="AF367" s="195">
        <v>0</v>
      </c>
    </row>
    <row r="368" spans="27:32" x14ac:dyDescent="0.25">
      <c r="AA368" s="195">
        <v>366</v>
      </c>
      <c r="AB368" s="197">
        <v>18708865452.162209</v>
      </c>
      <c r="AC368" s="198">
        <v>19949.95447896421</v>
      </c>
      <c r="AD368" s="197">
        <v>937789.88177087624</v>
      </c>
      <c r="AE368" s="195">
        <v>0</v>
      </c>
      <c r="AF368" s="195">
        <v>0</v>
      </c>
    </row>
    <row r="369" spans="27:32" x14ac:dyDescent="0.25">
      <c r="AA369" s="195">
        <v>367</v>
      </c>
      <c r="AB369" s="197">
        <v>19099990320.106537</v>
      </c>
      <c r="AC369" s="198">
        <v>-71672.450936004519</v>
      </c>
      <c r="AD369" s="197">
        <v>-266489.98423621221</v>
      </c>
      <c r="AE369" s="195">
        <v>0</v>
      </c>
      <c r="AF369" s="195">
        <v>0</v>
      </c>
    </row>
    <row r="370" spans="27:32" x14ac:dyDescent="0.25">
      <c r="AA370" s="195">
        <v>368</v>
      </c>
      <c r="AB370" s="197">
        <v>17106223613.6971</v>
      </c>
      <c r="AC370" s="198">
        <v>393834.14297120273</v>
      </c>
      <c r="AD370" s="197">
        <v>43435.09550655671</v>
      </c>
      <c r="AE370" s="195">
        <v>0</v>
      </c>
      <c r="AF370" s="195">
        <v>0</v>
      </c>
    </row>
    <row r="371" spans="27:32" x14ac:dyDescent="0.25">
      <c r="AA371" s="195">
        <v>369</v>
      </c>
      <c r="AB371" s="197">
        <v>17809103308.411728</v>
      </c>
      <c r="AC371" s="198">
        <v>230162.25460012257</v>
      </c>
      <c r="AD371" s="197">
        <v>77376.298469758927</v>
      </c>
      <c r="AE371" s="195">
        <v>0</v>
      </c>
      <c r="AF371" s="195">
        <v>0</v>
      </c>
    </row>
    <row r="372" spans="27:32" x14ac:dyDescent="0.25">
      <c r="AA372" s="195">
        <v>370</v>
      </c>
      <c r="AB372" s="197">
        <v>15231347726.435764</v>
      </c>
      <c r="AC372" s="198">
        <v>828093.69821297377</v>
      </c>
      <c r="AD372" s="197">
        <v>18393.266075209864</v>
      </c>
      <c r="AE372" s="195">
        <v>0</v>
      </c>
      <c r="AF372" s="195">
        <v>0</v>
      </c>
    </row>
    <row r="373" spans="27:32" x14ac:dyDescent="0.25">
      <c r="AA373" s="195">
        <v>371</v>
      </c>
      <c r="AB373" s="197">
        <v>17055220045.733501</v>
      </c>
      <c r="AC373" s="198">
        <v>405692.28559932113</v>
      </c>
      <c r="AD373" s="197">
        <v>42039.79383176627</v>
      </c>
      <c r="AE373" s="195">
        <v>0</v>
      </c>
      <c r="AF373" s="195">
        <v>0</v>
      </c>
    </row>
    <row r="374" spans="27:32" x14ac:dyDescent="0.25">
      <c r="AA374" s="195">
        <v>372</v>
      </c>
      <c r="AB374" s="197">
        <v>18605126608.739758</v>
      </c>
      <c r="AC374" s="198">
        <v>44226.376866310835</v>
      </c>
      <c r="AD374" s="197">
        <v>420679.42090259935</v>
      </c>
      <c r="AE374" s="195">
        <v>0</v>
      </c>
      <c r="AF374" s="195">
        <v>0</v>
      </c>
    </row>
    <row r="375" spans="27:32" x14ac:dyDescent="0.25">
      <c r="AA375" s="195">
        <v>373</v>
      </c>
      <c r="AB375" s="197">
        <v>17606262861.036842</v>
      </c>
      <c r="AC375" s="198">
        <v>277444.30254641175</v>
      </c>
      <c r="AD375" s="197">
        <v>63458.729191570303</v>
      </c>
      <c r="AE375" s="195">
        <v>0</v>
      </c>
      <c r="AF375" s="195">
        <v>0</v>
      </c>
    </row>
    <row r="376" spans="27:32" x14ac:dyDescent="0.25">
      <c r="AA376" s="195">
        <v>374</v>
      </c>
      <c r="AB376" s="197">
        <v>17874874133.822834</v>
      </c>
      <c r="AC376" s="198">
        <v>214822.58730461448</v>
      </c>
      <c r="AD376" s="197">
        <v>83207.610326732494</v>
      </c>
      <c r="AE376" s="195">
        <v>0</v>
      </c>
      <c r="AF376" s="195">
        <v>0</v>
      </c>
    </row>
    <row r="377" spans="27:32" x14ac:dyDescent="0.25">
      <c r="AA377" s="195">
        <v>375</v>
      </c>
      <c r="AB377" s="197">
        <v>17366289506.34</v>
      </c>
      <c r="AC377" s="198">
        <v>333330.86686247587</v>
      </c>
      <c r="AD377" s="197">
        <v>52099.254022895228</v>
      </c>
      <c r="AE377" s="195">
        <v>0</v>
      </c>
      <c r="AF377" s="195">
        <v>0</v>
      </c>
    </row>
    <row r="378" spans="27:32" x14ac:dyDescent="0.25">
      <c r="AA378" s="195">
        <v>376</v>
      </c>
      <c r="AB378" s="197">
        <v>17032228830.927412</v>
      </c>
      <c r="AC378" s="198">
        <v>411036.84074307978</v>
      </c>
      <c r="AD378" s="197">
        <v>41437.231757952017</v>
      </c>
      <c r="AE378" s="195">
        <v>0</v>
      </c>
      <c r="AF378" s="195">
        <v>0</v>
      </c>
    </row>
    <row r="379" spans="27:32" x14ac:dyDescent="0.25">
      <c r="AA379" s="195">
        <v>377</v>
      </c>
      <c r="AB379" s="197">
        <v>17000565386.625742</v>
      </c>
      <c r="AC379" s="198">
        <v>418396.51682212204</v>
      </c>
      <c r="AD379" s="197">
        <v>40632.664716598003</v>
      </c>
      <c r="AE379" s="195">
        <v>0</v>
      </c>
      <c r="AF379" s="195">
        <v>0</v>
      </c>
    </row>
    <row r="380" spans="27:32" x14ac:dyDescent="0.25">
      <c r="AA380" s="195">
        <v>378</v>
      </c>
      <c r="AB380" s="197">
        <v>18054716570.867638</v>
      </c>
      <c r="AC380" s="198">
        <v>172856.82859742641</v>
      </c>
      <c r="AD380" s="197">
        <v>104448.96344197099</v>
      </c>
      <c r="AE380" s="195">
        <v>0</v>
      </c>
      <c r="AF380" s="195">
        <v>0</v>
      </c>
    </row>
    <row r="381" spans="27:32" x14ac:dyDescent="0.25">
      <c r="AA381" s="195">
        <v>379</v>
      </c>
      <c r="AB381" s="197">
        <v>16582624226.363968</v>
      </c>
      <c r="AC381" s="198">
        <v>515450.13188104331</v>
      </c>
      <c r="AD381" s="197">
        <v>32171.151389269489</v>
      </c>
      <c r="AE381" s="195">
        <v>0</v>
      </c>
      <c r="AF381" s="195">
        <v>0</v>
      </c>
    </row>
    <row r="382" spans="27:32" x14ac:dyDescent="0.25">
      <c r="AA382" s="195">
        <v>380</v>
      </c>
      <c r="AB382" s="197">
        <v>17199547093.630047</v>
      </c>
      <c r="AC382" s="198">
        <v>372130.29852437973</v>
      </c>
      <c r="AD382" s="197">
        <v>46219.152704931483</v>
      </c>
      <c r="AE382" s="195">
        <v>0</v>
      </c>
      <c r="AF382" s="195">
        <v>0</v>
      </c>
    </row>
    <row r="383" spans="27:32" x14ac:dyDescent="0.25">
      <c r="AA383" s="195">
        <v>381</v>
      </c>
      <c r="AB383" s="197">
        <v>17259081036.439476</v>
      </c>
      <c r="AC383" s="198">
        <v>358280.36591105163</v>
      </c>
      <c r="AD383" s="197">
        <v>48171.997906031771</v>
      </c>
      <c r="AE383" s="195">
        <v>0</v>
      </c>
      <c r="AF383" s="195">
        <v>0</v>
      </c>
    </row>
    <row r="384" spans="27:32" x14ac:dyDescent="0.25">
      <c r="AA384" s="195">
        <v>382</v>
      </c>
      <c r="AB384" s="197">
        <v>16684920305.217113</v>
      </c>
      <c r="AC384" s="198">
        <v>491710.61947532743</v>
      </c>
      <c r="AD384" s="197">
        <v>33932.397724133989</v>
      </c>
      <c r="AE384" s="195">
        <v>0</v>
      </c>
      <c r="AF384" s="195">
        <v>0</v>
      </c>
    </row>
    <row r="385" spans="27:32" x14ac:dyDescent="0.25">
      <c r="AA385" s="195">
        <v>383</v>
      </c>
      <c r="AB385" s="197">
        <v>16554378861.900391</v>
      </c>
      <c r="AC385" s="198">
        <v>522003.1688234359</v>
      </c>
      <c r="AD385" s="197">
        <v>31713.176951038393</v>
      </c>
      <c r="AE385" s="195">
        <v>0</v>
      </c>
      <c r="AF385" s="195">
        <v>0</v>
      </c>
    </row>
    <row r="386" spans="27:32" x14ac:dyDescent="0.25">
      <c r="AA386" s="195">
        <v>384</v>
      </c>
      <c r="AB386" s="197">
        <v>16075458646.086895</v>
      </c>
      <c r="AC386" s="198">
        <v>632997.93124587834</v>
      </c>
      <c r="AD386" s="197">
        <v>25395.752264856343</v>
      </c>
      <c r="AE386" s="195">
        <v>0</v>
      </c>
      <c r="AF386" s="195">
        <v>0</v>
      </c>
    </row>
    <row r="387" spans="27:32" x14ac:dyDescent="0.25">
      <c r="AA387" s="195">
        <v>385</v>
      </c>
      <c r="AB387" s="197">
        <v>17306859250.453411</v>
      </c>
      <c r="AC387" s="198">
        <v>347162.81099610031</v>
      </c>
      <c r="AD387" s="197">
        <v>49852.284583119763</v>
      </c>
      <c r="AE387" s="195">
        <v>0</v>
      </c>
      <c r="AF387" s="195">
        <v>0</v>
      </c>
    </row>
    <row r="388" spans="27:32" x14ac:dyDescent="0.25">
      <c r="AA388" s="195">
        <v>386</v>
      </c>
      <c r="AB388" s="197">
        <v>16400563320.486696</v>
      </c>
      <c r="AC388" s="198">
        <v>557675.53636337072</v>
      </c>
      <c r="AD388" s="197">
        <v>29408.791046197879</v>
      </c>
      <c r="AE388" s="195">
        <v>0</v>
      </c>
      <c r="AF388" s="195">
        <v>0</v>
      </c>
    </row>
    <row r="389" spans="27:32" x14ac:dyDescent="0.25">
      <c r="AA389" s="195">
        <v>387</v>
      </c>
      <c r="AB389" s="197">
        <v>16825226403.487034</v>
      </c>
      <c r="AC389" s="198">
        <v>459133.8927700296</v>
      </c>
      <c r="AD389" s="197">
        <v>36645.576962261926</v>
      </c>
      <c r="AE389" s="195">
        <v>0</v>
      </c>
      <c r="AF389" s="195">
        <v>0</v>
      </c>
    </row>
    <row r="390" spans="27:32" x14ac:dyDescent="0.25">
      <c r="AA390" s="195">
        <v>388</v>
      </c>
      <c r="AB390" s="197">
        <v>15945106431.806623</v>
      </c>
      <c r="AC390" s="198">
        <v>663170.29913805425</v>
      </c>
      <c r="AD390" s="197">
        <v>24043.758371765198</v>
      </c>
      <c r="AE390" s="195">
        <v>0</v>
      </c>
      <c r="AF390" s="195">
        <v>0</v>
      </c>
    </row>
    <row r="391" spans="27:32" x14ac:dyDescent="0.25">
      <c r="AA391" s="195">
        <v>389</v>
      </c>
      <c r="AB391" s="197">
        <v>17384811687.244122</v>
      </c>
      <c r="AC391" s="198">
        <v>329019.27416466177</v>
      </c>
      <c r="AD391" s="197">
        <v>52838.27742730864</v>
      </c>
      <c r="AE391" s="195">
        <v>0</v>
      </c>
      <c r="AF391" s="195">
        <v>0</v>
      </c>
    </row>
    <row r="392" spans="27:32" x14ac:dyDescent="0.25">
      <c r="AA392" s="195">
        <v>390</v>
      </c>
      <c r="AB392" s="197">
        <v>18558672183.078709</v>
      </c>
      <c r="AC392" s="198">
        <v>55094.033134020865</v>
      </c>
      <c r="AD392" s="197">
        <v>336854.48545640468</v>
      </c>
      <c r="AE392" s="195">
        <v>0</v>
      </c>
      <c r="AF392" s="195">
        <v>0</v>
      </c>
    </row>
    <row r="393" spans="27:32" x14ac:dyDescent="0.25">
      <c r="AA393" s="195">
        <v>391</v>
      </c>
      <c r="AB393" s="197">
        <v>16780656405.417009</v>
      </c>
      <c r="AC393" s="198">
        <v>469484.35051235557</v>
      </c>
      <c r="AD393" s="197">
        <v>35742.738575000461</v>
      </c>
      <c r="AE393" s="195">
        <v>0</v>
      </c>
      <c r="AF393" s="195">
        <v>0</v>
      </c>
    </row>
    <row r="394" spans="27:32" x14ac:dyDescent="0.25">
      <c r="AA394" s="195">
        <v>392</v>
      </c>
      <c r="AB394" s="197">
        <v>16586739080.102894</v>
      </c>
      <c r="AC394" s="198">
        <v>514495.40547753125</v>
      </c>
      <c r="AD394" s="197">
        <v>32238.847817713428</v>
      </c>
      <c r="AE394" s="195">
        <v>0</v>
      </c>
      <c r="AF394" s="195">
        <v>0</v>
      </c>
    </row>
    <row r="395" spans="27:32" x14ac:dyDescent="0.25">
      <c r="AA395" s="195">
        <v>393</v>
      </c>
      <c r="AB395" s="197">
        <v>17380308150.147739</v>
      </c>
      <c r="AC395" s="198">
        <v>330067.63776821643</v>
      </c>
      <c r="AD395" s="197">
        <v>52656.807761179916</v>
      </c>
      <c r="AE395" s="195">
        <v>0</v>
      </c>
      <c r="AF395" s="195">
        <v>0</v>
      </c>
    </row>
    <row r="396" spans="27:32" x14ac:dyDescent="0.25">
      <c r="AA396" s="195">
        <v>394</v>
      </c>
      <c r="AB396" s="197">
        <v>16862527644.823698</v>
      </c>
      <c r="AC396" s="198">
        <v>450469.98530893773</v>
      </c>
      <c r="AD396" s="197">
        <v>37433.187992001673</v>
      </c>
      <c r="AE396" s="195">
        <v>0</v>
      </c>
      <c r="AF396" s="195">
        <v>0</v>
      </c>
    </row>
    <row r="397" spans="27:32" x14ac:dyDescent="0.25">
      <c r="AA397" s="195">
        <v>395</v>
      </c>
      <c r="AB397" s="197">
        <v>17540926210.210976</v>
      </c>
      <c r="AC397" s="198">
        <v>292665.82073271275</v>
      </c>
      <c r="AD397" s="197">
        <v>59935.000835751292</v>
      </c>
      <c r="AE397" s="195">
        <v>0</v>
      </c>
      <c r="AF397" s="195">
        <v>0</v>
      </c>
    </row>
    <row r="398" spans="27:32" x14ac:dyDescent="0.25">
      <c r="AA398" s="195">
        <v>396</v>
      </c>
      <c r="AB398" s="197">
        <v>17078096302.542143</v>
      </c>
      <c r="AC398" s="198">
        <v>400373.94914294034</v>
      </c>
      <c r="AD398" s="197">
        <v>42655.363414878353</v>
      </c>
      <c r="AE398" s="195">
        <v>0</v>
      </c>
      <c r="AF398" s="195">
        <v>0</v>
      </c>
    </row>
    <row r="399" spans="27:32" x14ac:dyDescent="0.25">
      <c r="AA399" s="195">
        <v>397</v>
      </c>
      <c r="AB399" s="197">
        <v>16933385559.268772</v>
      </c>
      <c r="AC399" s="198">
        <v>434008.23230390251</v>
      </c>
      <c r="AD399" s="197">
        <v>39016.277339669512</v>
      </c>
      <c r="AE399" s="195">
        <v>0</v>
      </c>
      <c r="AF399" s="195">
        <v>0</v>
      </c>
    </row>
    <row r="400" spans="27:32" x14ac:dyDescent="0.25">
      <c r="AA400" s="195">
        <v>398</v>
      </c>
      <c r="AB400" s="197">
        <v>17373715678.041588</v>
      </c>
      <c r="AC400" s="198">
        <v>331602.24249172956</v>
      </c>
      <c r="AD400" s="197">
        <v>52393.239404811633</v>
      </c>
      <c r="AE400" s="195">
        <v>0</v>
      </c>
      <c r="AF400" s="195">
        <v>0</v>
      </c>
    </row>
    <row r="401" spans="27:32" x14ac:dyDescent="0.25">
      <c r="AA401" s="195">
        <v>399</v>
      </c>
      <c r="AB401" s="197">
        <v>17977622104.391079</v>
      </c>
      <c r="AC401" s="198">
        <v>190850.43530149758</v>
      </c>
      <c r="AD401" s="197">
        <v>94197.438302882467</v>
      </c>
      <c r="AE401" s="195">
        <v>0</v>
      </c>
      <c r="AF401" s="195">
        <v>0</v>
      </c>
    </row>
    <row r="402" spans="27:32" x14ac:dyDescent="0.25">
      <c r="AA402" s="195">
        <v>400</v>
      </c>
      <c r="AB402" s="197">
        <v>16693531778.786093</v>
      </c>
      <c r="AC402" s="198">
        <v>489711.72445417196</v>
      </c>
      <c r="AD402" s="197">
        <v>34088.487053056662</v>
      </c>
      <c r="AE402" s="195">
        <v>0</v>
      </c>
      <c r="AF402" s="195">
        <v>0</v>
      </c>
    </row>
    <row r="403" spans="27:32" x14ac:dyDescent="0.25">
      <c r="AA403" s="195">
        <v>401</v>
      </c>
      <c r="AB403" s="197">
        <v>17337895300.698242</v>
      </c>
      <c r="AC403" s="198">
        <v>339939.82820723206</v>
      </c>
      <c r="AD403" s="197">
        <v>51002.835978750976</v>
      </c>
      <c r="AE403" s="195">
        <v>0</v>
      </c>
      <c r="AF403" s="195">
        <v>0</v>
      </c>
    </row>
    <row r="404" spans="27:32" x14ac:dyDescent="0.25">
      <c r="AA404" s="195">
        <v>402</v>
      </c>
      <c r="AB404" s="197">
        <v>17548190166.865547</v>
      </c>
      <c r="AC404" s="198">
        <v>290973.73550724983</v>
      </c>
      <c r="AD404" s="197">
        <v>60308.502196165813</v>
      </c>
      <c r="AE404" s="195">
        <v>0</v>
      </c>
      <c r="AF404" s="195">
        <v>0</v>
      </c>
    </row>
    <row r="405" spans="27:32" x14ac:dyDescent="0.25">
      <c r="AA405" s="195">
        <v>403</v>
      </c>
      <c r="AB405" s="197">
        <v>17410397507.673615</v>
      </c>
      <c r="AC405" s="198">
        <v>323062.86465227604</v>
      </c>
      <c r="AD405" s="197">
        <v>53891.670670391162</v>
      </c>
      <c r="AE405" s="195">
        <v>0</v>
      </c>
      <c r="AF405" s="195">
        <v>1</v>
      </c>
    </row>
    <row r="406" spans="27:32" x14ac:dyDescent="0.25">
      <c r="AA406" s="195">
        <v>404</v>
      </c>
      <c r="AB406" s="197">
        <v>17678298892.064762</v>
      </c>
      <c r="AC406" s="198">
        <v>260657.26200120151</v>
      </c>
      <c r="AD406" s="197">
        <v>67822.007936165901</v>
      </c>
      <c r="AE406" s="195">
        <v>0</v>
      </c>
      <c r="AF406" s="195">
        <v>0</v>
      </c>
    </row>
    <row r="407" spans="27:32" x14ac:dyDescent="0.25">
      <c r="AA407" s="195">
        <v>405</v>
      </c>
      <c r="AB407" s="197">
        <v>18187212165.558121</v>
      </c>
      <c r="AC407" s="198">
        <v>141919.39117260277</v>
      </c>
      <c r="AD407" s="197">
        <v>128151.70650949863</v>
      </c>
      <c r="AE407" s="195">
        <v>0</v>
      </c>
      <c r="AF407" s="195">
        <v>0</v>
      </c>
    </row>
    <row r="408" spans="27:32" x14ac:dyDescent="0.25">
      <c r="AA408" s="195">
        <v>406</v>
      </c>
      <c r="AB408" s="197">
        <v>18364840826.37801</v>
      </c>
      <c r="AC408" s="198">
        <v>100416.92824436724</v>
      </c>
      <c r="AD408" s="197">
        <v>182885.90526974382</v>
      </c>
      <c r="AE408" s="195">
        <v>0</v>
      </c>
      <c r="AF408" s="195">
        <v>0</v>
      </c>
    </row>
    <row r="409" spans="27:32" x14ac:dyDescent="0.25">
      <c r="AA409" s="195">
        <v>407</v>
      </c>
      <c r="AB409" s="197">
        <v>18423438742.566544</v>
      </c>
      <c r="AC409" s="198">
        <v>86719.007822662592</v>
      </c>
      <c r="AD409" s="197">
        <v>212449.83314663661</v>
      </c>
      <c r="AE409" s="195">
        <v>0</v>
      </c>
      <c r="AF409" s="195">
        <v>0</v>
      </c>
    </row>
    <row r="410" spans="27:32" x14ac:dyDescent="0.25">
      <c r="AA410" s="195">
        <v>408</v>
      </c>
      <c r="AB410" s="197">
        <v>19274337042.436646</v>
      </c>
      <c r="AC410" s="198">
        <v>-112561.39607343823</v>
      </c>
      <c r="AD410" s="197">
        <v>-171233.99064686018</v>
      </c>
      <c r="AE410" s="195">
        <v>0</v>
      </c>
      <c r="AF410" s="195">
        <v>0</v>
      </c>
    </row>
    <row r="411" spans="27:32" x14ac:dyDescent="0.25">
      <c r="AA411" s="195">
        <v>409</v>
      </c>
      <c r="AB411" s="197">
        <v>17551104887.661205</v>
      </c>
      <c r="AC411" s="198">
        <v>290294.75847585499</v>
      </c>
      <c r="AD411" s="197">
        <v>60459.599683474829</v>
      </c>
      <c r="AE411" s="195">
        <v>0</v>
      </c>
      <c r="AF411" s="195">
        <v>0</v>
      </c>
    </row>
    <row r="412" spans="27:32" x14ac:dyDescent="0.25">
      <c r="AA412" s="195">
        <v>410</v>
      </c>
      <c r="AB412" s="197">
        <v>15803067341.433094</v>
      </c>
      <c r="AC412" s="198">
        <v>696029.24462001026</v>
      </c>
      <c r="AD412" s="197">
        <v>22704.602520057342</v>
      </c>
      <c r="AE412" s="195">
        <v>0</v>
      </c>
      <c r="AF412" s="195">
        <v>0</v>
      </c>
    </row>
    <row r="413" spans="27:32" x14ac:dyDescent="0.25">
      <c r="AA413" s="195">
        <v>411</v>
      </c>
      <c r="AB413" s="197">
        <v>17439056114.782845</v>
      </c>
      <c r="AC413" s="198">
        <v>316390.35867877305</v>
      </c>
      <c r="AD413" s="197">
        <v>55118.797512058474</v>
      </c>
      <c r="AE413" s="195">
        <v>0</v>
      </c>
      <c r="AF413" s="195">
        <v>0</v>
      </c>
    </row>
    <row r="414" spans="27:32" x14ac:dyDescent="0.25">
      <c r="AA414" s="195">
        <v>412</v>
      </c>
      <c r="AB414" s="197">
        <v>15927908332.198727</v>
      </c>
      <c r="AC414" s="198">
        <v>667149.8916317746</v>
      </c>
      <c r="AD414" s="197">
        <v>23874.557325102505</v>
      </c>
      <c r="AE414" s="195">
        <v>0</v>
      </c>
      <c r="AF414" s="195">
        <v>0</v>
      </c>
    </row>
    <row r="415" spans="27:32" x14ac:dyDescent="0.25">
      <c r="AA415" s="195">
        <v>413</v>
      </c>
      <c r="AB415" s="197">
        <v>17951555318.533264</v>
      </c>
      <c r="AC415" s="198">
        <v>196933.04582355171</v>
      </c>
      <c r="AD415" s="197">
        <v>91155.627251190323</v>
      </c>
      <c r="AE415" s="195">
        <v>0</v>
      </c>
      <c r="AF415" s="195">
        <v>0</v>
      </c>
    </row>
    <row r="416" spans="27:32" x14ac:dyDescent="0.25">
      <c r="AA416" s="195">
        <v>414</v>
      </c>
      <c r="AB416" s="197">
        <v>16151799456.19478</v>
      </c>
      <c r="AC416" s="198">
        <v>615319.90432072431</v>
      </c>
      <c r="AD416" s="197">
        <v>26249.434388158439</v>
      </c>
      <c r="AE416" s="195">
        <v>0</v>
      </c>
      <c r="AF416" s="195">
        <v>0</v>
      </c>
    </row>
    <row r="417" spans="27:32" x14ac:dyDescent="0.25">
      <c r="AA417" s="195">
        <v>415</v>
      </c>
      <c r="AB417" s="197">
        <v>17579157162.042919</v>
      </c>
      <c r="AC417" s="198">
        <v>283759.63209797442</v>
      </c>
      <c r="AD417" s="197">
        <v>61950.873815530314</v>
      </c>
      <c r="AE417" s="195">
        <v>0</v>
      </c>
      <c r="AF417" s="195">
        <v>0</v>
      </c>
    </row>
    <row r="418" spans="27:32" x14ac:dyDescent="0.25">
      <c r="AA418" s="195">
        <v>416</v>
      </c>
      <c r="AB418" s="197">
        <v>19081953974.991734</v>
      </c>
      <c r="AC418" s="198">
        <v>-67444.123838104308</v>
      </c>
      <c r="AD418" s="197">
        <v>-282929.82233406801</v>
      </c>
      <c r="AE418" s="195">
        <v>0</v>
      </c>
      <c r="AF418" s="195">
        <v>0</v>
      </c>
    </row>
    <row r="419" spans="27:32" x14ac:dyDescent="0.25">
      <c r="AA419" s="195">
        <v>417</v>
      </c>
      <c r="AB419" s="197">
        <v>17467731699.882942</v>
      </c>
      <c r="AC419" s="198">
        <v>309713.10858520865</v>
      </c>
      <c r="AD419" s="197">
        <v>56399.717079063179</v>
      </c>
      <c r="AE419" s="195">
        <v>0</v>
      </c>
      <c r="AF419" s="195">
        <v>0</v>
      </c>
    </row>
    <row r="420" spans="27:32" x14ac:dyDescent="0.25">
      <c r="AA420" s="195">
        <v>418</v>
      </c>
      <c r="AB420" s="197">
        <v>18296445584.408268</v>
      </c>
      <c r="AC420" s="198">
        <v>116400.89570266008</v>
      </c>
      <c r="AD420" s="197">
        <v>157184.74908599988</v>
      </c>
      <c r="AE420" s="195">
        <v>0</v>
      </c>
      <c r="AF420" s="195">
        <v>0</v>
      </c>
    </row>
    <row r="421" spans="27:32" x14ac:dyDescent="0.25">
      <c r="AA421" s="195">
        <v>419</v>
      </c>
      <c r="AB421" s="197">
        <v>17398968138.011856</v>
      </c>
      <c r="AC421" s="198">
        <v>325723.7133968994</v>
      </c>
      <c r="AD421" s="197">
        <v>53416.338517579599</v>
      </c>
      <c r="AE421" s="195">
        <v>0</v>
      </c>
      <c r="AF421" s="195">
        <v>0</v>
      </c>
    </row>
    <row r="422" spans="27:32" x14ac:dyDescent="0.25">
      <c r="AA422" s="195">
        <v>420</v>
      </c>
      <c r="AB422" s="197">
        <v>17124391103.574192</v>
      </c>
      <c r="AC422" s="198">
        <v>389609.66384992003</v>
      </c>
      <c r="AD422" s="197">
        <v>43952.685706919758</v>
      </c>
      <c r="AE422" s="195">
        <v>0</v>
      </c>
      <c r="AF422" s="195">
        <v>0</v>
      </c>
    </row>
    <row r="423" spans="27:32" x14ac:dyDescent="0.25">
      <c r="AA423" s="195">
        <v>421</v>
      </c>
      <c r="AB423" s="197">
        <v>16723729610.149912</v>
      </c>
      <c r="AC423" s="198">
        <v>482701.64151469618</v>
      </c>
      <c r="AD423" s="197">
        <v>34646.100555348428</v>
      </c>
      <c r="AE423" s="195">
        <v>0</v>
      </c>
      <c r="AF423" s="195">
        <v>0</v>
      </c>
    </row>
    <row r="424" spans="27:32" x14ac:dyDescent="0.25">
      <c r="AA424" s="195">
        <v>422</v>
      </c>
      <c r="AB424" s="197">
        <v>16898069641.183283</v>
      </c>
      <c r="AC424" s="198">
        <v>442213.45083968341</v>
      </c>
      <c r="AD424" s="197">
        <v>38212.473205183836</v>
      </c>
      <c r="AE424" s="195">
        <v>0</v>
      </c>
      <c r="AF424" s="195">
        <v>0</v>
      </c>
    </row>
    <row r="425" spans="27:32" x14ac:dyDescent="0.25">
      <c r="AA425" s="195">
        <v>423</v>
      </c>
      <c r="AB425" s="197">
        <v>16431939573.391289</v>
      </c>
      <c r="AC425" s="198">
        <v>550400.7094277963</v>
      </c>
      <c r="AD425" s="197">
        <v>29854.502895670583</v>
      </c>
      <c r="AE425" s="195">
        <v>0</v>
      </c>
      <c r="AF425" s="195">
        <v>0</v>
      </c>
    </row>
    <row r="426" spans="27:32" x14ac:dyDescent="0.25">
      <c r="AA426" s="195">
        <v>424</v>
      </c>
      <c r="AB426" s="197">
        <v>16112365047.891167</v>
      </c>
      <c r="AC426" s="198">
        <v>624452.31789091229</v>
      </c>
      <c r="AD426" s="197">
        <v>25802.394492362011</v>
      </c>
      <c r="AE426" s="195">
        <v>0</v>
      </c>
      <c r="AF426" s="195">
        <v>0</v>
      </c>
    </row>
    <row r="427" spans="27:32" x14ac:dyDescent="0.25">
      <c r="AA427" s="195">
        <v>425</v>
      </c>
      <c r="AB427" s="197">
        <v>16782294441.267246</v>
      </c>
      <c r="AC427" s="198">
        <v>469103.98445276916</v>
      </c>
      <c r="AD427" s="197">
        <v>35775.211887924052</v>
      </c>
      <c r="AE427" s="195">
        <v>0</v>
      </c>
      <c r="AF427" s="195">
        <v>0</v>
      </c>
    </row>
    <row r="428" spans="27:32" x14ac:dyDescent="0.25">
      <c r="AA428" s="195">
        <v>426</v>
      </c>
      <c r="AB428" s="197">
        <v>18453742071.349636</v>
      </c>
      <c r="AC428" s="198">
        <v>79633.965647131205</v>
      </c>
      <c r="AD428" s="197">
        <v>231732.04952671382</v>
      </c>
      <c r="AE428" s="195">
        <v>0</v>
      </c>
      <c r="AF428" s="195">
        <v>0</v>
      </c>
    </row>
    <row r="429" spans="27:32" x14ac:dyDescent="0.25">
      <c r="AA429" s="195">
        <v>427</v>
      </c>
      <c r="AB429" s="197">
        <v>17026689463.157356</v>
      </c>
      <c r="AC429" s="198">
        <v>412324.45036496222</v>
      </c>
      <c r="AD429" s="197">
        <v>41294.396798653252</v>
      </c>
      <c r="AE429" s="195">
        <v>0</v>
      </c>
      <c r="AF429" s="195">
        <v>0</v>
      </c>
    </row>
    <row r="430" spans="27:32" x14ac:dyDescent="0.25">
      <c r="AA430" s="195">
        <v>428</v>
      </c>
      <c r="AB430" s="197">
        <v>17451678516.705151</v>
      </c>
      <c r="AC430" s="198">
        <v>313451.26823429763</v>
      </c>
      <c r="AD430" s="197">
        <v>55675.890593814482</v>
      </c>
      <c r="AE430" s="195">
        <v>0</v>
      </c>
      <c r="AF430" s="195">
        <v>0</v>
      </c>
    </row>
    <row r="431" spans="27:32" x14ac:dyDescent="0.25">
      <c r="AA431" s="195">
        <v>429</v>
      </c>
      <c r="AB431" s="197">
        <v>16946429578.651833</v>
      </c>
      <c r="AC431" s="198">
        <v>430977.31184338778</v>
      </c>
      <c r="AD431" s="197">
        <v>39320.932014189115</v>
      </c>
      <c r="AE431" s="195">
        <v>0</v>
      </c>
      <c r="AF431" s="195">
        <v>0</v>
      </c>
    </row>
    <row r="432" spans="27:32" x14ac:dyDescent="0.25">
      <c r="AA432" s="195">
        <v>430</v>
      </c>
      <c r="AB432" s="197">
        <v>15933586421.618065</v>
      </c>
      <c r="AC432" s="198">
        <v>665836.02888577431</v>
      </c>
      <c r="AD432" s="197">
        <v>23930.195619305407</v>
      </c>
      <c r="AE432" s="195">
        <v>0</v>
      </c>
      <c r="AF432" s="195">
        <v>0</v>
      </c>
    </row>
    <row r="433" spans="27:32" x14ac:dyDescent="0.25">
      <c r="AA433" s="195">
        <v>431</v>
      </c>
      <c r="AB433" s="197">
        <v>17291596060.113579</v>
      </c>
      <c r="AC433" s="198">
        <v>350714.65501646698</v>
      </c>
      <c r="AD433" s="197">
        <v>49303.887969271469</v>
      </c>
      <c r="AE433" s="195">
        <v>0</v>
      </c>
      <c r="AF433" s="195">
        <v>0</v>
      </c>
    </row>
    <row r="434" spans="27:32" x14ac:dyDescent="0.25">
      <c r="AA434" s="195">
        <v>432</v>
      </c>
      <c r="AB434" s="197">
        <v>15695362356.346085</v>
      </c>
      <c r="AC434" s="198">
        <v>720932.52915640175</v>
      </c>
      <c r="AD434" s="197">
        <v>21770.917140764883</v>
      </c>
      <c r="AE434" s="195">
        <v>0</v>
      </c>
      <c r="AF434" s="195">
        <v>0</v>
      </c>
    </row>
    <row r="435" spans="27:32" x14ac:dyDescent="0.25">
      <c r="AA435" s="195">
        <v>433</v>
      </c>
      <c r="AB435" s="197">
        <v>16653822687.099848</v>
      </c>
      <c r="AC435" s="198">
        <v>498928.40448311716</v>
      </c>
      <c r="AD435" s="197">
        <v>33379.183340649797</v>
      </c>
      <c r="AE435" s="195">
        <v>0</v>
      </c>
      <c r="AF435" s="195">
        <v>0</v>
      </c>
    </row>
    <row r="436" spans="27:32" x14ac:dyDescent="0.25">
      <c r="AA436" s="195">
        <v>434</v>
      </c>
      <c r="AB436" s="197">
        <v>16509711398.825224</v>
      </c>
      <c r="AC436" s="198">
        <v>532364.63362623751</v>
      </c>
      <c r="AD436" s="197">
        <v>31012.036405138737</v>
      </c>
      <c r="AE436" s="195">
        <v>0</v>
      </c>
      <c r="AF436" s="195">
        <v>0</v>
      </c>
    </row>
    <row r="437" spans="27:32" x14ac:dyDescent="0.25">
      <c r="AA437" s="195">
        <v>435</v>
      </c>
      <c r="AB437" s="197">
        <v>17201503197.904434</v>
      </c>
      <c r="AC437" s="198">
        <v>371675.28604148328</v>
      </c>
      <c r="AD437" s="197">
        <v>46280.998075251489</v>
      </c>
      <c r="AE437" s="195">
        <v>0</v>
      </c>
      <c r="AF437" s="195">
        <v>0</v>
      </c>
    </row>
    <row r="438" spans="27:32" x14ac:dyDescent="0.25">
      <c r="AA438" s="195">
        <v>436</v>
      </c>
      <c r="AB438" s="197">
        <v>18351262028.481796</v>
      </c>
      <c r="AC438" s="198">
        <v>103590.65205979347</v>
      </c>
      <c r="AD438" s="197">
        <v>177151.71845707932</v>
      </c>
      <c r="AE438" s="195">
        <v>0</v>
      </c>
      <c r="AF438" s="195">
        <v>0</v>
      </c>
    </row>
    <row r="439" spans="27:32" x14ac:dyDescent="0.25">
      <c r="AA439" s="195">
        <v>437</v>
      </c>
      <c r="AB439" s="197">
        <v>16976846176.593821</v>
      </c>
      <c r="AC439" s="198">
        <v>423909.04739227891</v>
      </c>
      <c r="AD439" s="197">
        <v>40048.322348929978</v>
      </c>
      <c r="AE439" s="195">
        <v>0</v>
      </c>
      <c r="AF439" s="195">
        <v>0</v>
      </c>
    </row>
    <row r="440" spans="27:32" x14ac:dyDescent="0.25">
      <c r="AA440" s="195">
        <v>438</v>
      </c>
      <c r="AB440" s="197">
        <v>17947733787.422878</v>
      </c>
      <c r="AC440" s="198">
        <v>197824.7342409268</v>
      </c>
      <c r="AD440" s="197">
        <v>90725.428527884142</v>
      </c>
      <c r="AE440" s="195">
        <v>0</v>
      </c>
      <c r="AF440" s="195">
        <v>0</v>
      </c>
    </row>
    <row r="441" spans="27:32" x14ac:dyDescent="0.25">
      <c r="AA441" s="195">
        <v>439</v>
      </c>
      <c r="AB441" s="197">
        <v>17965443106.457222</v>
      </c>
      <c r="AC441" s="198">
        <v>193692.45139776915</v>
      </c>
      <c r="AD441" s="197">
        <v>92752.417437080047</v>
      </c>
      <c r="AE441" s="195">
        <v>0</v>
      </c>
      <c r="AF441" s="195">
        <v>0</v>
      </c>
    </row>
    <row r="442" spans="27:32" x14ac:dyDescent="0.25">
      <c r="AA442" s="195">
        <v>440</v>
      </c>
      <c r="AB442" s="197">
        <v>17960255426.96505</v>
      </c>
      <c r="AC442" s="198">
        <v>194902.97299394011</v>
      </c>
      <c r="AD442" s="197">
        <v>92149.725327809472</v>
      </c>
      <c r="AE442" s="195">
        <v>0</v>
      </c>
      <c r="AF442" s="195">
        <v>0</v>
      </c>
    </row>
    <row r="443" spans="27:32" x14ac:dyDescent="0.25">
      <c r="AA443" s="195">
        <v>441</v>
      </c>
      <c r="AB443" s="197">
        <v>15586382201.897478</v>
      </c>
      <c r="AC443" s="198">
        <v>746119.33290624619</v>
      </c>
      <c r="AD443" s="197">
        <v>20889.932098644585</v>
      </c>
      <c r="AE443" s="195">
        <v>0</v>
      </c>
      <c r="AF443" s="195">
        <v>0</v>
      </c>
    </row>
    <row r="444" spans="27:32" x14ac:dyDescent="0.25">
      <c r="AA444" s="195">
        <v>442</v>
      </c>
      <c r="AB444" s="197">
        <v>17274052807.906662</v>
      </c>
      <c r="AC444" s="198">
        <v>354796.80744047463</v>
      </c>
      <c r="AD444" s="197">
        <v>48687.170926149847</v>
      </c>
      <c r="AE444" s="195">
        <v>0</v>
      </c>
      <c r="AF444" s="195">
        <v>0</v>
      </c>
    </row>
    <row r="445" spans="27:32" x14ac:dyDescent="0.25">
      <c r="AA445" s="195">
        <v>443</v>
      </c>
      <c r="AB445" s="197">
        <v>16214277253.316269</v>
      </c>
      <c r="AC445" s="198">
        <v>600847.93392641842</v>
      </c>
      <c r="AD445" s="197">
        <v>26985.658663015252</v>
      </c>
      <c r="AE445" s="195">
        <v>0</v>
      </c>
      <c r="AF445" s="195">
        <v>0</v>
      </c>
    </row>
    <row r="446" spans="27:32" x14ac:dyDescent="0.25">
      <c r="AA446" s="195">
        <v>444</v>
      </c>
      <c r="AB446" s="197">
        <v>17981894770.597317</v>
      </c>
      <c r="AC446" s="198">
        <v>189853.35831446201</v>
      </c>
      <c r="AD446" s="197">
        <v>94714.652035878957</v>
      </c>
      <c r="AE446" s="195">
        <v>0</v>
      </c>
      <c r="AF446" s="195">
        <v>0</v>
      </c>
    </row>
    <row r="447" spans="27:32" x14ac:dyDescent="0.25">
      <c r="AA447" s="195">
        <v>445</v>
      </c>
      <c r="AB447" s="197">
        <v>17338056183.924244</v>
      </c>
      <c r="AC447" s="198">
        <v>339902.38363204151</v>
      </c>
      <c r="AD447" s="197">
        <v>51008.927912354426</v>
      </c>
      <c r="AE447" s="195">
        <v>0</v>
      </c>
      <c r="AF447" s="195">
        <v>0</v>
      </c>
    </row>
    <row r="448" spans="27:32" x14ac:dyDescent="0.25">
      <c r="AA448" s="195">
        <v>446</v>
      </c>
      <c r="AB448" s="197">
        <v>16696131174.216675</v>
      </c>
      <c r="AC448" s="198">
        <v>489108.33885255456</v>
      </c>
      <c r="AD448" s="197">
        <v>34135.854672577669</v>
      </c>
      <c r="AE448" s="195">
        <v>0</v>
      </c>
      <c r="AF448" s="195">
        <v>0</v>
      </c>
    </row>
    <row r="449" spans="27:32" x14ac:dyDescent="0.25">
      <c r="AA449" s="195">
        <v>447</v>
      </c>
      <c r="AB449" s="197">
        <v>18412564147.378006</v>
      </c>
      <c r="AC449" s="198">
        <v>89261.316709809005</v>
      </c>
      <c r="AD449" s="197">
        <v>206277.08425182386</v>
      </c>
      <c r="AE449" s="195">
        <v>0</v>
      </c>
      <c r="AF449" s="195">
        <v>0</v>
      </c>
    </row>
    <row r="450" spans="27:32" x14ac:dyDescent="0.25">
      <c r="AA450" s="195">
        <v>448</v>
      </c>
      <c r="AB450" s="197">
        <v>15526239999.107706</v>
      </c>
      <c r="AC450" s="198">
        <v>760014.14237412065</v>
      </c>
      <c r="AD450" s="197">
        <v>20428.883008159653</v>
      </c>
      <c r="AE450" s="195">
        <v>0</v>
      </c>
      <c r="AF450" s="195">
        <v>0</v>
      </c>
    </row>
    <row r="451" spans="27:32" x14ac:dyDescent="0.25">
      <c r="AA451" s="195">
        <v>449</v>
      </c>
      <c r="AB451" s="197">
        <v>18289249615.252213</v>
      </c>
      <c r="AC451" s="198">
        <v>118082.33139166236</v>
      </c>
      <c r="AD451" s="197">
        <v>154885.57347829934</v>
      </c>
      <c r="AE451" s="195">
        <v>0</v>
      </c>
      <c r="AF451" s="195">
        <v>0</v>
      </c>
    </row>
    <row r="452" spans="27:32" x14ac:dyDescent="0.25">
      <c r="AA452" s="195">
        <v>450</v>
      </c>
      <c r="AB452" s="197">
        <v>17667831231.457706</v>
      </c>
      <c r="AC452" s="198">
        <v>263096.92159318179</v>
      </c>
      <c r="AD452" s="197">
        <v>67153.317965372844</v>
      </c>
      <c r="AE452" s="195">
        <v>0</v>
      </c>
      <c r="AF452" s="195">
        <v>0</v>
      </c>
    </row>
    <row r="453" spans="27:32" x14ac:dyDescent="0.25">
      <c r="AA453" s="195">
        <v>451</v>
      </c>
      <c r="AB453" s="197">
        <v>16558253244.3736</v>
      </c>
      <c r="AC453" s="198">
        <v>521104.34202937782</v>
      </c>
      <c r="AD453" s="197">
        <v>31775.312368132429</v>
      </c>
      <c r="AE453" s="195">
        <v>0</v>
      </c>
      <c r="AF453" s="195">
        <v>0</v>
      </c>
    </row>
    <row r="454" spans="27:32" x14ac:dyDescent="0.25">
      <c r="AA454" s="195">
        <v>452</v>
      </c>
      <c r="AB454" s="197">
        <v>16632167709.386408</v>
      </c>
      <c r="AC454" s="198">
        <v>503953.9953641668</v>
      </c>
      <c r="AD454" s="197">
        <v>33003.34527037073</v>
      </c>
      <c r="AE454" s="195">
        <v>0</v>
      </c>
      <c r="AF454" s="195">
        <v>0</v>
      </c>
    </row>
    <row r="455" spans="27:32" x14ac:dyDescent="0.25">
      <c r="AA455" s="195">
        <v>453</v>
      </c>
      <c r="AB455" s="197">
        <v>17017642619.865549</v>
      </c>
      <c r="AC455" s="198">
        <v>414427.29882972687</v>
      </c>
      <c r="AD455" s="197">
        <v>41063.034862617678</v>
      </c>
      <c r="AE455" s="195">
        <v>0</v>
      </c>
      <c r="AF455" s="195">
        <v>0</v>
      </c>
    </row>
    <row r="456" spans="27:32" x14ac:dyDescent="0.25">
      <c r="AA456" s="195">
        <v>454</v>
      </c>
      <c r="AB456" s="197">
        <v>16960856196.721254</v>
      </c>
      <c r="AC456" s="198">
        <v>427624.93894943595</v>
      </c>
      <c r="AD456" s="197">
        <v>39662.925736720827</v>
      </c>
      <c r="AE456" s="195">
        <v>0</v>
      </c>
      <c r="AF456" s="195">
        <v>0</v>
      </c>
    </row>
    <row r="457" spans="27:32" x14ac:dyDescent="0.25">
      <c r="AA457" s="195">
        <v>455</v>
      </c>
      <c r="AB457" s="197">
        <v>14984762401.828564</v>
      </c>
      <c r="AC457" s="198">
        <v>884957.03508091718</v>
      </c>
      <c r="AD457" s="197">
        <v>16932.756967640144</v>
      </c>
      <c r="AE457" s="195">
        <v>0</v>
      </c>
      <c r="AF457" s="195">
        <v>0</v>
      </c>
    </row>
    <row r="458" spans="27:32" x14ac:dyDescent="0.25">
      <c r="AA458" s="195">
        <v>456</v>
      </c>
      <c r="AB458" s="197">
        <v>18490992724.990852</v>
      </c>
      <c r="AC458" s="198">
        <v>70923.396987468004</v>
      </c>
      <c r="AD458" s="197">
        <v>260717.80978367641</v>
      </c>
      <c r="AE458" s="195">
        <v>0</v>
      </c>
      <c r="AF458" s="195">
        <v>0</v>
      </c>
    </row>
    <row r="459" spans="27:32" x14ac:dyDescent="0.25">
      <c r="AA459" s="195">
        <v>457</v>
      </c>
      <c r="AB459" s="197">
        <v>15591293321.654549</v>
      </c>
      <c r="AC459" s="198">
        <v>744984.5509993434</v>
      </c>
      <c r="AD459" s="197">
        <v>20928.3444881373</v>
      </c>
      <c r="AE459" s="195">
        <v>0</v>
      </c>
      <c r="AF459" s="195">
        <v>0</v>
      </c>
    </row>
    <row r="460" spans="27:32" x14ac:dyDescent="0.25">
      <c r="AA460" s="195">
        <v>458</v>
      </c>
      <c r="AB460" s="197">
        <v>16670192901.978703</v>
      </c>
      <c r="AC460" s="198">
        <v>495128.97878585756</v>
      </c>
      <c r="AD460" s="197">
        <v>33668.384635568931</v>
      </c>
      <c r="AE460" s="195">
        <v>0</v>
      </c>
      <c r="AF460" s="195">
        <v>0</v>
      </c>
    </row>
    <row r="461" spans="27:32" x14ac:dyDescent="0.25">
      <c r="AA461" s="195">
        <v>459</v>
      </c>
      <c r="AB461" s="197">
        <v>17437959357.738331</v>
      </c>
      <c r="AC461" s="198">
        <v>316645.72820131481</v>
      </c>
      <c r="AD461" s="197">
        <v>55070.881444677965</v>
      </c>
      <c r="AE461" s="195">
        <v>0</v>
      </c>
      <c r="AF461" s="195">
        <v>0</v>
      </c>
    </row>
    <row r="462" spans="27:32" x14ac:dyDescent="0.25">
      <c r="AA462" s="195">
        <v>460</v>
      </c>
      <c r="AB462" s="197">
        <v>16804824384.891607</v>
      </c>
      <c r="AC462" s="198">
        <v>463872.07545051724</v>
      </c>
      <c r="AD462" s="197">
        <v>36227.281774982017</v>
      </c>
      <c r="AE462" s="195">
        <v>0</v>
      </c>
      <c r="AF462" s="195">
        <v>0</v>
      </c>
    </row>
    <row r="463" spans="27:32" x14ac:dyDescent="0.25">
      <c r="AA463" s="195">
        <v>461</v>
      </c>
      <c r="AB463" s="197">
        <v>17035420963.620115</v>
      </c>
      <c r="AC463" s="198">
        <v>410294.82555735111</v>
      </c>
      <c r="AD463" s="197">
        <v>41519.950782900865</v>
      </c>
      <c r="AE463" s="195">
        <v>0</v>
      </c>
      <c r="AF463" s="195">
        <v>0</v>
      </c>
    </row>
    <row r="464" spans="27:32" x14ac:dyDescent="0.25">
      <c r="AA464" s="195">
        <v>462</v>
      </c>
      <c r="AB464" s="197">
        <v>16711332140.389767</v>
      </c>
      <c r="AC464" s="198">
        <v>485579.67908771336</v>
      </c>
      <c r="AD464" s="197">
        <v>34415.221353138819</v>
      </c>
      <c r="AE464" s="195">
        <v>0</v>
      </c>
      <c r="AF464" s="195">
        <v>0</v>
      </c>
    </row>
    <row r="465" spans="27:32" x14ac:dyDescent="0.25">
      <c r="AA465" s="195">
        <v>463</v>
      </c>
      <c r="AB465" s="197">
        <v>15092173062.689762</v>
      </c>
      <c r="AC465" s="198">
        <v>860194.96368493885</v>
      </c>
      <c r="AD465" s="197">
        <v>17545.060945296966</v>
      </c>
      <c r="AE465" s="195">
        <v>0</v>
      </c>
      <c r="AF465" s="195">
        <v>0</v>
      </c>
    </row>
    <row r="466" spans="27:32" x14ac:dyDescent="0.25">
      <c r="AA466" s="195">
        <v>464</v>
      </c>
      <c r="AB466" s="197">
        <v>16632634327.184797</v>
      </c>
      <c r="AC466" s="198">
        <v>503845.70953146368</v>
      </c>
      <c r="AD466" s="197">
        <v>33011.364416800971</v>
      </c>
      <c r="AE466" s="195">
        <v>0</v>
      </c>
      <c r="AF466" s="195">
        <v>0</v>
      </c>
    </row>
    <row r="467" spans="27:32" x14ac:dyDescent="0.25">
      <c r="AA467" s="195">
        <v>465</v>
      </c>
      <c r="AB467" s="197">
        <v>17255555510.397991</v>
      </c>
      <c r="AC467" s="198">
        <v>359100.63667587936</v>
      </c>
      <c r="AD467" s="197">
        <v>48052.144017702434</v>
      </c>
      <c r="AE467" s="195">
        <v>0</v>
      </c>
      <c r="AF467" s="195">
        <v>0</v>
      </c>
    </row>
    <row r="468" spans="27:32" x14ac:dyDescent="0.25">
      <c r="AA468" s="195">
        <v>466</v>
      </c>
      <c r="AB468" s="197">
        <v>15004682403.155474</v>
      </c>
      <c r="AC468" s="198">
        <v>880365.58332582563</v>
      </c>
      <c r="AD468" s="197">
        <v>17043.694900556104</v>
      </c>
      <c r="AE468" s="195">
        <v>0</v>
      </c>
      <c r="AF468" s="195">
        <v>0</v>
      </c>
    </row>
    <row r="469" spans="27:32" x14ac:dyDescent="0.25">
      <c r="AA469" s="195">
        <v>467</v>
      </c>
      <c r="AB469" s="197">
        <v>17233998609.685776</v>
      </c>
      <c r="AC469" s="198">
        <v>364115.93886069208</v>
      </c>
      <c r="AD469" s="197">
        <v>47331.074447359933</v>
      </c>
      <c r="AE469" s="195">
        <v>0</v>
      </c>
      <c r="AF469" s="195">
        <v>0</v>
      </c>
    </row>
    <row r="470" spans="27:32" x14ac:dyDescent="0.25">
      <c r="AA470" s="195">
        <v>468</v>
      </c>
      <c r="AB470" s="197">
        <v>17348390808.835472</v>
      </c>
      <c r="AC470" s="198">
        <v>337497.01145625114</v>
      </c>
      <c r="AD470" s="197">
        <v>51403.09460513341</v>
      </c>
      <c r="AE470" s="195">
        <v>0</v>
      </c>
      <c r="AF470" s="195">
        <v>0</v>
      </c>
    </row>
    <row r="471" spans="27:32" x14ac:dyDescent="0.25">
      <c r="AA471" s="195">
        <v>469</v>
      </c>
      <c r="AB471" s="197">
        <v>16888574469.042767</v>
      </c>
      <c r="AC471" s="198">
        <v>444419.33259306103</v>
      </c>
      <c r="AD471" s="197">
        <v>38001.439699984956</v>
      </c>
      <c r="AE471" s="195">
        <v>0</v>
      </c>
      <c r="AF471" s="195">
        <v>0</v>
      </c>
    </row>
    <row r="472" spans="27:32" x14ac:dyDescent="0.25">
      <c r="AA472" s="195">
        <v>470</v>
      </c>
      <c r="AB472" s="197">
        <v>16126726408.813929</v>
      </c>
      <c r="AC472" s="198">
        <v>621126.61634068936</v>
      </c>
      <c r="AD472" s="197">
        <v>25963.669861425456</v>
      </c>
      <c r="AE472" s="195">
        <v>0</v>
      </c>
      <c r="AF472" s="195">
        <v>0</v>
      </c>
    </row>
    <row r="473" spans="27:32" x14ac:dyDescent="0.25">
      <c r="AA473" s="195">
        <v>471</v>
      </c>
      <c r="AB473" s="197">
        <v>15023558854.54649</v>
      </c>
      <c r="AC473" s="198">
        <v>876014.31352549791</v>
      </c>
      <c r="AD473" s="197">
        <v>17149.901117579404</v>
      </c>
      <c r="AE473" s="195">
        <v>0</v>
      </c>
      <c r="AF473" s="195">
        <v>0</v>
      </c>
    </row>
    <row r="474" spans="27:32" x14ac:dyDescent="0.25">
      <c r="AA474" s="195">
        <v>472</v>
      </c>
      <c r="AB474" s="197">
        <v>16504738953.251589</v>
      </c>
      <c r="AC474" s="198">
        <v>533517.96808290482</v>
      </c>
      <c r="AD474" s="197">
        <v>30935.675910894293</v>
      </c>
      <c r="AE474" s="195">
        <v>0</v>
      </c>
      <c r="AF474" s="195">
        <v>0</v>
      </c>
    </row>
    <row r="475" spans="27:32" x14ac:dyDescent="0.25">
      <c r="AA475" s="195">
        <v>473</v>
      </c>
      <c r="AB475" s="197">
        <v>16641785452.55069</v>
      </c>
      <c r="AC475" s="198">
        <v>501722.00794105977</v>
      </c>
      <c r="AD475" s="197">
        <v>33169.335187914854</v>
      </c>
      <c r="AE475" s="195">
        <v>0</v>
      </c>
      <c r="AF475" s="195">
        <v>0</v>
      </c>
    </row>
    <row r="476" spans="27:32" x14ac:dyDescent="0.25">
      <c r="AA476" s="195">
        <v>474</v>
      </c>
      <c r="AB476" s="197">
        <v>16870216239.261654</v>
      </c>
      <c r="AC476" s="198">
        <v>448683.99991237372</v>
      </c>
      <c r="AD476" s="197">
        <v>37599.326569604316</v>
      </c>
      <c r="AE476" s="195">
        <v>0</v>
      </c>
      <c r="AF476" s="195">
        <v>0</v>
      </c>
    </row>
    <row r="477" spans="27:32" x14ac:dyDescent="0.25">
      <c r="AA477" s="195">
        <v>475</v>
      </c>
      <c r="AB477" s="197">
        <v>16658647415.033331</v>
      </c>
      <c r="AC477" s="198">
        <v>497808.64171160758</v>
      </c>
      <c r="AD477" s="197">
        <v>33463.95787296132</v>
      </c>
      <c r="AE477" s="195">
        <v>0</v>
      </c>
      <c r="AF477" s="195">
        <v>0</v>
      </c>
    </row>
    <row r="478" spans="27:32" x14ac:dyDescent="0.25">
      <c r="AA478" s="195">
        <v>476</v>
      </c>
      <c r="AB478" s="197">
        <v>17356404384.186794</v>
      </c>
      <c r="AC478" s="198">
        <v>335631.79017809033</v>
      </c>
      <c r="AD478" s="197">
        <v>51712.635370377975</v>
      </c>
      <c r="AE478" s="195">
        <v>0</v>
      </c>
      <c r="AF478" s="195">
        <v>0</v>
      </c>
    </row>
    <row r="479" spans="27:32" x14ac:dyDescent="0.25">
      <c r="AA479" s="195">
        <v>477</v>
      </c>
      <c r="AB479" s="197">
        <v>18283381993.65218</v>
      </c>
      <c r="AC479" s="198">
        <v>119453.34372473508</v>
      </c>
      <c r="AD479" s="197">
        <v>153058.77109462829</v>
      </c>
      <c r="AE479" s="195">
        <v>0</v>
      </c>
      <c r="AF479" s="195">
        <v>0</v>
      </c>
    </row>
    <row r="480" spans="27:32" x14ac:dyDescent="0.25">
      <c r="AA480" s="195">
        <v>478</v>
      </c>
      <c r="AB480" s="197">
        <v>17123113857.549433</v>
      </c>
      <c r="AC480" s="198">
        <v>389906.6717294082</v>
      </c>
      <c r="AD480" s="197">
        <v>43915.929372536419</v>
      </c>
      <c r="AE480" s="195">
        <v>0</v>
      </c>
      <c r="AF480" s="195">
        <v>0</v>
      </c>
    </row>
    <row r="481" spans="27:32" x14ac:dyDescent="0.25">
      <c r="AA481" s="195">
        <v>479</v>
      </c>
      <c r="AB481" s="197">
        <v>18261319203.511696</v>
      </c>
      <c r="AC481" s="198">
        <v>124608.17755995691</v>
      </c>
      <c r="AD481" s="197">
        <v>146549.92602491932</v>
      </c>
      <c r="AE481" s="195">
        <v>0</v>
      </c>
      <c r="AF481" s="195">
        <v>0</v>
      </c>
    </row>
    <row r="482" spans="27:32" x14ac:dyDescent="0.25">
      <c r="AA482" s="195">
        <v>480</v>
      </c>
      <c r="AB482" s="197">
        <v>17868560076.388882</v>
      </c>
      <c r="AC482" s="198">
        <v>216295.38975109905</v>
      </c>
      <c r="AD482" s="197">
        <v>82611.8397481844</v>
      </c>
      <c r="AE482" s="195">
        <v>0</v>
      </c>
      <c r="AF482" s="195">
        <v>0</v>
      </c>
    </row>
    <row r="483" spans="27:32" x14ac:dyDescent="0.25">
      <c r="AA483" s="195">
        <v>481</v>
      </c>
      <c r="AB483" s="197">
        <v>18817545931.8913</v>
      </c>
      <c r="AC483" s="198">
        <v>-5494.0225961208344</v>
      </c>
      <c r="AD483" s="197">
        <v>-3425094.3826073464</v>
      </c>
      <c r="AE483" s="195">
        <v>0</v>
      </c>
      <c r="AF483" s="195">
        <v>0</v>
      </c>
    </row>
    <row r="484" spans="27:32" x14ac:dyDescent="0.25">
      <c r="AA484" s="195">
        <v>482</v>
      </c>
      <c r="AB484" s="197">
        <v>18007168787.40884</v>
      </c>
      <c r="AC484" s="198">
        <v>183955.00901588798</v>
      </c>
      <c r="AD484" s="197">
        <v>97888.983201613082</v>
      </c>
      <c r="AE484" s="195">
        <v>0</v>
      </c>
      <c r="AF484" s="195">
        <v>0</v>
      </c>
    </row>
    <row r="485" spans="27:32" x14ac:dyDescent="0.25">
      <c r="AA485" s="195">
        <v>483</v>
      </c>
      <c r="AB485" s="197">
        <v>17674504217.322758</v>
      </c>
      <c r="AC485" s="198">
        <v>261541.68523544073</v>
      </c>
      <c r="AD485" s="197">
        <v>67578.153751713064</v>
      </c>
      <c r="AE485" s="195">
        <v>0</v>
      </c>
      <c r="AF485" s="195">
        <v>0</v>
      </c>
    </row>
    <row r="486" spans="27:32" x14ac:dyDescent="0.25">
      <c r="AA486" s="195">
        <v>484</v>
      </c>
      <c r="AB486" s="197">
        <v>17231476357.7047</v>
      </c>
      <c r="AC486" s="198">
        <v>364702.72201031446</v>
      </c>
      <c r="AD486" s="197">
        <v>47248.005890170905</v>
      </c>
      <c r="AE486" s="195">
        <v>0</v>
      </c>
      <c r="AF486" s="195">
        <v>0</v>
      </c>
    </row>
    <row r="487" spans="27:32" x14ac:dyDescent="0.25">
      <c r="AA487" s="195">
        <v>485</v>
      </c>
      <c r="AB487" s="197">
        <v>19093518098.74173</v>
      </c>
      <c r="AC487" s="198">
        <v>-70155.108001306653</v>
      </c>
      <c r="AD487" s="197">
        <v>-272161.48107684631</v>
      </c>
      <c r="AE487" s="195">
        <v>0</v>
      </c>
      <c r="AF487" s="195">
        <v>0</v>
      </c>
    </row>
    <row r="488" spans="27:32" x14ac:dyDescent="0.25">
      <c r="AA488" s="195">
        <v>486</v>
      </c>
      <c r="AB488" s="197">
        <v>17798612972.032455</v>
      </c>
      <c r="AC488" s="198">
        <v>232608.52052024007</v>
      </c>
      <c r="AD488" s="197">
        <v>76517.459172282281</v>
      </c>
      <c r="AE488" s="195">
        <v>0</v>
      </c>
      <c r="AF488" s="195">
        <v>0</v>
      </c>
    </row>
    <row r="489" spans="27:32" x14ac:dyDescent="0.25">
      <c r="AA489" s="195">
        <v>487</v>
      </c>
      <c r="AB489" s="197">
        <v>17584101764.841969</v>
      </c>
      <c r="AC489" s="198">
        <v>282607.64681231976</v>
      </c>
      <c r="AD489" s="197">
        <v>62220.89870243179</v>
      </c>
      <c r="AE489" s="195">
        <v>0</v>
      </c>
      <c r="AF489" s="195">
        <v>0</v>
      </c>
    </row>
    <row r="490" spans="27:32" x14ac:dyDescent="0.25">
      <c r="AA490" s="195">
        <v>488</v>
      </c>
      <c r="AB490" s="197">
        <v>16041987886.981428</v>
      </c>
      <c r="AC490" s="198">
        <v>640746.8971549198</v>
      </c>
      <c r="AD490" s="197">
        <v>25036.38793759589</v>
      </c>
      <c r="AE490" s="195">
        <v>0</v>
      </c>
      <c r="AF490" s="195">
        <v>0</v>
      </c>
    </row>
    <row r="491" spans="27:32" x14ac:dyDescent="0.25">
      <c r="AA491" s="195">
        <v>489</v>
      </c>
      <c r="AB491" s="197">
        <v>16952936181.980413</v>
      </c>
      <c r="AC491" s="198">
        <v>429465.37029717118</v>
      </c>
      <c r="AD491" s="197">
        <v>39474.512625429437</v>
      </c>
      <c r="AE491" s="195">
        <v>0</v>
      </c>
      <c r="AF491" s="195">
        <v>0</v>
      </c>
    </row>
    <row r="492" spans="27:32" x14ac:dyDescent="0.25">
      <c r="AA492" s="195">
        <v>490</v>
      </c>
      <c r="AB492" s="197">
        <v>17562403964.742348</v>
      </c>
      <c r="AC492" s="198">
        <v>287662.58899068087</v>
      </c>
      <c r="AD492" s="197">
        <v>61052.095882065849</v>
      </c>
      <c r="AE492" s="195">
        <v>0</v>
      </c>
      <c r="AF492" s="195">
        <v>0</v>
      </c>
    </row>
    <row r="493" spans="27:32" x14ac:dyDescent="0.25">
      <c r="AA493" s="195">
        <v>491</v>
      </c>
      <c r="AB493" s="197">
        <v>17229016912.076454</v>
      </c>
      <c r="AC493" s="198">
        <v>365274.88783589005</v>
      </c>
      <c r="AD493" s="197">
        <v>47167.263575526908</v>
      </c>
      <c r="AE493" s="195">
        <v>0</v>
      </c>
      <c r="AF493" s="195">
        <v>0</v>
      </c>
    </row>
    <row r="494" spans="27:32" x14ac:dyDescent="0.25">
      <c r="AA494" s="195">
        <v>492</v>
      </c>
      <c r="AB494" s="197">
        <v>17465629485.053364</v>
      </c>
      <c r="AC494" s="198">
        <v>310202.64646300673</v>
      </c>
      <c r="AD494" s="197">
        <v>56303.934489921347</v>
      </c>
      <c r="AE494" s="195">
        <v>0</v>
      </c>
      <c r="AF494" s="195">
        <v>0</v>
      </c>
    </row>
    <row r="495" spans="27:32" x14ac:dyDescent="0.25">
      <c r="AA495" s="195">
        <v>493</v>
      </c>
      <c r="AB495" s="197">
        <v>17414332466.876492</v>
      </c>
      <c r="AC495" s="198">
        <v>322146.74556001276</v>
      </c>
      <c r="AD495" s="197">
        <v>54057.142302039407</v>
      </c>
      <c r="AE495" s="195">
        <v>0</v>
      </c>
      <c r="AF495" s="195">
        <v>0</v>
      </c>
    </row>
    <row r="496" spans="27:32" x14ac:dyDescent="0.25">
      <c r="AA496" s="195">
        <v>494</v>
      </c>
      <c r="AB496" s="197">
        <v>18202398042.50029</v>
      </c>
      <c r="AC496" s="198">
        <v>138372.44062800705</v>
      </c>
      <c r="AD496" s="197">
        <v>131546.41169793793</v>
      </c>
      <c r="AE496" s="195">
        <v>0</v>
      </c>
      <c r="AF496" s="195">
        <v>0</v>
      </c>
    </row>
    <row r="497" spans="27:32" x14ac:dyDescent="0.25">
      <c r="AA497" s="195">
        <v>495</v>
      </c>
      <c r="AB497" s="197">
        <v>16294358191.918764</v>
      </c>
      <c r="AC497" s="198">
        <v>582293.0009496361</v>
      </c>
      <c r="AD497" s="197">
        <v>27983.091270794961</v>
      </c>
      <c r="AE497" s="195">
        <v>0</v>
      </c>
      <c r="AF497" s="195">
        <v>0</v>
      </c>
    </row>
    <row r="498" spans="27:32" x14ac:dyDescent="0.25">
      <c r="AA498" s="195">
        <v>496</v>
      </c>
      <c r="AB498" s="197">
        <v>16848613827.301386</v>
      </c>
      <c r="AC498" s="198">
        <v>453701.88476010412</v>
      </c>
      <c r="AD498" s="197">
        <v>37135.869153839041</v>
      </c>
      <c r="AE498" s="195">
        <v>0</v>
      </c>
      <c r="AF498" s="195">
        <v>0</v>
      </c>
    </row>
    <row r="499" spans="27:32" x14ac:dyDescent="0.25">
      <c r="AA499" s="195">
        <v>497</v>
      </c>
      <c r="AB499" s="197">
        <v>18171555542.182941</v>
      </c>
      <c r="AC499" s="198">
        <v>145576.0607649684</v>
      </c>
      <c r="AD499" s="197">
        <v>124825.16319438537</v>
      </c>
      <c r="AE499" s="195">
        <v>0</v>
      </c>
      <c r="AF499" s="195">
        <v>0</v>
      </c>
    </row>
    <row r="500" spans="27:32" x14ac:dyDescent="0.25">
      <c r="AA500" s="195">
        <v>498</v>
      </c>
      <c r="AB500" s="197">
        <v>16661442236.273594</v>
      </c>
      <c r="AC500" s="198">
        <v>497159.98624678701</v>
      </c>
      <c r="AD500" s="197">
        <v>33513.240600990284</v>
      </c>
      <c r="AE500" s="195">
        <v>0</v>
      </c>
      <c r="AF500" s="195">
        <v>0</v>
      </c>
    </row>
    <row r="501" spans="27:32" x14ac:dyDescent="0.25">
      <c r="AA501" s="195">
        <v>499</v>
      </c>
      <c r="AB501" s="197">
        <v>18708385055.686249</v>
      </c>
      <c r="AC501" s="198">
        <v>20062.398285835981</v>
      </c>
      <c r="AD501" s="197">
        <v>932509.90181439754</v>
      </c>
      <c r="AE501" s="195">
        <v>0</v>
      </c>
      <c r="AF501" s="195">
        <v>0</v>
      </c>
    </row>
    <row r="502" spans="27:32" x14ac:dyDescent="0.25">
      <c r="AA502" s="195">
        <v>500</v>
      </c>
      <c r="AB502" s="197">
        <v>17491256742.329044</v>
      </c>
      <c r="AC502" s="198">
        <v>304234.59652324021</v>
      </c>
      <c r="AD502" s="197">
        <v>57492.661722950703</v>
      </c>
      <c r="AE502" s="195">
        <v>0</v>
      </c>
      <c r="AF502" s="195">
        <v>0</v>
      </c>
    </row>
    <row r="503" spans="27:32" x14ac:dyDescent="0.25">
      <c r="AA503" s="195">
        <v>501</v>
      </c>
      <c r="AB503" s="197">
        <v>18144946644.343864</v>
      </c>
      <c r="AC503" s="198">
        <v>151790.1376452893</v>
      </c>
      <c r="AD503" s="197">
        <v>119539.69425039901</v>
      </c>
      <c r="AE503" s="195">
        <v>0</v>
      </c>
      <c r="AF503" s="195">
        <v>0</v>
      </c>
    </row>
    <row r="504" spans="27:32" x14ac:dyDescent="0.25">
      <c r="AA504" s="195">
        <v>502</v>
      </c>
      <c r="AB504" s="197">
        <v>17603676908.884518</v>
      </c>
      <c r="AC504" s="198">
        <v>278046.83146104962</v>
      </c>
      <c r="AD504" s="197">
        <v>63311.913379421268</v>
      </c>
      <c r="AE504" s="195">
        <v>0</v>
      </c>
      <c r="AF504" s="195">
        <v>0</v>
      </c>
    </row>
    <row r="505" spans="27:32" x14ac:dyDescent="0.25">
      <c r="AA505" s="195">
        <v>503</v>
      </c>
      <c r="AB505" s="197">
        <v>17195868538.895954</v>
      </c>
      <c r="AC505" s="198">
        <v>372985.96294035763</v>
      </c>
      <c r="AD505" s="197">
        <v>46103.259230818992</v>
      </c>
      <c r="AE505" s="195">
        <v>0</v>
      </c>
      <c r="AF505" s="195">
        <v>0</v>
      </c>
    </row>
    <row r="506" spans="27:32" x14ac:dyDescent="0.25">
      <c r="AA506" s="195">
        <v>504</v>
      </c>
      <c r="AB506" s="197">
        <v>17941489122.213669</v>
      </c>
      <c r="AC506" s="198">
        <v>199281.78895372152</v>
      </c>
      <c r="AD506" s="197">
        <v>90030.751010470674</v>
      </c>
      <c r="AE506" s="195">
        <v>0</v>
      </c>
      <c r="AF506" s="195">
        <v>0</v>
      </c>
    </row>
    <row r="507" spans="27:32" x14ac:dyDescent="0.25">
      <c r="AA507" s="195">
        <v>505</v>
      </c>
      <c r="AB507" s="197">
        <v>18178610164.553349</v>
      </c>
      <c r="AC507" s="198">
        <v>143928.45357842743</v>
      </c>
      <c r="AD507" s="197">
        <v>126303.10208014373</v>
      </c>
      <c r="AE507" s="195">
        <v>0</v>
      </c>
      <c r="AF507" s="195">
        <v>0</v>
      </c>
    </row>
    <row r="508" spans="27:32" x14ac:dyDescent="0.25">
      <c r="AA508" s="195">
        <v>506</v>
      </c>
      <c r="AB508" s="197">
        <v>17985451375.041275</v>
      </c>
      <c r="AC508" s="198">
        <v>189023.36935903877</v>
      </c>
      <c r="AD508" s="197">
        <v>95149.353416079306</v>
      </c>
      <c r="AE508" s="195">
        <v>0</v>
      </c>
      <c r="AF508" s="195">
        <v>0</v>
      </c>
    </row>
    <row r="509" spans="27:32" x14ac:dyDescent="0.25">
      <c r="AA509" s="195">
        <v>507</v>
      </c>
      <c r="AB509" s="197">
        <v>16751475332.332094</v>
      </c>
      <c r="AC509" s="198">
        <v>476260.01531516016</v>
      </c>
      <c r="AD509" s="197">
        <v>35172.961814245478</v>
      </c>
      <c r="AE509" s="195">
        <v>0</v>
      </c>
      <c r="AF509" s="195">
        <v>0</v>
      </c>
    </row>
    <row r="510" spans="27:32" x14ac:dyDescent="0.25">
      <c r="AA510" s="195">
        <v>508</v>
      </c>
      <c r="AB510" s="197">
        <v>16832326383.455456</v>
      </c>
      <c r="AC510" s="198">
        <v>457484.89335434139</v>
      </c>
      <c r="AD510" s="197">
        <v>36793.185147685537</v>
      </c>
      <c r="AE510" s="195">
        <v>0</v>
      </c>
      <c r="AF510" s="195">
        <v>0</v>
      </c>
    </row>
    <row r="511" spans="27:32" x14ac:dyDescent="0.25">
      <c r="AA511" s="195">
        <v>509</v>
      </c>
      <c r="AB511" s="197">
        <v>18319092738.745167</v>
      </c>
      <c r="AC511" s="198">
        <v>111108.755428873</v>
      </c>
      <c r="AD511" s="197">
        <v>164875.33019368805</v>
      </c>
      <c r="AE511" s="195">
        <v>0</v>
      </c>
      <c r="AF511" s="195">
        <v>0</v>
      </c>
    </row>
    <row r="512" spans="27:32" x14ac:dyDescent="0.25">
      <c r="AA512" s="195">
        <v>510</v>
      </c>
      <c r="AB512" s="197">
        <v>16883319970.130608</v>
      </c>
      <c r="AC512" s="198">
        <v>445640.00025183707</v>
      </c>
      <c r="AD512" s="197">
        <v>37885.55776094969</v>
      </c>
      <c r="AE512" s="195">
        <v>0</v>
      </c>
      <c r="AF512" s="195">
        <v>0</v>
      </c>
    </row>
    <row r="513" spans="27:32" x14ac:dyDescent="0.25">
      <c r="AA513" s="195">
        <v>511</v>
      </c>
      <c r="AB513" s="197">
        <v>16961874007.081472</v>
      </c>
      <c r="AC513" s="198">
        <v>427388.41859041154</v>
      </c>
      <c r="AD513" s="197">
        <v>39687.256999205012</v>
      </c>
      <c r="AE513" s="195">
        <v>0</v>
      </c>
      <c r="AF513" s="195">
        <v>0</v>
      </c>
    </row>
    <row r="514" spans="27:32" x14ac:dyDescent="0.25">
      <c r="AA514" s="195">
        <v>512</v>
      </c>
      <c r="AB514" s="197">
        <v>17412250607.159248</v>
      </c>
      <c r="AC514" s="198">
        <v>322631.43641471863</v>
      </c>
      <c r="AD514" s="197">
        <v>53969.47923195277</v>
      </c>
      <c r="AE514" s="195">
        <v>0</v>
      </c>
      <c r="AF514" s="195">
        <v>0</v>
      </c>
    </row>
    <row r="515" spans="27:32" x14ac:dyDescent="0.25">
      <c r="AA515" s="195">
        <v>513</v>
      </c>
      <c r="AB515" s="197">
        <v>17158873492.547119</v>
      </c>
      <c r="AC515" s="198">
        <v>381590.61469661444</v>
      </c>
      <c r="AD515" s="197">
        <v>44966.707334218292</v>
      </c>
      <c r="AE515" s="195">
        <v>0</v>
      </c>
      <c r="AF515" s="195">
        <v>0</v>
      </c>
    </row>
    <row r="516" spans="27:32" x14ac:dyDescent="0.25">
      <c r="AA516" s="195">
        <v>514</v>
      </c>
      <c r="AB516" s="197">
        <v>17162477040.893717</v>
      </c>
      <c r="AC516" s="198">
        <v>380752.52579924464</v>
      </c>
      <c r="AD516" s="197">
        <v>45075.149547248948</v>
      </c>
      <c r="AE516" s="195">
        <v>0</v>
      </c>
      <c r="AF516" s="195">
        <v>0</v>
      </c>
    </row>
    <row r="517" spans="27:32" x14ac:dyDescent="0.25">
      <c r="AA517" s="195">
        <v>515</v>
      </c>
      <c r="AB517" s="197">
        <v>16582700040.827068</v>
      </c>
      <c r="AC517" s="198">
        <v>515432.54159253836</v>
      </c>
      <c r="AD517" s="197">
        <v>32172.396390789167</v>
      </c>
      <c r="AE517" s="195">
        <v>0</v>
      </c>
      <c r="AF517" s="195">
        <v>0</v>
      </c>
    </row>
    <row r="518" spans="27:32" x14ac:dyDescent="0.25">
      <c r="AA518" s="195">
        <v>516</v>
      </c>
      <c r="AB518" s="197">
        <v>16112893362.194336</v>
      </c>
      <c r="AC518" s="198">
        <v>624329.97813922912</v>
      </c>
      <c r="AD518" s="197">
        <v>25808.296776358013</v>
      </c>
      <c r="AE518" s="195">
        <v>0</v>
      </c>
      <c r="AF518" s="195">
        <v>0</v>
      </c>
    </row>
    <row r="519" spans="27:32" x14ac:dyDescent="0.25">
      <c r="AA519" s="195">
        <v>517</v>
      </c>
      <c r="AB519" s="197">
        <v>16260026098.633789</v>
      </c>
      <c r="AC519" s="198">
        <v>590248.57789079845</v>
      </c>
      <c r="AD519" s="197">
        <v>27547.75988912598</v>
      </c>
      <c r="AE519" s="195">
        <v>0</v>
      </c>
      <c r="AF519" s="195">
        <v>0</v>
      </c>
    </row>
    <row r="520" spans="27:32" x14ac:dyDescent="0.25">
      <c r="AA520" s="195">
        <v>518</v>
      </c>
      <c r="AB520" s="197">
        <v>16060398177.378376</v>
      </c>
      <c r="AC520" s="198">
        <v>636484.78110461682</v>
      </c>
      <c r="AD520" s="197">
        <v>25232.964957159886</v>
      </c>
      <c r="AE520" s="195">
        <v>0</v>
      </c>
      <c r="AF520" s="195">
        <v>0</v>
      </c>
    </row>
    <row r="521" spans="27:32" x14ac:dyDescent="0.25">
      <c r="AA521" s="195">
        <v>519</v>
      </c>
      <c r="AB521" s="197">
        <v>18340740843.1875</v>
      </c>
      <c r="AC521" s="198">
        <v>106049.60877802968</v>
      </c>
      <c r="AD521" s="197">
        <v>172944.91752040441</v>
      </c>
      <c r="AE521" s="195">
        <v>0</v>
      </c>
      <c r="AF521" s="195">
        <v>0</v>
      </c>
    </row>
    <row r="522" spans="27:32" x14ac:dyDescent="0.25">
      <c r="AA522" s="195">
        <v>520</v>
      </c>
      <c r="AB522" s="197">
        <v>16270087004.832296</v>
      </c>
      <c r="AC522" s="198">
        <v>587917.33964897692</v>
      </c>
      <c r="AD522" s="197">
        <v>27674.106388062217</v>
      </c>
      <c r="AE522" s="195">
        <v>0</v>
      </c>
      <c r="AF522" s="195">
        <v>0</v>
      </c>
    </row>
    <row r="523" spans="27:32" x14ac:dyDescent="0.25">
      <c r="AA523" s="195">
        <v>521</v>
      </c>
      <c r="AB523" s="197">
        <v>18285409504.271694</v>
      </c>
      <c r="AC523" s="198">
        <v>118979.60492032021</v>
      </c>
      <c r="AD523" s="197">
        <v>153685.24308445386</v>
      </c>
      <c r="AE523" s="195">
        <v>0</v>
      </c>
      <c r="AF523" s="195">
        <v>0</v>
      </c>
    </row>
    <row r="524" spans="27:32" x14ac:dyDescent="0.25">
      <c r="AA524" s="195">
        <v>522</v>
      </c>
      <c r="AB524" s="197">
        <v>16509896613.638975</v>
      </c>
      <c r="AC524" s="198">
        <v>532321.67349629104</v>
      </c>
      <c r="AD524" s="197">
        <v>31014.887117411363</v>
      </c>
      <c r="AE524" s="195">
        <v>0</v>
      </c>
      <c r="AF524" s="195">
        <v>0</v>
      </c>
    </row>
    <row r="525" spans="27:32" x14ac:dyDescent="0.25">
      <c r="AA525" s="195">
        <v>523</v>
      </c>
      <c r="AB525" s="197">
        <v>17206829218.407604</v>
      </c>
      <c r="AC525" s="198">
        <v>370436.37340470403</v>
      </c>
      <c r="AD525" s="197">
        <v>46450.161090441936</v>
      </c>
      <c r="AE525" s="195">
        <v>0</v>
      </c>
      <c r="AF525" s="195">
        <v>0</v>
      </c>
    </row>
    <row r="526" spans="27:32" x14ac:dyDescent="0.25">
      <c r="AA526" s="195">
        <v>524</v>
      </c>
      <c r="AB526" s="197">
        <v>16954446567.273912</v>
      </c>
      <c r="AC526" s="198">
        <v>429114.39575079083</v>
      </c>
      <c r="AD526" s="197">
        <v>39510.318775509564</v>
      </c>
      <c r="AE526" s="195">
        <v>0</v>
      </c>
      <c r="AF526" s="195">
        <v>0</v>
      </c>
    </row>
    <row r="527" spans="27:32" x14ac:dyDescent="0.25">
      <c r="AA527" s="195">
        <v>525</v>
      </c>
      <c r="AB527" s="197">
        <v>18677491657.358829</v>
      </c>
      <c r="AC527" s="198">
        <v>27292.981428906322</v>
      </c>
      <c r="AD527" s="197">
        <v>684333.13912628382</v>
      </c>
      <c r="AE527" s="195">
        <v>0</v>
      </c>
      <c r="AF527" s="195">
        <v>0</v>
      </c>
    </row>
    <row r="528" spans="27:32" x14ac:dyDescent="0.25">
      <c r="AA528" s="195">
        <v>526</v>
      </c>
      <c r="AB528" s="197">
        <v>17292745127.110077</v>
      </c>
      <c r="AC528" s="198">
        <v>350447.26742827147</v>
      </c>
      <c r="AD528" s="197">
        <v>49344.785176986734</v>
      </c>
      <c r="AE528" s="195">
        <v>0</v>
      </c>
      <c r="AF528" s="195">
        <v>0</v>
      </c>
    </row>
    <row r="529" spans="27:32" x14ac:dyDescent="0.25">
      <c r="AA529" s="195">
        <v>527</v>
      </c>
      <c r="AB529" s="197">
        <v>17892336485.099606</v>
      </c>
      <c r="AC529" s="198">
        <v>210749.15961405635</v>
      </c>
      <c r="AD529" s="197">
        <v>84898.73230273246</v>
      </c>
      <c r="AE529" s="195">
        <v>0</v>
      </c>
      <c r="AF529" s="195">
        <v>0</v>
      </c>
    </row>
    <row r="530" spans="27:32" x14ac:dyDescent="0.25">
      <c r="AA530" s="195">
        <v>528</v>
      </c>
      <c r="AB530" s="197">
        <v>17904376709.135551</v>
      </c>
      <c r="AC530" s="198">
        <v>207940.37578952312</v>
      </c>
      <c r="AD530" s="197">
        <v>86103.416141068868</v>
      </c>
      <c r="AE530" s="195">
        <v>0</v>
      </c>
      <c r="AF530" s="195">
        <v>0</v>
      </c>
    </row>
    <row r="531" spans="27:32" x14ac:dyDescent="0.25">
      <c r="AA531" s="195">
        <v>529</v>
      </c>
      <c r="AB531" s="197">
        <v>18340176103.582371</v>
      </c>
      <c r="AC531" s="198">
        <v>106181.59376351535</v>
      </c>
      <c r="AD531" s="197">
        <v>172724.62630791822</v>
      </c>
      <c r="AE531" s="195">
        <v>0</v>
      </c>
      <c r="AF531" s="195">
        <v>0</v>
      </c>
    </row>
    <row r="532" spans="27:32" x14ac:dyDescent="0.25">
      <c r="AA532" s="195">
        <v>530</v>
      </c>
      <c r="AB532" s="197">
        <v>16301846685.466152</v>
      </c>
      <c r="AC532" s="198">
        <v>580557.58540962636</v>
      </c>
      <c r="AD532" s="197">
        <v>28079.637739922029</v>
      </c>
      <c r="AE532" s="195">
        <v>0</v>
      </c>
      <c r="AF532" s="195">
        <v>0</v>
      </c>
    </row>
    <row r="533" spans="27:32" x14ac:dyDescent="0.25">
      <c r="AA533" s="195">
        <v>531</v>
      </c>
      <c r="AB533" s="197">
        <v>16467827974.593807</v>
      </c>
      <c r="AC533" s="198">
        <v>542078.5467569232</v>
      </c>
      <c r="AD533" s="197">
        <v>30379.043909993081</v>
      </c>
      <c r="AE533" s="195">
        <v>0</v>
      </c>
      <c r="AF533" s="195">
        <v>0</v>
      </c>
    </row>
    <row r="534" spans="27:32" x14ac:dyDescent="0.25">
      <c r="AA534" s="195">
        <v>532</v>
      </c>
      <c r="AB534" s="197">
        <v>15434051269.466066</v>
      </c>
      <c r="AC534" s="198">
        <v>781306.01354829967</v>
      </c>
      <c r="AD534" s="197">
        <v>19754.169303487572</v>
      </c>
      <c r="AE534" s="195">
        <v>0</v>
      </c>
      <c r="AF534" s="195">
        <v>0</v>
      </c>
    </row>
    <row r="535" spans="27:32" x14ac:dyDescent="0.25">
      <c r="AA535" s="195">
        <v>533</v>
      </c>
      <c r="AB535" s="197">
        <v>18633317367.607853</v>
      </c>
      <c r="AC535" s="198">
        <v>37630.350159935653</v>
      </c>
      <c r="AD535" s="197">
        <v>495167.25962987199</v>
      </c>
      <c r="AE535" s="195">
        <v>0</v>
      </c>
      <c r="AF535" s="195">
        <v>0</v>
      </c>
    </row>
    <row r="536" spans="27:32" x14ac:dyDescent="0.25">
      <c r="AA536" s="195">
        <v>534</v>
      </c>
      <c r="AB536" s="197">
        <v>15816610775.620342</v>
      </c>
      <c r="AC536" s="198">
        <v>692896.97725503147</v>
      </c>
      <c r="AD536" s="197">
        <v>22826.7856475275</v>
      </c>
      <c r="AE536" s="195">
        <v>0</v>
      </c>
      <c r="AF536" s="195">
        <v>0</v>
      </c>
    </row>
    <row r="537" spans="27:32" x14ac:dyDescent="0.25">
      <c r="AA537" s="195">
        <v>535</v>
      </c>
      <c r="AB537" s="197">
        <v>18946783722.3591</v>
      </c>
      <c r="AC537" s="198">
        <v>-35765.660310536623</v>
      </c>
      <c r="AD537" s="197">
        <v>-529747.90784940007</v>
      </c>
      <c r="AE537" s="195">
        <v>0</v>
      </c>
      <c r="AF537" s="195">
        <v>0</v>
      </c>
    </row>
    <row r="538" spans="27:32" x14ac:dyDescent="0.25">
      <c r="AA538" s="195">
        <v>536</v>
      </c>
      <c r="AB538" s="197">
        <v>18532039387.029922</v>
      </c>
      <c r="AC538" s="198">
        <v>61323.632416769862</v>
      </c>
      <c r="AD538" s="197">
        <v>302200.61429306428</v>
      </c>
      <c r="AE538" s="195">
        <v>0</v>
      </c>
      <c r="AF538" s="195">
        <v>0</v>
      </c>
    </row>
    <row r="539" spans="27:32" x14ac:dyDescent="0.25">
      <c r="AA539" s="195">
        <v>537</v>
      </c>
      <c r="AB539" s="197">
        <v>17030785632.799212</v>
      </c>
      <c r="AC539" s="198">
        <v>411372.31071334332</v>
      </c>
      <c r="AD539" s="197">
        <v>41399.931860427954</v>
      </c>
      <c r="AE539" s="195">
        <v>0</v>
      </c>
      <c r="AF539" s="195">
        <v>0</v>
      </c>
    </row>
    <row r="540" spans="27:32" x14ac:dyDescent="0.25">
      <c r="AA540" s="195">
        <v>538</v>
      </c>
      <c r="AB540" s="197">
        <v>15774552046.920031</v>
      </c>
      <c r="AC540" s="198">
        <v>702623.56446034461</v>
      </c>
      <c r="AD540" s="197">
        <v>22450.929409172029</v>
      </c>
      <c r="AE540" s="195">
        <v>0</v>
      </c>
      <c r="AF540" s="195">
        <v>0</v>
      </c>
    </row>
    <row r="541" spans="27:32" x14ac:dyDescent="0.25">
      <c r="AA541" s="195">
        <v>539</v>
      </c>
      <c r="AB541" s="197">
        <v>17444013252.640133</v>
      </c>
      <c r="AC541" s="198">
        <v>315236.12149097025</v>
      </c>
      <c r="AD541" s="197">
        <v>55336.340169823481</v>
      </c>
      <c r="AE541" s="195">
        <v>0</v>
      </c>
      <c r="AF541" s="195">
        <v>0</v>
      </c>
    </row>
    <row r="542" spans="27:32" x14ac:dyDescent="0.25">
      <c r="AA542" s="195">
        <v>540</v>
      </c>
      <c r="AB542" s="197">
        <v>16035812428.930992</v>
      </c>
      <c r="AC542" s="198">
        <v>642176.48773181438</v>
      </c>
      <c r="AD542" s="197">
        <v>24971.036366606848</v>
      </c>
      <c r="AE542" s="195">
        <v>0</v>
      </c>
      <c r="AF542" s="195">
        <v>0</v>
      </c>
    </row>
    <row r="543" spans="27:32" x14ac:dyDescent="0.25">
      <c r="AA543" s="195">
        <v>541</v>
      </c>
      <c r="AB543" s="197">
        <v>17623074333.335743</v>
      </c>
      <c r="AC543" s="198">
        <v>273527.05910438299</v>
      </c>
      <c r="AD543" s="197">
        <v>64428.997961077228</v>
      </c>
      <c r="AE543" s="195">
        <v>0</v>
      </c>
      <c r="AF543" s="195">
        <v>0</v>
      </c>
    </row>
    <row r="544" spans="27:32" x14ac:dyDescent="0.25">
      <c r="AA544" s="195">
        <v>542</v>
      </c>
      <c r="AB544" s="197">
        <v>17743583855.965229</v>
      </c>
      <c r="AC544" s="198">
        <v>245439.15169072896</v>
      </c>
      <c r="AD544" s="197">
        <v>72293.208861491774</v>
      </c>
      <c r="AE544" s="195">
        <v>0</v>
      </c>
      <c r="AF544" s="195">
        <v>0</v>
      </c>
    </row>
    <row r="545" spans="27:32" x14ac:dyDescent="0.25">
      <c r="AA545" s="195">
        <v>543</v>
      </c>
      <c r="AB545" s="197">
        <v>16693364825.022657</v>
      </c>
      <c r="AC545" s="198">
        <v>489750.4784348011</v>
      </c>
      <c r="AD545" s="197">
        <v>34085.448733757577</v>
      </c>
      <c r="AE545" s="195">
        <v>0</v>
      </c>
      <c r="AF545" s="195">
        <v>0</v>
      </c>
    </row>
    <row r="546" spans="27:32" x14ac:dyDescent="0.25">
      <c r="AA546" s="195">
        <v>544</v>
      </c>
      <c r="AB546" s="197">
        <v>18871908916.033306</v>
      </c>
      <c r="AC546" s="198">
        <v>-18225.61333873868</v>
      </c>
      <c r="AD546" s="197">
        <v>-1035460.8410308431</v>
      </c>
      <c r="AE546" s="195">
        <v>0</v>
      </c>
      <c r="AF546" s="195">
        <v>0</v>
      </c>
    </row>
    <row r="547" spans="27:32" x14ac:dyDescent="0.25">
      <c r="AA547" s="195">
        <v>545</v>
      </c>
      <c r="AB547" s="197">
        <v>18682811986.711853</v>
      </c>
      <c r="AC547" s="198">
        <v>26047.826869815588</v>
      </c>
      <c r="AD547" s="197">
        <v>717250.31343638233</v>
      </c>
      <c r="AE547" s="195">
        <v>0</v>
      </c>
      <c r="AF547" s="195">
        <v>0</v>
      </c>
    </row>
    <row r="548" spans="27:32" x14ac:dyDescent="0.25">
      <c r="AA548" s="195">
        <v>546</v>
      </c>
      <c r="AB548" s="197">
        <v>18352783445.971119</v>
      </c>
      <c r="AC548" s="198">
        <v>103235.06544176489</v>
      </c>
      <c r="AD548" s="197">
        <v>177776.64369597327</v>
      </c>
      <c r="AE548" s="195">
        <v>0</v>
      </c>
      <c r="AF548" s="195">
        <v>0</v>
      </c>
    </row>
    <row r="549" spans="27:32" x14ac:dyDescent="0.25">
      <c r="AA549" s="195">
        <v>547</v>
      </c>
      <c r="AB549" s="197">
        <v>16661194151.276049</v>
      </c>
      <c r="AC549" s="198">
        <v>497217.56507704407</v>
      </c>
      <c r="AD549" s="197">
        <v>33508.860751317967</v>
      </c>
      <c r="AE549" s="195">
        <v>0</v>
      </c>
      <c r="AF549" s="195">
        <v>0</v>
      </c>
    </row>
    <row r="550" spans="27:32" x14ac:dyDescent="0.25">
      <c r="AA550" s="195">
        <v>548</v>
      </c>
      <c r="AB550" s="197">
        <v>16061208772.698364</v>
      </c>
      <c r="AC550" s="198">
        <v>636297.11491990834</v>
      </c>
      <c r="AD550" s="197">
        <v>25241.680963334264</v>
      </c>
      <c r="AE550" s="195">
        <v>0</v>
      </c>
      <c r="AF550" s="195">
        <v>0</v>
      </c>
    </row>
    <row r="551" spans="27:32" x14ac:dyDescent="0.25">
      <c r="AA551" s="195">
        <v>549</v>
      </c>
      <c r="AB551" s="197">
        <v>18890510169.83165</v>
      </c>
      <c r="AC551" s="198">
        <v>-22582.606706343591</v>
      </c>
      <c r="AD551" s="197">
        <v>-836507.07004188281</v>
      </c>
      <c r="AE551" s="195">
        <v>0</v>
      </c>
      <c r="AF551" s="195">
        <v>0</v>
      </c>
    </row>
    <row r="552" spans="27:32" x14ac:dyDescent="0.25">
      <c r="AA552" s="195">
        <v>550</v>
      </c>
      <c r="AB552" s="197">
        <v>16626346729.28014</v>
      </c>
      <c r="AC552" s="198">
        <v>505304.82569156587</v>
      </c>
      <c r="AD552" s="197">
        <v>32903.597757106581</v>
      </c>
      <c r="AE552" s="195">
        <v>0</v>
      </c>
      <c r="AF552" s="195">
        <v>0</v>
      </c>
    </row>
    <row r="553" spans="27:32" x14ac:dyDescent="0.25">
      <c r="AA553" s="195">
        <v>551</v>
      </c>
      <c r="AB553" s="197">
        <v>17506978754.175743</v>
      </c>
      <c r="AC553" s="198">
        <v>300572.95731808245</v>
      </c>
      <c r="AD553" s="197">
        <v>58245.355504982828</v>
      </c>
      <c r="AE553" s="195">
        <v>0</v>
      </c>
      <c r="AF553" s="195">
        <v>1</v>
      </c>
    </row>
    <row r="554" spans="27:32" x14ac:dyDescent="0.25">
      <c r="AA554" s="195">
        <v>552</v>
      </c>
      <c r="AB554" s="197">
        <v>17313562874.892178</v>
      </c>
      <c r="AC554" s="198">
        <v>345602.76298806816</v>
      </c>
      <c r="AD554" s="197">
        <v>50096.714288970899</v>
      </c>
      <c r="AE554" s="195">
        <v>0</v>
      </c>
      <c r="AF554" s="195">
        <v>0</v>
      </c>
    </row>
    <row r="555" spans="27:32" x14ac:dyDescent="0.25">
      <c r="AA555" s="195">
        <v>553</v>
      </c>
      <c r="AB555" s="197">
        <v>16225696930.5285</v>
      </c>
      <c r="AC555" s="198">
        <v>598202.34550149739</v>
      </c>
      <c r="AD555" s="197">
        <v>27124.094468278683</v>
      </c>
      <c r="AE555" s="195">
        <v>0</v>
      </c>
      <c r="AF555" s="195">
        <v>0</v>
      </c>
    </row>
    <row r="556" spans="27:32" x14ac:dyDescent="0.25">
      <c r="AA556" s="195">
        <v>554</v>
      </c>
      <c r="AB556" s="197">
        <v>16599223018.668606</v>
      </c>
      <c r="AC556" s="198">
        <v>511598.78845886886</v>
      </c>
      <c r="AD556" s="197">
        <v>32445.782502088816</v>
      </c>
      <c r="AE556" s="195">
        <v>0</v>
      </c>
      <c r="AF556" s="195">
        <v>0</v>
      </c>
    </row>
    <row r="557" spans="27:32" x14ac:dyDescent="0.25">
      <c r="AA557" s="195">
        <v>555</v>
      </c>
      <c r="AB557" s="197">
        <v>18374514694.951859</v>
      </c>
      <c r="AC557" s="198">
        <v>98155.781122282147</v>
      </c>
      <c r="AD557" s="197">
        <v>187197.47818073953</v>
      </c>
      <c r="AE557" s="195">
        <v>0</v>
      </c>
      <c r="AF557" s="195">
        <v>0</v>
      </c>
    </row>
    <row r="558" spans="27:32" x14ac:dyDescent="0.25">
      <c r="AA558" s="195">
        <v>556</v>
      </c>
      <c r="AB558" s="197">
        <v>17580882609.50563</v>
      </c>
      <c r="AC558" s="198">
        <v>283357.64290928841</v>
      </c>
      <c r="AD558" s="197">
        <v>62044.850560582257</v>
      </c>
      <c r="AE558" s="195">
        <v>0</v>
      </c>
      <c r="AF558" s="195">
        <v>0</v>
      </c>
    </row>
    <row r="559" spans="27:32" x14ac:dyDescent="0.25">
      <c r="AA559" s="195">
        <v>557</v>
      </c>
      <c r="AB559" s="197">
        <v>17584841828.275143</v>
      </c>
      <c r="AC559" s="198">
        <v>282435.22604697198</v>
      </c>
      <c r="AD559" s="197">
        <v>62261.503546836597</v>
      </c>
      <c r="AE559" s="195">
        <v>0</v>
      </c>
      <c r="AF559" s="195">
        <v>1</v>
      </c>
    </row>
    <row r="560" spans="27:32" x14ac:dyDescent="0.25">
      <c r="AA560" s="195">
        <v>558</v>
      </c>
      <c r="AB560" s="197">
        <v>19159865184.143856</v>
      </c>
      <c r="AC560" s="198">
        <v>-85711.389435276389</v>
      </c>
      <c r="AD560" s="197">
        <v>-223539.31385760731</v>
      </c>
      <c r="AE560" s="195">
        <v>0</v>
      </c>
      <c r="AF560" s="195">
        <v>0</v>
      </c>
    </row>
    <row r="561" spans="27:32" x14ac:dyDescent="0.25">
      <c r="AA561" s="195">
        <v>559</v>
      </c>
      <c r="AB561" s="197">
        <v>17649922298.331688</v>
      </c>
      <c r="AC561" s="198">
        <v>267270.64683920145</v>
      </c>
      <c r="AD561" s="197">
        <v>66037.638278140003</v>
      </c>
      <c r="AE561" s="195">
        <v>0</v>
      </c>
      <c r="AF561" s="195">
        <v>0</v>
      </c>
    </row>
    <row r="562" spans="27:32" x14ac:dyDescent="0.25">
      <c r="AA562" s="195">
        <v>560</v>
      </c>
      <c r="AB562" s="197">
        <v>19510778229.932182</v>
      </c>
      <c r="AC562" s="198">
        <v>-168060.06480996311</v>
      </c>
      <c r="AD562" s="197">
        <v>-116094.0777453248</v>
      </c>
      <c r="AE562" s="195">
        <v>0</v>
      </c>
      <c r="AF562" s="195">
        <v>0</v>
      </c>
    </row>
    <row r="563" spans="27:32" x14ac:dyDescent="0.25">
      <c r="AA563" s="195">
        <v>561</v>
      </c>
      <c r="AB563" s="197">
        <v>16525779255.909161</v>
      </c>
      <c r="AC563" s="198">
        <v>528637.61030422151</v>
      </c>
      <c r="AD563" s="197">
        <v>31261.073623571487</v>
      </c>
      <c r="AE563" s="195">
        <v>0</v>
      </c>
      <c r="AF563" s="195">
        <v>0</v>
      </c>
    </row>
    <row r="564" spans="27:32" x14ac:dyDescent="0.25">
      <c r="AA564" s="195">
        <v>562</v>
      </c>
      <c r="AB564" s="197">
        <v>18539305713.591702</v>
      </c>
      <c r="AC564" s="198">
        <v>59624.055137582123</v>
      </c>
      <c r="AD564" s="197">
        <v>310936.67934548185</v>
      </c>
      <c r="AE564" s="195">
        <v>0</v>
      </c>
      <c r="AF564" s="195">
        <v>0</v>
      </c>
    </row>
    <row r="565" spans="27:32" x14ac:dyDescent="0.25">
      <c r="AA565" s="195">
        <v>563</v>
      </c>
      <c r="AB565" s="197">
        <v>17465453928.274818</v>
      </c>
      <c r="AC565" s="198">
        <v>310243.52776926756</v>
      </c>
      <c r="AD565" s="197">
        <v>56295.949359060025</v>
      </c>
      <c r="AE565" s="195">
        <v>0</v>
      </c>
      <c r="AF565" s="195">
        <v>0</v>
      </c>
    </row>
    <row r="566" spans="27:32" x14ac:dyDescent="0.25">
      <c r="AA566" s="195">
        <v>564</v>
      </c>
      <c r="AB566" s="197">
        <v>18101640451.194904</v>
      </c>
      <c r="AC566" s="198">
        <v>161902.13810315728</v>
      </c>
      <c r="AD566" s="197">
        <v>111806.06175603002</v>
      </c>
      <c r="AE566" s="195">
        <v>0</v>
      </c>
      <c r="AF566" s="195">
        <v>0</v>
      </c>
    </row>
    <row r="567" spans="27:32" x14ac:dyDescent="0.25">
      <c r="AA567" s="195">
        <v>565</v>
      </c>
      <c r="AB567" s="197">
        <v>17893549724.434082</v>
      </c>
      <c r="AC567" s="198">
        <v>210466.13740234822</v>
      </c>
      <c r="AD567" s="197">
        <v>85018.663549789839</v>
      </c>
      <c r="AE567" s="195">
        <v>0</v>
      </c>
      <c r="AF567" s="195">
        <v>0</v>
      </c>
    </row>
    <row r="568" spans="27:32" x14ac:dyDescent="0.25">
      <c r="AA568" s="195">
        <v>566</v>
      </c>
      <c r="AB568" s="197">
        <v>16097722144.903687</v>
      </c>
      <c r="AC568" s="198">
        <v>627843.01313190162</v>
      </c>
      <c r="AD568" s="197">
        <v>25639.724912446807</v>
      </c>
      <c r="AE568" s="195">
        <v>0</v>
      </c>
      <c r="AF568" s="195">
        <v>0</v>
      </c>
    </row>
    <row r="569" spans="27:32" x14ac:dyDescent="0.25">
      <c r="AA569" s="195">
        <v>567</v>
      </c>
      <c r="AB569" s="197">
        <v>16964303201.25429</v>
      </c>
      <c r="AC569" s="198">
        <v>426823.91463413835</v>
      </c>
      <c r="AD569" s="197">
        <v>39745.437449997669</v>
      </c>
      <c r="AE569" s="195">
        <v>0</v>
      </c>
      <c r="AF569" s="195">
        <v>0</v>
      </c>
    </row>
    <row r="570" spans="27:32" x14ac:dyDescent="0.25">
      <c r="AA570" s="195">
        <v>568</v>
      </c>
      <c r="AB570" s="197">
        <v>16205009652.543295</v>
      </c>
      <c r="AC570" s="198">
        <v>602994.86032167077</v>
      </c>
      <c r="AD570" s="197">
        <v>26874.208585954857</v>
      </c>
      <c r="AE570" s="195">
        <v>0</v>
      </c>
      <c r="AF570" s="195">
        <v>0</v>
      </c>
    </row>
    <row r="571" spans="27:32" x14ac:dyDescent="0.25">
      <c r="AA571" s="195">
        <v>569</v>
      </c>
      <c r="AB571" s="197">
        <v>17327894159.537628</v>
      </c>
      <c r="AC571" s="198">
        <v>342267.48301996291</v>
      </c>
      <c r="AD571" s="197">
        <v>50626.761288120877</v>
      </c>
      <c r="AE571" s="195">
        <v>0</v>
      </c>
      <c r="AF571" s="195">
        <v>0</v>
      </c>
    </row>
    <row r="572" spans="27:32" x14ac:dyDescent="0.25">
      <c r="AA572" s="195">
        <v>570</v>
      </c>
      <c r="AB572" s="197">
        <v>17014093301.535872</v>
      </c>
      <c r="AC572" s="198">
        <v>415252.2809689343</v>
      </c>
      <c r="AD572" s="197">
        <v>40972.907510190715</v>
      </c>
      <c r="AE572" s="195">
        <v>0</v>
      </c>
      <c r="AF572" s="195">
        <v>0</v>
      </c>
    </row>
    <row r="573" spans="27:32" x14ac:dyDescent="0.25">
      <c r="AA573" s="195">
        <v>571</v>
      </c>
      <c r="AB573" s="197">
        <v>17162613576.183477</v>
      </c>
      <c r="AC573" s="198">
        <v>380720.77109958977</v>
      </c>
      <c r="AD573" s="197">
        <v>45079.267744217832</v>
      </c>
      <c r="AE573" s="195">
        <v>0</v>
      </c>
      <c r="AF573" s="195">
        <v>0</v>
      </c>
    </row>
    <row r="574" spans="27:32" x14ac:dyDescent="0.25">
      <c r="AA574" s="195">
        <v>572</v>
      </c>
      <c r="AB574" s="197">
        <v>18179584090.203304</v>
      </c>
      <c r="AC574" s="198">
        <v>143700.98945610225</v>
      </c>
      <c r="AD574" s="197">
        <v>126509.80455327206</v>
      </c>
      <c r="AE574" s="195">
        <v>0</v>
      </c>
      <c r="AF574" s="195">
        <v>0</v>
      </c>
    </row>
    <row r="575" spans="27:32" x14ac:dyDescent="0.25">
      <c r="AA575" s="195">
        <v>573</v>
      </c>
      <c r="AB575" s="197">
        <v>16727754662.998472</v>
      </c>
      <c r="AC575" s="198">
        <v>481767.20510745794</v>
      </c>
      <c r="AD575" s="197">
        <v>34721.654952140954</v>
      </c>
      <c r="AE575" s="195">
        <v>0</v>
      </c>
      <c r="AF575" s="195">
        <v>0</v>
      </c>
    </row>
    <row r="576" spans="27:32" x14ac:dyDescent="0.25">
      <c r="AA576" s="195">
        <v>574</v>
      </c>
      <c r="AB576" s="197">
        <v>16557913161.235842</v>
      </c>
      <c r="AC576" s="198">
        <v>521183.23926664889</v>
      </c>
      <c r="AD576" s="197">
        <v>31769.849668485687</v>
      </c>
      <c r="AE576" s="195">
        <v>0</v>
      </c>
      <c r="AF576" s="195">
        <v>0</v>
      </c>
    </row>
    <row r="577" spans="27:32" x14ac:dyDescent="0.25">
      <c r="AA577" s="195">
        <v>575</v>
      </c>
      <c r="AB577" s="197">
        <v>17033715885.444551</v>
      </c>
      <c r="AC577" s="198">
        <v>410691.17430365086</v>
      </c>
      <c r="AD577" s="197">
        <v>41475.729090906665</v>
      </c>
      <c r="AE577" s="195">
        <v>0</v>
      </c>
      <c r="AF577" s="195">
        <v>0</v>
      </c>
    </row>
    <row r="578" spans="27:32" x14ac:dyDescent="0.25">
      <c r="AA578" s="195">
        <v>576</v>
      </c>
      <c r="AB578" s="197">
        <v>17086827676.033195</v>
      </c>
      <c r="AC578" s="198">
        <v>398343.9221952036</v>
      </c>
      <c r="AD578" s="197">
        <v>42894.661431937209</v>
      </c>
      <c r="AE578" s="195">
        <v>0</v>
      </c>
      <c r="AF578" s="195">
        <v>0</v>
      </c>
    </row>
    <row r="579" spans="27:32" x14ac:dyDescent="0.25">
      <c r="AA579" s="195">
        <v>577</v>
      </c>
      <c r="AB579" s="197">
        <v>15169608108.940554</v>
      </c>
      <c r="AC579" s="198">
        <v>842336.50981117785</v>
      </c>
      <c r="AD579" s="197">
        <v>18008.964270515884</v>
      </c>
      <c r="AE579" s="195">
        <v>0</v>
      </c>
      <c r="AF579" s="195">
        <v>0</v>
      </c>
    </row>
    <row r="580" spans="27:32" x14ac:dyDescent="0.25">
      <c r="AA580" s="195">
        <v>578</v>
      </c>
      <c r="AB580" s="197">
        <v>16756045787.59811</v>
      </c>
      <c r="AC580" s="198">
        <v>475198.83790507168</v>
      </c>
      <c r="AD580" s="197">
        <v>35261.125345902867</v>
      </c>
      <c r="AE580" s="195">
        <v>0</v>
      </c>
      <c r="AF580" s="195">
        <v>0</v>
      </c>
    </row>
    <row r="581" spans="27:32" x14ac:dyDescent="0.25">
      <c r="AA581" s="195">
        <v>579</v>
      </c>
      <c r="AB581" s="197">
        <v>15992328248.893194</v>
      </c>
      <c r="AC581" s="198">
        <v>652241.84243257344</v>
      </c>
      <c r="AD581" s="197">
        <v>24519.01612023063</v>
      </c>
      <c r="AE581" s="195">
        <v>0</v>
      </c>
      <c r="AF581" s="195">
        <v>0</v>
      </c>
    </row>
    <row r="582" spans="27:32" x14ac:dyDescent="0.25">
      <c r="AA582" s="195">
        <v>580</v>
      </c>
      <c r="AB582" s="197">
        <v>17090151827.940447</v>
      </c>
      <c r="AC582" s="198">
        <v>397571.0442263186</v>
      </c>
      <c r="AD582" s="197">
        <v>42986.409790477155</v>
      </c>
      <c r="AE582" s="195">
        <v>0</v>
      </c>
      <c r="AF582" s="195">
        <v>0</v>
      </c>
    </row>
    <row r="583" spans="27:32" x14ac:dyDescent="0.25">
      <c r="AA583" s="195">
        <v>581</v>
      </c>
      <c r="AB583" s="197">
        <v>17381673901.967461</v>
      </c>
      <c r="AC583" s="198">
        <v>329749.71095152944</v>
      </c>
      <c r="AD583" s="197">
        <v>52711.718387290493</v>
      </c>
      <c r="AE583" s="195">
        <v>0</v>
      </c>
      <c r="AF583" s="195">
        <v>0</v>
      </c>
    </row>
    <row r="584" spans="27:32" x14ac:dyDescent="0.25">
      <c r="AA584" s="195">
        <v>582</v>
      </c>
      <c r="AB584" s="197">
        <v>18292027684.067078</v>
      </c>
      <c r="AC584" s="198">
        <v>117433.20389062911</v>
      </c>
      <c r="AD584" s="197">
        <v>155765.38047197685</v>
      </c>
      <c r="AE584" s="195">
        <v>0</v>
      </c>
      <c r="AF584" s="195">
        <v>0</v>
      </c>
    </row>
    <row r="585" spans="27:32" x14ac:dyDescent="0.25">
      <c r="AA585" s="195">
        <v>583</v>
      </c>
      <c r="AB585" s="197">
        <v>17602600129.673485</v>
      </c>
      <c r="AC585" s="198">
        <v>278297.71997773647</v>
      </c>
      <c r="AD585" s="197">
        <v>63250.967816343138</v>
      </c>
      <c r="AE585" s="195">
        <v>0</v>
      </c>
      <c r="AF585" s="195">
        <v>0</v>
      </c>
    </row>
    <row r="586" spans="27:32" x14ac:dyDescent="0.25">
      <c r="AA586" s="195">
        <v>584</v>
      </c>
      <c r="AB586" s="197">
        <v>17722628625.740665</v>
      </c>
      <c r="AC586" s="198">
        <v>250324.32259657234</v>
      </c>
      <c r="AD586" s="197">
        <v>70798.668071511405</v>
      </c>
      <c r="AE586" s="195">
        <v>0</v>
      </c>
      <c r="AF586" s="195">
        <v>0</v>
      </c>
    </row>
    <row r="587" spans="27:32" x14ac:dyDescent="0.25">
      <c r="AA587" s="195">
        <v>585</v>
      </c>
      <c r="AB587" s="197">
        <v>17941786693.390903</v>
      </c>
      <c r="AC587" s="198">
        <v>199212.35814388841</v>
      </c>
      <c r="AD587" s="197">
        <v>90063.622862351694</v>
      </c>
      <c r="AE587" s="195">
        <v>0</v>
      </c>
      <c r="AF587" s="195">
        <v>0</v>
      </c>
    </row>
    <row r="588" spans="27:32" x14ac:dyDescent="0.25">
      <c r="AA588" s="195">
        <v>586</v>
      </c>
      <c r="AB588" s="197">
        <v>18581037788.633595</v>
      </c>
      <c r="AC588" s="198">
        <v>49862.0312878564</v>
      </c>
      <c r="AD588" s="197">
        <v>372649.03391849773</v>
      </c>
      <c r="AE588" s="195">
        <v>0</v>
      </c>
      <c r="AF588" s="195">
        <v>0</v>
      </c>
    </row>
    <row r="589" spans="27:32" x14ac:dyDescent="0.25">
      <c r="AA589" s="195">
        <v>587</v>
      </c>
      <c r="AB589" s="197">
        <v>15838049583.29344</v>
      </c>
      <c r="AC589" s="198">
        <v>687938.34209211171</v>
      </c>
      <c r="AD589" s="197">
        <v>23022.484159158554</v>
      </c>
      <c r="AE589" s="195">
        <v>0</v>
      </c>
      <c r="AF589" s="195">
        <v>0</v>
      </c>
    </row>
    <row r="590" spans="27:32" x14ac:dyDescent="0.25">
      <c r="AA590" s="195">
        <v>588</v>
      </c>
      <c r="AB590" s="197">
        <v>16891707158.779564</v>
      </c>
      <c r="AC590" s="198">
        <v>443691.56778200716</v>
      </c>
      <c r="AD590" s="197">
        <v>38070.832049435594</v>
      </c>
      <c r="AE590" s="195">
        <v>0</v>
      </c>
      <c r="AF590" s="195">
        <v>0</v>
      </c>
    </row>
    <row r="591" spans="27:32" x14ac:dyDescent="0.25">
      <c r="AA591" s="195">
        <v>589</v>
      </c>
      <c r="AB591" s="197">
        <v>17837856515.524368</v>
      </c>
      <c r="AC591" s="198">
        <v>223456.68398065865</v>
      </c>
      <c r="AD591" s="197">
        <v>79826.909617383964</v>
      </c>
      <c r="AE591" s="195">
        <v>0</v>
      </c>
      <c r="AF591" s="195">
        <v>0</v>
      </c>
    </row>
    <row r="592" spans="27:32" x14ac:dyDescent="0.25">
      <c r="AA592" s="195">
        <v>590</v>
      </c>
      <c r="AB592" s="197">
        <v>19365814832.133358</v>
      </c>
      <c r="AC592" s="198">
        <v>-134027.11737477034</v>
      </c>
      <c r="AD592" s="197">
        <v>-144491.76563263783</v>
      </c>
      <c r="AE592" s="195">
        <v>0</v>
      </c>
      <c r="AF592" s="195">
        <v>0</v>
      </c>
    </row>
    <row r="593" spans="27:32" x14ac:dyDescent="0.25">
      <c r="AA593" s="195">
        <v>591</v>
      </c>
      <c r="AB593" s="197">
        <v>17815122934.673969</v>
      </c>
      <c r="AC593" s="198">
        <v>228758.47609951347</v>
      </c>
      <c r="AD593" s="197">
        <v>77877.433170712829</v>
      </c>
      <c r="AE593" s="195">
        <v>0</v>
      </c>
      <c r="AF593" s="195">
        <v>0</v>
      </c>
    </row>
    <row r="594" spans="27:32" x14ac:dyDescent="0.25">
      <c r="AA594" s="195">
        <v>592</v>
      </c>
      <c r="AB594" s="197">
        <v>17354283809.652946</v>
      </c>
      <c r="AC594" s="198">
        <v>336125.37621819973</v>
      </c>
      <c r="AD594" s="197">
        <v>51630.388651130015</v>
      </c>
      <c r="AE594" s="195">
        <v>0</v>
      </c>
      <c r="AF594" s="195">
        <v>0</v>
      </c>
    </row>
    <row r="595" spans="27:32" x14ac:dyDescent="0.25">
      <c r="AA595" s="195">
        <v>593</v>
      </c>
      <c r="AB595" s="197">
        <v>17119582331.505476</v>
      </c>
      <c r="AC595" s="198">
        <v>390727.87657961994</v>
      </c>
      <c r="AD595" s="197">
        <v>43814.591580636712</v>
      </c>
      <c r="AE595" s="195">
        <v>0</v>
      </c>
      <c r="AF595" s="195">
        <v>0</v>
      </c>
    </row>
    <row r="596" spans="27:32" x14ac:dyDescent="0.25">
      <c r="AA596" s="195">
        <v>594</v>
      </c>
      <c r="AB596" s="197">
        <v>17970347017.106533</v>
      </c>
      <c r="AC596" s="198">
        <v>192548.12213927507</v>
      </c>
      <c r="AD596" s="197">
        <v>93329.121143586701</v>
      </c>
      <c r="AE596" s="195">
        <v>0</v>
      </c>
      <c r="AF596" s="195">
        <v>0</v>
      </c>
    </row>
    <row r="597" spans="27:32" x14ac:dyDescent="0.25">
      <c r="AA597" s="195">
        <v>595</v>
      </c>
      <c r="AB597" s="197">
        <v>17147842707.740864</v>
      </c>
      <c r="AC597" s="198">
        <v>384156.00236864388</v>
      </c>
      <c r="AD597" s="197">
        <v>44637.706041321842</v>
      </c>
      <c r="AE597" s="195">
        <v>0</v>
      </c>
      <c r="AF597" s="195">
        <v>0</v>
      </c>
    </row>
    <row r="598" spans="27:32" x14ac:dyDescent="0.25">
      <c r="AA598" s="195">
        <v>596</v>
      </c>
      <c r="AB598" s="197">
        <v>18526940958.573128</v>
      </c>
      <c r="AC598" s="198">
        <v>62516.11284738034</v>
      </c>
      <c r="AD598" s="197">
        <v>296354.65346034348</v>
      </c>
      <c r="AE598" s="195">
        <v>0</v>
      </c>
      <c r="AF598" s="195">
        <v>0</v>
      </c>
    </row>
    <row r="599" spans="27:32" x14ac:dyDescent="0.25">
      <c r="AA599" s="195">
        <v>597</v>
      </c>
      <c r="AB599" s="197">
        <v>16961390089.504915</v>
      </c>
      <c r="AC599" s="198">
        <v>427500.8722358495</v>
      </c>
      <c r="AD599" s="197">
        <v>39675.685340233467</v>
      </c>
      <c r="AE599" s="195">
        <v>0</v>
      </c>
      <c r="AF599" s="195">
        <v>0</v>
      </c>
    </row>
    <row r="600" spans="27:32" x14ac:dyDescent="0.25">
      <c r="AA600" s="195">
        <v>598</v>
      </c>
      <c r="AB600" s="197">
        <v>17243878065.364189</v>
      </c>
      <c r="AC600" s="198">
        <v>361817.49809647352</v>
      </c>
      <c r="AD600" s="197">
        <v>47659.049537638319</v>
      </c>
      <c r="AE600" s="195">
        <v>0</v>
      </c>
      <c r="AF600" s="195">
        <v>0</v>
      </c>
    </row>
    <row r="601" spans="27:32" x14ac:dyDescent="0.25">
      <c r="AA601" s="195">
        <v>599</v>
      </c>
      <c r="AB601" s="197">
        <v>17296985746.299088</v>
      </c>
      <c r="AC601" s="198">
        <v>349460.46546171606</v>
      </c>
      <c r="AD601" s="197">
        <v>49496.259107438287</v>
      </c>
      <c r="AE601" s="195">
        <v>0</v>
      </c>
      <c r="AF601" s="195">
        <v>0</v>
      </c>
    </row>
    <row r="602" spans="27:32" x14ac:dyDescent="0.25">
      <c r="AA602" s="195">
        <v>600</v>
      </c>
      <c r="AB602" s="197">
        <v>18313596168.081463</v>
      </c>
      <c r="AC602" s="198">
        <v>112393.22816156596</v>
      </c>
      <c r="AD602" s="197">
        <v>162942.16713622244</v>
      </c>
      <c r="AE602" s="195">
        <v>0</v>
      </c>
      <c r="AF602" s="195">
        <v>0</v>
      </c>
    </row>
    <row r="603" spans="27:32" x14ac:dyDescent="0.25">
      <c r="AA603" s="195">
        <v>601</v>
      </c>
      <c r="AB603" s="197">
        <v>18079492260.124947</v>
      </c>
      <c r="AC603" s="198">
        <v>167073.04434470087</v>
      </c>
      <c r="AD603" s="197">
        <v>108213.10122789045</v>
      </c>
      <c r="AE603" s="195">
        <v>0</v>
      </c>
      <c r="AF603" s="195">
        <v>0</v>
      </c>
    </row>
    <row r="604" spans="27:32" x14ac:dyDescent="0.25">
      <c r="AA604" s="195">
        <v>602</v>
      </c>
      <c r="AB604" s="197">
        <v>19279148175.792191</v>
      </c>
      <c r="AC604" s="198">
        <v>-113690.15117178112</v>
      </c>
      <c r="AD604" s="197">
        <v>-169576.23837320961</v>
      </c>
      <c r="AE604" s="195">
        <v>0</v>
      </c>
      <c r="AF604" s="195">
        <v>1</v>
      </c>
    </row>
    <row r="605" spans="27:32" x14ac:dyDescent="0.25">
      <c r="AA605" s="195">
        <v>603</v>
      </c>
      <c r="AB605" s="197">
        <v>16704242782.011421</v>
      </c>
      <c r="AC605" s="198">
        <v>487225.3872224018</v>
      </c>
      <c r="AD605" s="197">
        <v>34284.426099468626</v>
      </c>
      <c r="AE605" s="195">
        <v>0</v>
      </c>
      <c r="AF605" s="195">
        <v>0</v>
      </c>
    </row>
    <row r="606" spans="27:32" x14ac:dyDescent="0.25">
      <c r="AA606" s="195">
        <v>604</v>
      </c>
      <c r="AB606" s="197">
        <v>17300681602.461807</v>
      </c>
      <c r="AC606" s="198">
        <v>348600.41700956225</v>
      </c>
      <c r="AD606" s="197">
        <v>49628.975635985087</v>
      </c>
      <c r="AE606" s="195">
        <v>0</v>
      </c>
      <c r="AF606" s="195">
        <v>0</v>
      </c>
    </row>
    <row r="607" spans="27:32" x14ac:dyDescent="0.25">
      <c r="AA607" s="195">
        <v>605</v>
      </c>
      <c r="AB607" s="197">
        <v>18288764974.769749</v>
      </c>
      <c r="AC607" s="198">
        <v>118195.57241217047</v>
      </c>
      <c r="AD607" s="197">
        <v>154733.08011059283</v>
      </c>
      <c r="AE607" s="195">
        <v>0</v>
      </c>
      <c r="AF607" s="195">
        <v>0</v>
      </c>
    </row>
    <row r="608" spans="27:32" x14ac:dyDescent="0.25">
      <c r="AA608" s="195">
        <v>606</v>
      </c>
      <c r="AB608" s="197">
        <v>17613109069.908783</v>
      </c>
      <c r="AC608" s="198">
        <v>275849.09933127463</v>
      </c>
      <c r="AD608" s="197">
        <v>63850.522305881175</v>
      </c>
      <c r="AE608" s="195">
        <v>0</v>
      </c>
      <c r="AF608" s="195">
        <v>0</v>
      </c>
    </row>
    <row r="609" spans="27:32" x14ac:dyDescent="0.25">
      <c r="AA609" s="195">
        <v>607</v>
      </c>
      <c r="AB609" s="197">
        <v>17521230151.21236</v>
      </c>
      <c r="AC609" s="198">
        <v>297253.61708798259</v>
      </c>
      <c r="AD609" s="197">
        <v>58943.707137552978</v>
      </c>
      <c r="AE609" s="195">
        <v>0</v>
      </c>
      <c r="AF609" s="195">
        <v>0</v>
      </c>
    </row>
    <row r="610" spans="27:32" x14ac:dyDescent="0.25">
      <c r="AA610" s="195">
        <v>608</v>
      </c>
      <c r="AB610" s="197">
        <v>17037784851.943392</v>
      </c>
      <c r="AC610" s="198">
        <v>409745.33048290014</v>
      </c>
      <c r="AD610" s="197">
        <v>41581.400895682513</v>
      </c>
      <c r="AE610" s="195">
        <v>0</v>
      </c>
      <c r="AF610" s="195">
        <v>0</v>
      </c>
    </row>
    <row r="611" spans="27:32" x14ac:dyDescent="0.25">
      <c r="AA611" s="195">
        <v>609</v>
      </c>
      <c r="AB611" s="197">
        <v>16733128326.888826</v>
      </c>
      <c r="AC611" s="198">
        <v>480519.65754704922</v>
      </c>
      <c r="AD611" s="197">
        <v>34822.98395929917</v>
      </c>
      <c r="AE611" s="195">
        <v>0</v>
      </c>
      <c r="AF611" s="195">
        <v>0</v>
      </c>
    </row>
    <row r="612" spans="27:32" x14ac:dyDescent="0.25">
      <c r="AA612" s="195">
        <v>610</v>
      </c>
      <c r="AB612" s="197">
        <v>18441155832.263878</v>
      </c>
      <c r="AC612" s="198">
        <v>82576.787340708077</v>
      </c>
      <c r="AD612" s="197">
        <v>223321.3040388276</v>
      </c>
      <c r="AE612" s="195">
        <v>0</v>
      </c>
      <c r="AF612" s="195">
        <v>0</v>
      </c>
    </row>
    <row r="613" spans="27:32" x14ac:dyDescent="0.25">
      <c r="AA613" s="195">
        <v>611</v>
      </c>
      <c r="AB613" s="197">
        <v>15873674026.84837</v>
      </c>
      <c r="AC613" s="198">
        <v>679697.70092453063</v>
      </c>
      <c r="AD613" s="197">
        <v>23354.020478893577</v>
      </c>
      <c r="AE613" s="195">
        <v>0</v>
      </c>
      <c r="AF613" s="195">
        <v>0</v>
      </c>
    </row>
    <row r="614" spans="27:32" x14ac:dyDescent="0.25">
      <c r="AA614" s="195">
        <v>612</v>
      </c>
      <c r="AB614" s="197">
        <v>15603888254.621239</v>
      </c>
      <c r="AC614" s="198">
        <v>742074.21245478094</v>
      </c>
      <c r="AD614" s="197">
        <v>21027.39590290247</v>
      </c>
      <c r="AE614" s="195">
        <v>0</v>
      </c>
      <c r="AF614" s="195">
        <v>0</v>
      </c>
    </row>
    <row r="615" spans="27:32" x14ac:dyDescent="0.25">
      <c r="AA615" s="195">
        <v>613</v>
      </c>
      <c r="AB615" s="197">
        <v>19052330630.945583</v>
      </c>
      <c r="AC615" s="198">
        <v>-60500.095440097153</v>
      </c>
      <c r="AD615" s="197">
        <v>-314914.05909945763</v>
      </c>
      <c r="AE615" s="195">
        <v>0</v>
      </c>
      <c r="AF615" s="195">
        <v>0</v>
      </c>
    </row>
    <row r="616" spans="27:32" x14ac:dyDescent="0.25">
      <c r="AA616" s="195">
        <v>614</v>
      </c>
      <c r="AB616" s="197">
        <v>17717851353.290611</v>
      </c>
      <c r="AC616" s="198">
        <v>251437.96113567054</v>
      </c>
      <c r="AD616" s="197">
        <v>70466.095386966801</v>
      </c>
      <c r="AE616" s="195">
        <v>0</v>
      </c>
      <c r="AF616" s="195">
        <v>0</v>
      </c>
    </row>
    <row r="617" spans="27:32" x14ac:dyDescent="0.25">
      <c r="AA617" s="195">
        <v>615</v>
      </c>
      <c r="AB617" s="197">
        <v>18187310665.484245</v>
      </c>
      <c r="AC617" s="198">
        <v>141896.38535667956</v>
      </c>
      <c r="AD617" s="197">
        <v>128173.17805360223</v>
      </c>
      <c r="AE617" s="195">
        <v>0</v>
      </c>
      <c r="AF617" s="195">
        <v>0</v>
      </c>
    </row>
    <row r="618" spans="27:32" x14ac:dyDescent="0.25">
      <c r="AA618" s="195">
        <v>616</v>
      </c>
      <c r="AB618" s="197">
        <v>16159332361.632866</v>
      </c>
      <c r="AC618" s="198">
        <v>613575.2273594588</v>
      </c>
      <c r="AD618" s="197">
        <v>26336.350688692379</v>
      </c>
      <c r="AE618" s="195">
        <v>0</v>
      </c>
      <c r="AF618" s="195">
        <v>0</v>
      </c>
    </row>
    <row r="619" spans="27:32" x14ac:dyDescent="0.25">
      <c r="AA619" s="195">
        <v>617</v>
      </c>
      <c r="AB619" s="197">
        <v>16923473931.876383</v>
      </c>
      <c r="AC619" s="198">
        <v>436311.19787453115</v>
      </c>
      <c r="AD619" s="197">
        <v>38787.622262087854</v>
      </c>
      <c r="AE619" s="195">
        <v>0</v>
      </c>
      <c r="AF619" s="195">
        <v>0</v>
      </c>
    </row>
    <row r="620" spans="27:32" x14ac:dyDescent="0.25">
      <c r="AA620" s="195">
        <v>618</v>
      </c>
      <c r="AB620" s="197">
        <v>17258259504.172157</v>
      </c>
      <c r="AC620" s="198">
        <v>358471.50977460295</v>
      </c>
      <c r="AD620" s="197">
        <v>48144.019911160241</v>
      </c>
      <c r="AE620" s="195">
        <v>0</v>
      </c>
      <c r="AF620" s="195">
        <v>0</v>
      </c>
    </row>
    <row r="621" spans="27:32" x14ac:dyDescent="0.25">
      <c r="AA621" s="195">
        <v>619</v>
      </c>
      <c r="AB621" s="197">
        <v>16937558304.938681</v>
      </c>
      <c r="AC621" s="198">
        <v>433038.66703921556</v>
      </c>
      <c r="AD621" s="197">
        <v>39113.270001371107</v>
      </c>
      <c r="AE621" s="195">
        <v>0</v>
      </c>
      <c r="AF621" s="195">
        <v>0</v>
      </c>
    </row>
    <row r="622" spans="27:32" x14ac:dyDescent="0.25">
      <c r="AA622" s="195">
        <v>620</v>
      </c>
      <c r="AB622" s="197">
        <v>17202713083.214893</v>
      </c>
      <c r="AC622" s="198">
        <v>371393.85087960213</v>
      </c>
      <c r="AD622" s="197">
        <v>46319.326619092681</v>
      </c>
      <c r="AE622" s="195">
        <v>0</v>
      </c>
      <c r="AF622" s="195">
        <v>0</v>
      </c>
    </row>
    <row r="623" spans="27:32" x14ac:dyDescent="0.25">
      <c r="AA623" s="195">
        <v>621</v>
      </c>
      <c r="AB623" s="197">
        <v>16853744814.530235</v>
      </c>
      <c r="AC623" s="198">
        <v>452510.08147455752</v>
      </c>
      <c r="AD623" s="197">
        <v>37245.015093609225</v>
      </c>
      <c r="AE623" s="195">
        <v>0</v>
      </c>
      <c r="AF623" s="195">
        <v>0</v>
      </c>
    </row>
    <row r="624" spans="27:32" x14ac:dyDescent="0.25">
      <c r="AA624" s="195">
        <v>622</v>
      </c>
      <c r="AB624" s="197">
        <v>16657773900.807066</v>
      </c>
      <c r="AC624" s="198">
        <v>498011.375777632</v>
      </c>
      <c r="AD624" s="197">
        <v>33448.581118847695</v>
      </c>
      <c r="AE624" s="195">
        <v>0</v>
      </c>
      <c r="AF624" s="195">
        <v>0</v>
      </c>
    </row>
    <row r="625" spans="27:32" x14ac:dyDescent="0.25">
      <c r="AA625" s="195">
        <v>623</v>
      </c>
      <c r="AB625" s="197">
        <v>17992024590.907379</v>
      </c>
      <c r="AC625" s="198">
        <v>187489.37513805926</v>
      </c>
      <c r="AD625" s="197">
        <v>95962.902311978003</v>
      </c>
      <c r="AE625" s="195">
        <v>0</v>
      </c>
      <c r="AF625" s="195">
        <v>0</v>
      </c>
    </row>
    <row r="626" spans="27:32" x14ac:dyDescent="0.25">
      <c r="AA626" s="195">
        <v>624</v>
      </c>
      <c r="AB626" s="197">
        <v>18137455125.801025</v>
      </c>
      <c r="AC626" s="198">
        <v>153539.53727959096</v>
      </c>
      <c r="AD626" s="197">
        <v>118128.89010322634</v>
      </c>
      <c r="AE626" s="195">
        <v>0</v>
      </c>
      <c r="AF626" s="195">
        <v>0</v>
      </c>
    </row>
    <row r="627" spans="27:32" x14ac:dyDescent="0.25">
      <c r="AA627" s="195">
        <v>625</v>
      </c>
      <c r="AB627" s="197">
        <v>16236480798.297781</v>
      </c>
      <c r="AC627" s="198">
        <v>595703.93966140598</v>
      </c>
      <c r="AD627" s="197">
        <v>27255.956721599803</v>
      </c>
      <c r="AE627" s="195">
        <v>0</v>
      </c>
      <c r="AF627" s="195">
        <v>0</v>
      </c>
    </row>
    <row r="628" spans="27:32" x14ac:dyDescent="0.25">
      <c r="AA628" s="195">
        <v>626</v>
      </c>
      <c r="AB628" s="197">
        <v>18688423020.720352</v>
      </c>
      <c r="AC628" s="198">
        <v>24734.607037715614</v>
      </c>
      <c r="AD628" s="197">
        <v>755557.70876909548</v>
      </c>
      <c r="AE628" s="195">
        <v>0</v>
      </c>
      <c r="AF628" s="195">
        <v>0</v>
      </c>
    </row>
    <row r="629" spans="27:32" x14ac:dyDescent="0.25">
      <c r="AA629" s="195">
        <v>627</v>
      </c>
      <c r="AB629" s="197">
        <v>16221844018.521072</v>
      </c>
      <c r="AC629" s="198">
        <v>599094.96085535735</v>
      </c>
      <c r="AD629" s="197">
        <v>27077.249982807982</v>
      </c>
      <c r="AE629" s="195">
        <v>0</v>
      </c>
      <c r="AF629" s="195">
        <v>0</v>
      </c>
    </row>
    <row r="630" spans="27:32" x14ac:dyDescent="0.25">
      <c r="AA630" s="195">
        <v>628</v>
      </c>
      <c r="AB630" s="197">
        <v>16781750489.093851</v>
      </c>
      <c r="AC630" s="198">
        <v>469230.29512737691</v>
      </c>
      <c r="AD630" s="197">
        <v>35764.422424042954</v>
      </c>
      <c r="AE630" s="195">
        <v>0</v>
      </c>
      <c r="AF630" s="195">
        <v>0</v>
      </c>
    </row>
    <row r="631" spans="27:32" x14ac:dyDescent="0.25">
      <c r="AA631" s="195">
        <v>629</v>
      </c>
      <c r="AB631" s="197">
        <v>18382971934.002083</v>
      </c>
      <c r="AC631" s="198">
        <v>96178.93216881156</v>
      </c>
      <c r="AD631" s="197">
        <v>191133.04254341914</v>
      </c>
      <c r="AE631" s="195">
        <v>0</v>
      </c>
      <c r="AF631" s="195">
        <v>0</v>
      </c>
    </row>
    <row r="632" spans="27:32" x14ac:dyDescent="0.25">
      <c r="AA632" s="195">
        <v>630</v>
      </c>
      <c r="AB632" s="197">
        <v>18566532543.663204</v>
      </c>
      <c r="AC632" s="198">
        <v>53255.308447316289</v>
      </c>
      <c r="AD632" s="197">
        <v>348632.52293488185</v>
      </c>
      <c r="AE632" s="195">
        <v>0</v>
      </c>
      <c r="AF632" s="195">
        <v>0</v>
      </c>
    </row>
    <row r="633" spans="27:32" x14ac:dyDescent="0.25">
      <c r="AA633" s="195">
        <v>631</v>
      </c>
      <c r="AB633" s="197">
        <v>16591704083.703638</v>
      </c>
      <c r="AC633" s="198">
        <v>513343.40605241805</v>
      </c>
      <c r="AD633" s="197">
        <v>32320.867255884146</v>
      </c>
      <c r="AE633" s="195">
        <v>0</v>
      </c>
      <c r="AF633" s="195">
        <v>0</v>
      </c>
    </row>
    <row r="634" spans="27:32" x14ac:dyDescent="0.25">
      <c r="AA634" s="195">
        <v>632</v>
      </c>
      <c r="AB634" s="197">
        <v>17540299853.814251</v>
      </c>
      <c r="AC634" s="198">
        <v>292811.72346529365</v>
      </c>
      <c r="AD634" s="197">
        <v>59902.997210059679</v>
      </c>
      <c r="AE634" s="195">
        <v>0</v>
      </c>
      <c r="AF634" s="195">
        <v>0</v>
      </c>
    </row>
    <row r="635" spans="27:32" x14ac:dyDescent="0.25">
      <c r="AA635" s="195">
        <v>633</v>
      </c>
      <c r="AB635" s="197">
        <v>18220616673.698635</v>
      </c>
      <c r="AC635" s="198">
        <v>134116.83928266168</v>
      </c>
      <c r="AD635" s="197">
        <v>135856.29344647221</v>
      </c>
      <c r="AE635" s="195">
        <v>0</v>
      </c>
      <c r="AF635" s="195">
        <v>0</v>
      </c>
    </row>
    <row r="636" spans="27:32" x14ac:dyDescent="0.25">
      <c r="AA636" s="195">
        <v>634</v>
      </c>
      <c r="AB636" s="197">
        <v>15948081375.477282</v>
      </c>
      <c r="AC636" s="198">
        <v>662481.87664387375</v>
      </c>
      <c r="AD636" s="197">
        <v>24073.234208715407</v>
      </c>
      <c r="AE636" s="195">
        <v>0</v>
      </c>
      <c r="AF636" s="195">
        <v>0</v>
      </c>
    </row>
    <row r="637" spans="27:32" x14ac:dyDescent="0.25">
      <c r="AA637" s="195">
        <v>635</v>
      </c>
      <c r="AB637" s="197">
        <v>16972622912.814209</v>
      </c>
      <c r="AC637" s="198">
        <v>424890.51030582935</v>
      </c>
      <c r="AD637" s="197">
        <v>39945.874292644447</v>
      </c>
      <c r="AE637" s="195">
        <v>0</v>
      </c>
      <c r="AF637" s="195">
        <v>0</v>
      </c>
    </row>
    <row r="638" spans="27:32" x14ac:dyDescent="0.25">
      <c r="AA638" s="195">
        <v>636</v>
      </c>
      <c r="AB638" s="197">
        <v>15976785994.723372</v>
      </c>
      <c r="AC638" s="198">
        <v>655838.99342683703</v>
      </c>
      <c r="AD638" s="197">
        <v>24360.835746046079</v>
      </c>
      <c r="AE638" s="195">
        <v>0</v>
      </c>
      <c r="AF638" s="195">
        <v>0</v>
      </c>
    </row>
    <row r="639" spans="27:32" x14ac:dyDescent="0.25">
      <c r="AA639" s="195">
        <v>637</v>
      </c>
      <c r="AB639" s="197">
        <v>17269724590.786377</v>
      </c>
      <c r="AC639" s="198">
        <v>355803.89796646684</v>
      </c>
      <c r="AD639" s="197">
        <v>48537.198972491249</v>
      </c>
      <c r="AE639" s="195">
        <v>0</v>
      </c>
      <c r="AF639" s="195">
        <v>0</v>
      </c>
    </row>
    <row r="640" spans="27:32" x14ac:dyDescent="0.25">
      <c r="AA640" s="195">
        <v>638</v>
      </c>
      <c r="AB640" s="197">
        <v>17688897385.116467</v>
      </c>
      <c r="AC640" s="198">
        <v>258187.00227046758</v>
      </c>
      <c r="AD640" s="197">
        <v>68511.959275882531</v>
      </c>
      <c r="AE640" s="195">
        <v>0</v>
      </c>
      <c r="AF640" s="195">
        <v>0</v>
      </c>
    </row>
    <row r="641" spans="27:32" x14ac:dyDescent="0.25">
      <c r="AA641" s="195">
        <v>639</v>
      </c>
      <c r="AB641" s="197">
        <v>17844514233.241177</v>
      </c>
      <c r="AC641" s="198">
        <v>221903.91593977809</v>
      </c>
      <c r="AD641" s="197">
        <v>80415.499463668559</v>
      </c>
      <c r="AE641" s="195">
        <v>0</v>
      </c>
      <c r="AF641" s="195">
        <v>0</v>
      </c>
    </row>
    <row r="642" spans="27:32" x14ac:dyDescent="0.25">
      <c r="AA642" s="195">
        <v>640</v>
      </c>
      <c r="AB642" s="197">
        <v>16965725751.679619</v>
      </c>
      <c r="AC642" s="198">
        <v>426493.33515597135</v>
      </c>
      <c r="AD642" s="197">
        <v>39779.580014949461</v>
      </c>
      <c r="AE642" s="195">
        <v>0</v>
      </c>
      <c r="AF642" s="195">
        <v>0</v>
      </c>
    </row>
    <row r="643" spans="27:32" x14ac:dyDescent="0.25">
      <c r="AA643" s="195">
        <v>641</v>
      </c>
      <c r="AB643" s="197">
        <v>16839835041.817751</v>
      </c>
      <c r="AC643" s="198">
        <v>455740.92398896068</v>
      </c>
      <c r="AD643" s="197">
        <v>36950.45618116502</v>
      </c>
      <c r="AE643" s="195">
        <v>0</v>
      </c>
      <c r="AF643" s="195">
        <v>0</v>
      </c>
    </row>
    <row r="644" spans="27:32" x14ac:dyDescent="0.25">
      <c r="AA644" s="195">
        <v>642</v>
      </c>
      <c r="AB644" s="197">
        <v>18596880785.503342</v>
      </c>
      <c r="AC644" s="198">
        <v>46155.575888380408</v>
      </c>
      <c r="AD644" s="197">
        <v>402917.31665263604</v>
      </c>
      <c r="AE644" s="195">
        <v>0</v>
      </c>
      <c r="AF644" s="195">
        <v>0</v>
      </c>
    </row>
    <row r="645" spans="27:32" x14ac:dyDescent="0.25">
      <c r="AA645" s="195">
        <v>643</v>
      </c>
      <c r="AB645" s="197">
        <v>17385674819.828537</v>
      </c>
      <c r="AC645" s="198">
        <v>328818.3461374566</v>
      </c>
      <c r="AD645" s="197">
        <v>52873.189784127091</v>
      </c>
      <c r="AE645" s="195">
        <v>0</v>
      </c>
      <c r="AF645" s="195">
        <v>0</v>
      </c>
    </row>
    <row r="646" spans="27:32" x14ac:dyDescent="0.25">
      <c r="AA646" s="195">
        <v>644</v>
      </c>
      <c r="AB646" s="197">
        <v>18624988484.998096</v>
      </c>
      <c r="AC646" s="198">
        <v>39579.208014026284</v>
      </c>
      <c r="AD646" s="197">
        <v>470575.06755561347</v>
      </c>
      <c r="AE646" s="195">
        <v>0</v>
      </c>
      <c r="AF646" s="195">
        <v>0</v>
      </c>
    </row>
    <row r="647" spans="27:32" x14ac:dyDescent="0.25">
      <c r="AA647" s="195">
        <v>645</v>
      </c>
      <c r="AB647" s="197">
        <v>16929825877.293041</v>
      </c>
      <c r="AC647" s="198">
        <v>434835.33490181714</v>
      </c>
      <c r="AD647" s="197">
        <v>38933.877995714589</v>
      </c>
      <c r="AE647" s="195">
        <v>0</v>
      </c>
      <c r="AF647" s="195">
        <v>0</v>
      </c>
    </row>
    <row r="648" spans="27:32" x14ac:dyDescent="0.25">
      <c r="AA648" s="195">
        <v>646</v>
      </c>
      <c r="AB648" s="197">
        <v>17077646262.017351</v>
      </c>
      <c r="AC648" s="198">
        <v>400478.58068173379</v>
      </c>
      <c r="AD648" s="197">
        <v>42643.09525105216</v>
      </c>
      <c r="AE648" s="195">
        <v>0</v>
      </c>
      <c r="AF648" s="195">
        <v>0</v>
      </c>
    </row>
    <row r="649" spans="27:32" x14ac:dyDescent="0.25">
      <c r="AA649" s="195">
        <v>647</v>
      </c>
      <c r="AB649" s="197">
        <v>15649499371.675823</v>
      </c>
      <c r="AC649" s="198">
        <v>731533.47977221757</v>
      </c>
      <c r="AD649" s="197">
        <v>21392.731576070466</v>
      </c>
      <c r="AE649" s="195">
        <v>0</v>
      </c>
      <c r="AF649" s="195">
        <v>0</v>
      </c>
    </row>
    <row r="650" spans="27:32" x14ac:dyDescent="0.25">
      <c r="AA650" s="195">
        <v>648</v>
      </c>
      <c r="AB650" s="197">
        <v>16744899227.597591</v>
      </c>
      <c r="AC650" s="198">
        <v>477786.8331913054</v>
      </c>
      <c r="AD650" s="197">
        <v>35046.799250939068</v>
      </c>
      <c r="AE650" s="195">
        <v>0</v>
      </c>
      <c r="AF650" s="195">
        <v>0</v>
      </c>
    </row>
    <row r="651" spans="27:32" x14ac:dyDescent="0.25">
      <c r="AA651" s="195">
        <v>649</v>
      </c>
      <c r="AB651" s="197">
        <v>17257012066.948437</v>
      </c>
      <c r="AC651" s="198">
        <v>358761.74664051831</v>
      </c>
      <c r="AD651" s="197">
        <v>48101.594522116313</v>
      </c>
      <c r="AE651" s="195">
        <v>0</v>
      </c>
      <c r="AF651" s="195">
        <v>0</v>
      </c>
    </row>
    <row r="652" spans="27:32" x14ac:dyDescent="0.25">
      <c r="AA652" s="195">
        <v>650</v>
      </c>
      <c r="AB652" s="197">
        <v>16337821703.748774</v>
      </c>
      <c r="AC652" s="198">
        <v>572219.83005321771</v>
      </c>
      <c r="AD652" s="197">
        <v>28551.65243439627</v>
      </c>
      <c r="AE652" s="195">
        <v>0</v>
      </c>
      <c r="AF652" s="195">
        <v>0</v>
      </c>
    </row>
    <row r="653" spans="27:32" x14ac:dyDescent="0.25">
      <c r="AA653" s="195">
        <v>651</v>
      </c>
      <c r="AB653" s="197">
        <v>16094369950.977758</v>
      </c>
      <c r="AC653" s="198">
        <v>628619.21468981355</v>
      </c>
      <c r="AD653" s="197">
        <v>25602.733061412033</v>
      </c>
      <c r="AE653" s="195">
        <v>0</v>
      </c>
      <c r="AF653" s="195">
        <v>0</v>
      </c>
    </row>
    <row r="654" spans="27:32" x14ac:dyDescent="0.25">
      <c r="AA654" s="195">
        <v>652</v>
      </c>
      <c r="AB654" s="197">
        <v>19121825159.010956</v>
      </c>
      <c r="AC654" s="198">
        <v>-76791.693369314075</v>
      </c>
      <c r="AD654" s="197">
        <v>-249009.03105559107</v>
      </c>
      <c r="AE654" s="195">
        <v>0</v>
      </c>
      <c r="AF654" s="195">
        <v>0</v>
      </c>
    </row>
    <row r="655" spans="27:32" x14ac:dyDescent="0.25">
      <c r="AA655" s="195">
        <v>653</v>
      </c>
      <c r="AB655" s="197">
        <v>17314729818.324608</v>
      </c>
      <c r="AC655" s="198">
        <v>345331.1908833161</v>
      </c>
      <c r="AD655" s="197">
        <v>50139.490076281814</v>
      </c>
      <c r="AE655" s="195">
        <v>0</v>
      </c>
      <c r="AF655" s="195">
        <v>0</v>
      </c>
    </row>
    <row r="656" spans="27:32" x14ac:dyDescent="0.25">
      <c r="AA656" s="195">
        <v>654</v>
      </c>
      <c r="AB656" s="197">
        <v>17239184567.526249</v>
      </c>
      <c r="AC656" s="198">
        <v>362909.44514097273</v>
      </c>
      <c r="AD656" s="197">
        <v>47502.716719951066</v>
      </c>
      <c r="AE656" s="195">
        <v>0</v>
      </c>
      <c r="AF656" s="195">
        <v>0</v>
      </c>
    </row>
    <row r="657" spans="27:32" x14ac:dyDescent="0.25">
      <c r="AA657" s="195">
        <v>655</v>
      </c>
      <c r="AB657" s="197">
        <v>17718451332.166313</v>
      </c>
      <c r="AC657" s="198">
        <v>251298.10019191355</v>
      </c>
      <c r="AD657" s="197">
        <v>70507.701087413428</v>
      </c>
      <c r="AE657" s="195">
        <v>0</v>
      </c>
      <c r="AF657" s="195">
        <v>0</v>
      </c>
    </row>
    <row r="658" spans="27:32" x14ac:dyDescent="0.25">
      <c r="AA658" s="195">
        <v>656</v>
      </c>
      <c r="AB658" s="197">
        <v>16895653515.529495</v>
      </c>
      <c r="AC658" s="198">
        <v>442774.76405013353</v>
      </c>
      <c r="AD658" s="197">
        <v>38158.573810716254</v>
      </c>
      <c r="AE658" s="195">
        <v>0</v>
      </c>
      <c r="AF658" s="195">
        <v>0</v>
      </c>
    </row>
    <row r="659" spans="27:32" x14ac:dyDescent="0.25">
      <c r="AA659" s="195">
        <v>657</v>
      </c>
      <c r="AB659" s="197">
        <v>18505403356.083549</v>
      </c>
      <c r="AC659" s="198">
        <v>67553.304020553827</v>
      </c>
      <c r="AD659" s="197">
        <v>273937.79807502945</v>
      </c>
      <c r="AE659" s="195">
        <v>0</v>
      </c>
      <c r="AF659" s="195">
        <v>0</v>
      </c>
    </row>
    <row r="660" spans="27:32" x14ac:dyDescent="0.25">
      <c r="AA660" s="195">
        <v>658</v>
      </c>
      <c r="AB660" s="197">
        <v>17595228497.996464</v>
      </c>
      <c r="AC660" s="198">
        <v>280015.27306188643</v>
      </c>
      <c r="AD660" s="197">
        <v>62836.67424850689</v>
      </c>
      <c r="AE660" s="195">
        <v>0</v>
      </c>
      <c r="AF660" s="195">
        <v>0</v>
      </c>
    </row>
    <row r="661" spans="27:32" x14ac:dyDescent="0.25">
      <c r="AA661" s="195">
        <v>659</v>
      </c>
      <c r="AB661" s="197">
        <v>19148446503.91576</v>
      </c>
      <c r="AC661" s="198">
        <v>-83033.769192151725</v>
      </c>
      <c r="AD661" s="197">
        <v>-230610.34914124617</v>
      </c>
      <c r="AE661" s="195">
        <v>0</v>
      </c>
      <c r="AF661" s="195">
        <v>0</v>
      </c>
    </row>
    <row r="662" spans="27:32" x14ac:dyDescent="0.25">
      <c r="AA662" s="195">
        <v>660</v>
      </c>
      <c r="AB662" s="197">
        <v>18652573032.716339</v>
      </c>
      <c r="AC662" s="198">
        <v>33124.50103829056</v>
      </c>
      <c r="AD662" s="197">
        <v>563105.02643208823</v>
      </c>
      <c r="AE662" s="195">
        <v>0</v>
      </c>
      <c r="AF662" s="195">
        <v>0</v>
      </c>
    </row>
    <row r="663" spans="27:32" x14ac:dyDescent="0.25">
      <c r="AA663" s="195">
        <v>661</v>
      </c>
      <c r="AB663" s="197">
        <v>17031542352.900003</v>
      </c>
      <c r="AC663" s="198">
        <v>411196.4121279195</v>
      </c>
      <c r="AD663" s="197">
        <v>41419.48190832376</v>
      </c>
      <c r="AE663" s="195">
        <v>0</v>
      </c>
      <c r="AF663" s="195">
        <v>0</v>
      </c>
    </row>
    <row r="664" spans="27:32" x14ac:dyDescent="0.25">
      <c r="AA664" s="195">
        <v>662</v>
      </c>
      <c r="AB664" s="197">
        <v>16217769194.788033</v>
      </c>
      <c r="AC664" s="198">
        <v>600038.97163939476</v>
      </c>
      <c r="AD664" s="197">
        <v>27027.859791304389</v>
      </c>
      <c r="AE664" s="195">
        <v>0</v>
      </c>
      <c r="AF664" s="195">
        <v>0</v>
      </c>
    </row>
    <row r="665" spans="27:32" x14ac:dyDescent="0.25">
      <c r="AA665" s="195">
        <v>663</v>
      </c>
      <c r="AB665" s="197">
        <v>16999991217.72403</v>
      </c>
      <c r="AC665" s="198">
        <v>418529.96457035094</v>
      </c>
      <c r="AD665" s="197">
        <v>40618.337172526371</v>
      </c>
      <c r="AE665" s="195">
        <v>0</v>
      </c>
      <c r="AF665" s="195">
        <v>0</v>
      </c>
    </row>
    <row r="666" spans="27:32" x14ac:dyDescent="0.25">
      <c r="AA666" s="195">
        <v>664</v>
      </c>
      <c r="AB666" s="197">
        <v>18123252361.244926</v>
      </c>
      <c r="AC666" s="198">
        <v>156855.98087764531</v>
      </c>
      <c r="AD666" s="197">
        <v>115540.71613872265</v>
      </c>
      <c r="AE666" s="195">
        <v>0</v>
      </c>
      <c r="AF666" s="195">
        <v>0</v>
      </c>
    </row>
    <row r="667" spans="27:32" x14ac:dyDescent="0.25">
      <c r="AA667" s="195">
        <v>665</v>
      </c>
      <c r="AB667" s="197">
        <v>16598021009.116919</v>
      </c>
      <c r="AC667" s="198">
        <v>511877.6942409724</v>
      </c>
      <c r="AD667" s="197">
        <v>32425.755597201714</v>
      </c>
      <c r="AE667" s="195">
        <v>0</v>
      </c>
      <c r="AF667" s="195">
        <v>0</v>
      </c>
    </row>
    <row r="668" spans="27:32" x14ac:dyDescent="0.25">
      <c r="AA668" s="195">
        <v>666</v>
      </c>
      <c r="AB668" s="197">
        <v>18350846137.998657</v>
      </c>
      <c r="AC668" s="198">
        <v>103687.85384719074</v>
      </c>
      <c r="AD668" s="197">
        <v>176981.63726142014</v>
      </c>
      <c r="AE668" s="195">
        <v>0</v>
      </c>
      <c r="AF668" s="195">
        <v>0</v>
      </c>
    </row>
    <row r="669" spans="27:32" x14ac:dyDescent="0.25">
      <c r="AA669" s="195">
        <v>667</v>
      </c>
      <c r="AB669" s="197">
        <v>16069396665.796282</v>
      </c>
      <c r="AC669" s="198">
        <v>634401.44728092849</v>
      </c>
      <c r="AD669" s="197">
        <v>25330.012620037985</v>
      </c>
      <c r="AE669" s="195">
        <v>0</v>
      </c>
      <c r="AF669" s="195">
        <v>0</v>
      </c>
    </row>
    <row r="670" spans="27:32" x14ac:dyDescent="0.25">
      <c r="AA670" s="195">
        <v>668</v>
      </c>
      <c r="AB670" s="197">
        <v>17346892446.06916</v>
      </c>
      <c r="AC670" s="198">
        <v>337845.76005346328</v>
      </c>
      <c r="AD670" s="197">
        <v>51345.597598513763</v>
      </c>
      <c r="AE670" s="195">
        <v>0</v>
      </c>
      <c r="AF670" s="195">
        <v>0</v>
      </c>
    </row>
    <row r="671" spans="27:32" x14ac:dyDescent="0.25">
      <c r="AA671" s="195">
        <v>669</v>
      </c>
      <c r="AB671" s="197">
        <v>16703281379.132017</v>
      </c>
      <c r="AC671" s="198">
        <v>487448.56146322191</v>
      </c>
      <c r="AD671" s="197">
        <v>34266.756945578316</v>
      </c>
      <c r="AE671" s="195">
        <v>0</v>
      </c>
      <c r="AF671" s="195">
        <v>0</v>
      </c>
    </row>
    <row r="672" spans="27:32" x14ac:dyDescent="0.25">
      <c r="AA672" s="195">
        <v>670</v>
      </c>
      <c r="AB672" s="197">
        <v>15451847780.009783</v>
      </c>
      <c r="AC672" s="198">
        <v>777196.37325168401</v>
      </c>
      <c r="AD672" s="197">
        <v>19881.52326980291</v>
      </c>
      <c r="AE672" s="195">
        <v>0</v>
      </c>
      <c r="AF672" s="195">
        <v>0</v>
      </c>
    </row>
    <row r="673" spans="27:32" x14ac:dyDescent="0.25">
      <c r="AA673" s="195">
        <v>671</v>
      </c>
      <c r="AB673" s="197">
        <v>17560214221.576469</v>
      </c>
      <c r="AC673" s="198">
        <v>288172.7088515982</v>
      </c>
      <c r="AD673" s="197">
        <v>60936.423478670025</v>
      </c>
      <c r="AE673" s="195">
        <v>0</v>
      </c>
      <c r="AF673" s="195">
        <v>0</v>
      </c>
    </row>
    <row r="674" spans="27:32" x14ac:dyDescent="0.25">
      <c r="AA674" s="195">
        <v>672</v>
      </c>
      <c r="AB674" s="197">
        <v>18052741842.620201</v>
      </c>
      <c r="AC674" s="198">
        <v>173317.79545054585</v>
      </c>
      <c r="AD674" s="197">
        <v>104159.77075920824</v>
      </c>
      <c r="AE674" s="195">
        <v>0</v>
      </c>
      <c r="AF674" s="195">
        <v>0</v>
      </c>
    </row>
    <row r="675" spans="27:32" x14ac:dyDescent="0.25">
      <c r="AA675" s="195">
        <v>673</v>
      </c>
      <c r="AB675" s="197">
        <v>17844805868.716858</v>
      </c>
      <c r="AC675" s="198">
        <v>221835.89732376486</v>
      </c>
      <c r="AD675" s="197">
        <v>80441.470852991552</v>
      </c>
      <c r="AE675" s="195">
        <v>0</v>
      </c>
      <c r="AF675" s="195">
        <v>0</v>
      </c>
    </row>
    <row r="676" spans="27:32" x14ac:dyDescent="0.25">
      <c r="AA676" s="195">
        <v>674</v>
      </c>
      <c r="AB676" s="197">
        <v>17491988841.748497</v>
      </c>
      <c r="AC676" s="198">
        <v>304064.09665820748</v>
      </c>
      <c r="AD676" s="197">
        <v>57527.307676219665</v>
      </c>
      <c r="AE676" s="195">
        <v>0</v>
      </c>
      <c r="AF676" s="195">
        <v>0</v>
      </c>
    </row>
    <row r="677" spans="27:32" x14ac:dyDescent="0.25">
      <c r="AA677" s="195">
        <v>675</v>
      </c>
      <c r="AB677" s="197">
        <v>18273348509.309784</v>
      </c>
      <c r="AC677" s="198">
        <v>121797.6631835103</v>
      </c>
      <c r="AD677" s="197">
        <v>150030.37030174927</v>
      </c>
      <c r="AE677" s="195">
        <v>0</v>
      </c>
      <c r="AF677" s="195">
        <v>0</v>
      </c>
    </row>
    <row r="678" spans="27:32" x14ac:dyDescent="0.25">
      <c r="AA678" s="195">
        <v>676</v>
      </c>
      <c r="AB678" s="197">
        <v>15763116892.886625</v>
      </c>
      <c r="AC678" s="198">
        <v>705267.78810556233</v>
      </c>
      <c r="AD678" s="197">
        <v>22350.541395387321</v>
      </c>
      <c r="AE678" s="195">
        <v>0</v>
      </c>
      <c r="AF678" s="195">
        <v>0</v>
      </c>
    </row>
    <row r="679" spans="27:32" x14ac:dyDescent="0.25">
      <c r="AA679" s="195">
        <v>677</v>
      </c>
      <c r="AB679" s="197">
        <v>17964056457.872585</v>
      </c>
      <c r="AC679" s="198">
        <v>194016.02212586254</v>
      </c>
      <c r="AD679" s="197">
        <v>92590.582267576334</v>
      </c>
      <c r="AE679" s="195">
        <v>0</v>
      </c>
      <c r="AF679" s="195">
        <v>0</v>
      </c>
    </row>
    <row r="680" spans="27:32" x14ac:dyDescent="0.25">
      <c r="AA680" s="195">
        <v>678</v>
      </c>
      <c r="AB680" s="197">
        <v>17994717999.454552</v>
      </c>
      <c r="AC680" s="198">
        <v>186860.80119944364</v>
      </c>
      <c r="AD680" s="197">
        <v>96300.122251151566</v>
      </c>
      <c r="AE680" s="195">
        <v>0</v>
      </c>
      <c r="AF680" s="195">
        <v>0</v>
      </c>
    </row>
    <row r="681" spans="27:32" x14ac:dyDescent="0.25">
      <c r="AA681" s="195">
        <v>679</v>
      </c>
      <c r="AB681" s="197">
        <v>16073337198.632238</v>
      </c>
      <c r="AC681" s="198">
        <v>633489.10899543017</v>
      </c>
      <c r="AD681" s="197">
        <v>25372.712759215228</v>
      </c>
      <c r="AE681" s="195">
        <v>0</v>
      </c>
      <c r="AF681" s="195">
        <v>0</v>
      </c>
    </row>
    <row r="682" spans="27:32" x14ac:dyDescent="0.25">
      <c r="AA682" s="195">
        <v>680</v>
      </c>
      <c r="AB682" s="197">
        <v>17642088077.159302</v>
      </c>
      <c r="AC682" s="198">
        <v>269096.33615175635</v>
      </c>
      <c r="AD682" s="197">
        <v>65560.491567637247</v>
      </c>
      <c r="AE682" s="195">
        <v>0</v>
      </c>
      <c r="AF682" s="195">
        <v>0</v>
      </c>
    </row>
    <row r="683" spans="27:32" x14ac:dyDescent="0.25">
      <c r="AA683" s="195">
        <v>681</v>
      </c>
      <c r="AB683" s="197">
        <v>17974451401.659527</v>
      </c>
      <c r="AC683" s="198">
        <v>191590.34476165473</v>
      </c>
      <c r="AD683" s="197">
        <v>93817.104531130681</v>
      </c>
      <c r="AE683" s="195">
        <v>0</v>
      </c>
      <c r="AF683" s="195">
        <v>0</v>
      </c>
    </row>
    <row r="684" spans="27:32" x14ac:dyDescent="0.25">
      <c r="AA684" s="195">
        <v>682</v>
      </c>
      <c r="AB684" s="197">
        <v>16272468553.187132</v>
      </c>
      <c r="AC684" s="198">
        <v>587365.4907791391</v>
      </c>
      <c r="AD684" s="197">
        <v>27704.161733440855</v>
      </c>
      <c r="AE684" s="195">
        <v>0</v>
      </c>
      <c r="AF684" s="195">
        <v>0</v>
      </c>
    </row>
    <row r="685" spans="27:32" x14ac:dyDescent="0.25">
      <c r="AA685" s="195">
        <v>683</v>
      </c>
      <c r="AB685" s="197">
        <v>17637661567.483604</v>
      </c>
      <c r="AC685" s="198">
        <v>270127.86520028859</v>
      </c>
      <c r="AD685" s="197">
        <v>65293.750996055183</v>
      </c>
      <c r="AE685" s="195">
        <v>0</v>
      </c>
      <c r="AF685" s="195">
        <v>0</v>
      </c>
    </row>
    <row r="686" spans="27:32" x14ac:dyDescent="0.25">
      <c r="AA686" s="195">
        <v>684</v>
      </c>
      <c r="AB686" s="197">
        <v>18231509017.550777</v>
      </c>
      <c r="AC686" s="198">
        <v>131572.39688568562</v>
      </c>
      <c r="AD686" s="197">
        <v>138566.36687549978</v>
      </c>
      <c r="AE686" s="195">
        <v>0</v>
      </c>
      <c r="AF686" s="195">
        <v>0</v>
      </c>
    </row>
    <row r="687" spans="27:32" x14ac:dyDescent="0.25">
      <c r="AA687" s="195">
        <v>685</v>
      </c>
      <c r="AB687" s="197">
        <v>17027342079.18866</v>
      </c>
      <c r="AC687" s="198">
        <v>412172.75323595852</v>
      </c>
      <c r="AD687" s="197">
        <v>41311.178251127472</v>
      </c>
      <c r="AE687" s="195">
        <v>0</v>
      </c>
      <c r="AF687" s="195">
        <v>0</v>
      </c>
    </row>
    <row r="688" spans="27:32" x14ac:dyDescent="0.25">
      <c r="AA688" s="195">
        <v>686</v>
      </c>
      <c r="AB688" s="197">
        <v>17044967774.639097</v>
      </c>
      <c r="AC688" s="198">
        <v>408075.59907257557</v>
      </c>
      <c r="AD688" s="197">
        <v>41769.142319160521</v>
      </c>
      <c r="AE688" s="195">
        <v>0</v>
      </c>
      <c r="AF688" s="195">
        <v>0</v>
      </c>
    </row>
    <row r="689" spans="27:32" x14ac:dyDescent="0.25">
      <c r="AA689" s="195">
        <v>687</v>
      </c>
      <c r="AB689" s="197">
        <v>16706590540.546064</v>
      </c>
      <c r="AC689" s="198">
        <v>486680.38904452324</v>
      </c>
      <c r="AD689" s="197">
        <v>34327.642774645858</v>
      </c>
      <c r="AE689" s="195">
        <v>0</v>
      </c>
      <c r="AF689" s="195">
        <v>0</v>
      </c>
    </row>
    <row r="690" spans="27:32" x14ac:dyDescent="0.25">
      <c r="AA690" s="195">
        <v>688</v>
      </c>
      <c r="AB690" s="197">
        <v>17399336035.565727</v>
      </c>
      <c r="AC690" s="198">
        <v>325638.06585969031</v>
      </c>
      <c r="AD690" s="197">
        <v>53431.517564235524</v>
      </c>
      <c r="AE690" s="195">
        <v>0</v>
      </c>
      <c r="AF690" s="195">
        <v>0</v>
      </c>
    </row>
    <row r="691" spans="27:32" x14ac:dyDescent="0.25">
      <c r="AA691" s="195">
        <v>689</v>
      </c>
      <c r="AB691" s="197">
        <v>16926783795.763145</v>
      </c>
      <c r="AC691" s="198">
        <v>435542.16185645014</v>
      </c>
      <c r="AD691" s="197">
        <v>38863.708908489149</v>
      </c>
      <c r="AE691" s="195">
        <v>0</v>
      </c>
      <c r="AF691" s="195">
        <v>0</v>
      </c>
    </row>
    <row r="692" spans="27:32" x14ac:dyDescent="0.25">
      <c r="AA692" s="195">
        <v>690</v>
      </c>
      <c r="AB692" s="197">
        <v>15912137627.221313</v>
      </c>
      <c r="AC692" s="198">
        <v>670798.939553231</v>
      </c>
      <c r="AD692" s="197">
        <v>23721.172901405</v>
      </c>
      <c r="AE692" s="195">
        <v>0</v>
      </c>
      <c r="AF692" s="195">
        <v>0</v>
      </c>
    </row>
    <row r="693" spans="27:32" x14ac:dyDescent="0.25">
      <c r="AA693" s="195">
        <v>691</v>
      </c>
      <c r="AB693" s="197">
        <v>16905787323.027315</v>
      </c>
      <c r="AC693" s="198">
        <v>440420.44491777569</v>
      </c>
      <c r="AD693" s="197">
        <v>38385.564335423944</v>
      </c>
      <c r="AE693" s="195">
        <v>0</v>
      </c>
      <c r="AF693" s="195">
        <v>0</v>
      </c>
    </row>
    <row r="694" spans="27:32" x14ac:dyDescent="0.25">
      <c r="AA694" s="195">
        <v>692</v>
      </c>
      <c r="AB694" s="197">
        <v>18030174827.44849</v>
      </c>
      <c r="AC694" s="198">
        <v>178585.41595210135</v>
      </c>
      <c r="AD694" s="197">
        <v>100961.07082049963</v>
      </c>
      <c r="AE694" s="195">
        <v>0</v>
      </c>
      <c r="AF694" s="195">
        <v>0</v>
      </c>
    </row>
    <row r="695" spans="27:32" x14ac:dyDescent="0.25">
      <c r="AA695" s="195">
        <v>693</v>
      </c>
      <c r="AB695" s="197">
        <v>19321851399.640789</v>
      </c>
      <c r="AC695" s="198">
        <v>-123709.86871525645</v>
      </c>
      <c r="AD695" s="197">
        <v>-156186.82325267015</v>
      </c>
      <c r="AE695" s="195">
        <v>0</v>
      </c>
      <c r="AF695" s="195">
        <v>0</v>
      </c>
    </row>
    <row r="696" spans="27:32" x14ac:dyDescent="0.25">
      <c r="AA696" s="195">
        <v>694</v>
      </c>
      <c r="AB696" s="197">
        <v>18166693420.541634</v>
      </c>
      <c r="AC696" s="198">
        <v>146711.58144022524</v>
      </c>
      <c r="AD696" s="197">
        <v>123825.89869323504</v>
      </c>
      <c r="AE696" s="195">
        <v>0</v>
      </c>
      <c r="AF696" s="195">
        <v>0</v>
      </c>
    </row>
    <row r="697" spans="27:32" x14ac:dyDescent="0.25">
      <c r="AA697" s="195">
        <v>695</v>
      </c>
      <c r="AB697" s="197">
        <v>18072253174.474449</v>
      </c>
      <c r="AC697" s="198">
        <v>168763.04072423279</v>
      </c>
      <c r="AD697" s="197">
        <v>107086.55815229953</v>
      </c>
      <c r="AE697" s="195">
        <v>0</v>
      </c>
      <c r="AF697" s="195">
        <v>0</v>
      </c>
    </row>
    <row r="698" spans="27:32" x14ac:dyDescent="0.25">
      <c r="AA698" s="195">
        <v>696</v>
      </c>
      <c r="AB698" s="197">
        <v>18912360067.870113</v>
      </c>
      <c r="AC698" s="198">
        <v>-27700.960414677858</v>
      </c>
      <c r="AD698" s="197">
        <v>-682733.00942479435</v>
      </c>
      <c r="AE698" s="195">
        <v>0</v>
      </c>
      <c r="AF698" s="195">
        <v>0</v>
      </c>
    </row>
    <row r="699" spans="27:32" x14ac:dyDescent="0.25">
      <c r="AA699" s="195">
        <v>697</v>
      </c>
      <c r="AB699" s="197">
        <v>17422742569.265156</v>
      </c>
      <c r="AC699" s="198">
        <v>320188.69426655769</v>
      </c>
      <c r="AD699" s="197">
        <v>54413.98425754749</v>
      </c>
      <c r="AE699" s="195">
        <v>0</v>
      </c>
      <c r="AF699" s="195">
        <v>0</v>
      </c>
    </row>
    <row r="700" spans="27:32" x14ac:dyDescent="0.25">
      <c r="AA700" s="195">
        <v>698</v>
      </c>
      <c r="AB700" s="197">
        <v>17520567365.576843</v>
      </c>
      <c r="AC700" s="198">
        <v>297407.99302706122</v>
      </c>
      <c r="AD700" s="197">
        <v>58910.88261364463</v>
      </c>
      <c r="AE700" s="195">
        <v>0</v>
      </c>
      <c r="AF700" s="195">
        <v>0</v>
      </c>
    </row>
    <row r="701" spans="27:32" x14ac:dyDescent="0.25">
      <c r="AA701" s="195">
        <v>699</v>
      </c>
      <c r="AB701" s="197">
        <v>18053759105.422325</v>
      </c>
      <c r="AC701" s="198">
        <v>173080.33315336704</v>
      </c>
      <c r="AD701" s="197">
        <v>104308.55300830066</v>
      </c>
      <c r="AE701" s="195">
        <v>0</v>
      </c>
      <c r="AF701" s="195">
        <v>0</v>
      </c>
    </row>
    <row r="702" spans="27:32" x14ac:dyDescent="0.25">
      <c r="AA702" s="195">
        <v>700</v>
      </c>
      <c r="AB702" s="197">
        <v>18098745130.871941</v>
      </c>
      <c r="AC702" s="198">
        <v>162578.13122677058</v>
      </c>
      <c r="AD702" s="197">
        <v>111323.3679973051</v>
      </c>
      <c r="AE702" s="195">
        <v>0</v>
      </c>
      <c r="AF702" s="195">
        <v>0</v>
      </c>
    </row>
    <row r="703" spans="27:32" x14ac:dyDescent="0.25">
      <c r="AA703" s="195">
        <v>701</v>
      </c>
      <c r="AB703" s="197">
        <v>16723195080.958645</v>
      </c>
      <c r="AC703" s="198">
        <v>482825.73400293291</v>
      </c>
      <c r="AD703" s="197">
        <v>34636.088972128113</v>
      </c>
      <c r="AE703" s="195">
        <v>0</v>
      </c>
      <c r="AF703" s="195">
        <v>0</v>
      </c>
    </row>
    <row r="704" spans="27:32" x14ac:dyDescent="0.25">
      <c r="AA704" s="195">
        <v>702</v>
      </c>
      <c r="AB704" s="197">
        <v>17129732610.072342</v>
      </c>
      <c r="AC704" s="198">
        <v>388367.54510104656</v>
      </c>
      <c r="AD704" s="197">
        <v>44107.013642490339</v>
      </c>
      <c r="AE704" s="195">
        <v>0</v>
      </c>
      <c r="AF704" s="195">
        <v>0</v>
      </c>
    </row>
    <row r="705" spans="27:32" x14ac:dyDescent="0.25">
      <c r="AA705" s="195">
        <v>703</v>
      </c>
      <c r="AB705" s="197">
        <v>16153191213.529968</v>
      </c>
      <c r="AC705" s="198">
        <v>614997.56706608087</v>
      </c>
      <c r="AD705" s="197">
        <v>26265.455472597543</v>
      </c>
      <c r="AE705" s="195">
        <v>0</v>
      </c>
      <c r="AF705" s="195">
        <v>0</v>
      </c>
    </row>
    <row r="706" spans="27:32" x14ac:dyDescent="0.25">
      <c r="AA706" s="195">
        <v>704</v>
      </c>
      <c r="AB706" s="197">
        <v>16335727129.367661</v>
      </c>
      <c r="AC706" s="198">
        <v>572705.31346077472</v>
      </c>
      <c r="AD706" s="197">
        <v>28523.791809531576</v>
      </c>
      <c r="AE706" s="195">
        <v>0</v>
      </c>
      <c r="AF706" s="195">
        <v>0</v>
      </c>
    </row>
    <row r="707" spans="27:32" x14ac:dyDescent="0.25">
      <c r="AA707" s="195">
        <v>705</v>
      </c>
      <c r="AB707" s="197">
        <v>16093081907.266191</v>
      </c>
      <c r="AC707" s="198">
        <v>628917.4587482363</v>
      </c>
      <c r="AD707" s="197">
        <v>25588.543748327487</v>
      </c>
      <c r="AE707" s="195">
        <v>0</v>
      </c>
      <c r="AF707" s="195">
        <v>0</v>
      </c>
    </row>
    <row r="708" spans="27:32" x14ac:dyDescent="0.25">
      <c r="AA708" s="195">
        <v>706</v>
      </c>
      <c r="AB708" s="197">
        <v>16135258706.14661</v>
      </c>
      <c r="AC708" s="198">
        <v>619150.67402680218</v>
      </c>
      <c r="AD708" s="197">
        <v>26060.310329966851</v>
      </c>
      <c r="AE708" s="195">
        <v>0</v>
      </c>
      <c r="AF708" s="195">
        <v>0</v>
      </c>
    </row>
    <row r="709" spans="27:32" x14ac:dyDescent="0.25">
      <c r="AA709" s="195">
        <v>707</v>
      </c>
      <c r="AB709" s="197">
        <v>16932659013.720932</v>
      </c>
      <c r="AC709" s="198">
        <v>434177.04829267412</v>
      </c>
      <c r="AD709" s="197">
        <v>38999.433710984202</v>
      </c>
      <c r="AE709" s="195">
        <v>0</v>
      </c>
      <c r="AF709" s="195">
        <v>0</v>
      </c>
    </row>
    <row r="710" spans="27:32" x14ac:dyDescent="0.25">
      <c r="AA710" s="195">
        <v>708</v>
      </c>
      <c r="AB710" s="197">
        <v>17013169991.250462</v>
      </c>
      <c r="AC710" s="198">
        <v>415466.88765572011</v>
      </c>
      <c r="AD710" s="197">
        <v>40949.520880587137</v>
      </c>
      <c r="AE710" s="195">
        <v>0</v>
      </c>
      <c r="AF710" s="195">
        <v>0</v>
      </c>
    </row>
    <row r="711" spans="27:32" x14ac:dyDescent="0.25">
      <c r="AA711" s="195">
        <v>709</v>
      </c>
      <c r="AB711" s="197">
        <v>16840997335.539064</v>
      </c>
      <c r="AC711" s="198">
        <v>455470.9635091722</v>
      </c>
      <c r="AD711" s="197">
        <v>36974.908797232085</v>
      </c>
      <c r="AE711" s="195">
        <v>0</v>
      </c>
      <c r="AF711" s="195">
        <v>0</v>
      </c>
    </row>
    <row r="712" spans="27:32" x14ac:dyDescent="0.25">
      <c r="AA712" s="195">
        <v>710</v>
      </c>
      <c r="AB712" s="197">
        <v>17276190848.182316</v>
      </c>
      <c r="AC712" s="198">
        <v>354299.32110100985</v>
      </c>
      <c r="AD712" s="197">
        <v>48761.569157105208</v>
      </c>
      <c r="AE712" s="195">
        <v>0</v>
      </c>
      <c r="AF712" s="195">
        <v>0</v>
      </c>
    </row>
    <row r="713" spans="27:32" x14ac:dyDescent="0.25">
      <c r="AA713" s="195">
        <v>711</v>
      </c>
      <c r="AB713" s="197">
        <v>18234432202.828667</v>
      </c>
      <c r="AC713" s="198">
        <v>130889.52378781885</v>
      </c>
      <c r="AD713" s="197">
        <v>139311.62460632043</v>
      </c>
      <c r="AE713" s="195">
        <v>0</v>
      </c>
      <c r="AF713" s="195">
        <v>0</v>
      </c>
    </row>
    <row r="714" spans="27:32" x14ac:dyDescent="0.25">
      <c r="AA714" s="195">
        <v>712</v>
      </c>
      <c r="AB714" s="197">
        <v>17742199854.989658</v>
      </c>
      <c r="AC714" s="198">
        <v>245761.80882896483</v>
      </c>
      <c r="AD714" s="197">
        <v>72192.664676134213</v>
      </c>
      <c r="AE714" s="195">
        <v>0</v>
      </c>
      <c r="AF714" s="195">
        <v>0</v>
      </c>
    </row>
    <row r="715" spans="27:32" x14ac:dyDescent="0.25">
      <c r="AA715" s="195">
        <v>713</v>
      </c>
      <c r="AB715" s="197">
        <v>18041433878.459076</v>
      </c>
      <c r="AC715" s="198">
        <v>175957.37573019415</v>
      </c>
      <c r="AD715" s="197">
        <v>102532.97881711462</v>
      </c>
      <c r="AE715" s="195">
        <v>0</v>
      </c>
      <c r="AF715" s="195">
        <v>0</v>
      </c>
    </row>
    <row r="716" spans="27:32" x14ac:dyDescent="0.25">
      <c r="AA716" s="195">
        <v>714</v>
      </c>
      <c r="AB716" s="197">
        <v>17666671620.606033</v>
      </c>
      <c r="AC716" s="198">
        <v>263367.18138590455</v>
      </c>
      <c r="AD716" s="197">
        <v>67080.004151009067</v>
      </c>
      <c r="AE716" s="195">
        <v>0</v>
      </c>
      <c r="AF716" s="195">
        <v>0</v>
      </c>
    </row>
    <row r="717" spans="27:32" x14ac:dyDescent="0.25">
      <c r="AA717" s="195">
        <v>715</v>
      </c>
      <c r="AB717" s="197">
        <v>16890860641.781851</v>
      </c>
      <c r="AC717" s="198">
        <v>443888.22568587214</v>
      </c>
      <c r="AD717" s="197">
        <v>38052.058298421871</v>
      </c>
      <c r="AE717" s="195">
        <v>0</v>
      </c>
      <c r="AF717" s="195">
        <v>0</v>
      </c>
    </row>
    <row r="718" spans="27:32" x14ac:dyDescent="0.25">
      <c r="AA718" s="195">
        <v>716</v>
      </c>
      <c r="AB718" s="197">
        <v>15601160789.522421</v>
      </c>
      <c r="AC718" s="198">
        <v>742704.46664661169</v>
      </c>
      <c r="AD718" s="197">
        <v>21005.879848768505</v>
      </c>
      <c r="AE718" s="195">
        <v>0</v>
      </c>
      <c r="AF718" s="195">
        <v>0</v>
      </c>
    </row>
    <row r="719" spans="27:32" x14ac:dyDescent="0.25">
      <c r="AA719" s="195">
        <v>717</v>
      </c>
      <c r="AB719" s="197">
        <v>15736013081.597816</v>
      </c>
      <c r="AC719" s="198">
        <v>711534.67446731031</v>
      </c>
      <c r="AD719" s="197">
        <v>22115.595551795934</v>
      </c>
      <c r="AE719" s="195">
        <v>0</v>
      </c>
      <c r="AF719" s="195">
        <v>0</v>
      </c>
    </row>
    <row r="720" spans="27:32" x14ac:dyDescent="0.25">
      <c r="AA720" s="195">
        <v>718</v>
      </c>
      <c r="AB720" s="197">
        <v>17835161975.15414</v>
      </c>
      <c r="AC720" s="198">
        <v>224085.1148551479</v>
      </c>
      <c r="AD720" s="197">
        <v>79591.016059603367</v>
      </c>
      <c r="AE720" s="195">
        <v>0</v>
      </c>
      <c r="AF720" s="195">
        <v>0</v>
      </c>
    </row>
    <row r="721" spans="27:32" x14ac:dyDescent="0.25">
      <c r="AA721" s="195">
        <v>719</v>
      </c>
      <c r="AB721" s="197">
        <v>17011446879.115217</v>
      </c>
      <c r="AC721" s="198">
        <v>415867.39154681563</v>
      </c>
      <c r="AD721" s="197">
        <v>40905.940751548871</v>
      </c>
      <c r="AE721" s="195">
        <v>0</v>
      </c>
      <c r="AF721" s="195">
        <v>0</v>
      </c>
    </row>
    <row r="722" spans="27:32" x14ac:dyDescent="0.25">
      <c r="AA722" s="195">
        <v>720</v>
      </c>
      <c r="AB722" s="197">
        <v>18597419017.965794</v>
      </c>
      <c r="AC722" s="198">
        <v>46029.652616776526</v>
      </c>
      <c r="AD722" s="197">
        <v>404031.27029439178</v>
      </c>
      <c r="AE722" s="195">
        <v>0</v>
      </c>
      <c r="AF722" s="195">
        <v>0</v>
      </c>
    </row>
    <row r="723" spans="27:32" x14ac:dyDescent="0.25">
      <c r="AA723" s="195">
        <v>721</v>
      </c>
      <c r="AB723" s="197">
        <v>15780696942.499535</v>
      </c>
      <c r="AC723" s="198">
        <v>701202.58923503011</v>
      </c>
      <c r="AD723" s="197">
        <v>22505.18920604005</v>
      </c>
      <c r="AE723" s="195">
        <v>0</v>
      </c>
      <c r="AF723" s="195">
        <v>0</v>
      </c>
    </row>
    <row r="724" spans="27:32" x14ac:dyDescent="0.25">
      <c r="AA724" s="195">
        <v>722</v>
      </c>
      <c r="AB724" s="197">
        <v>17235588675.384354</v>
      </c>
      <c r="AC724" s="198">
        <v>363746.01876587421</v>
      </c>
      <c r="AD724" s="197">
        <v>47383.580262573465</v>
      </c>
      <c r="AE724" s="195">
        <v>0</v>
      </c>
      <c r="AF724" s="195">
        <v>0</v>
      </c>
    </row>
    <row r="725" spans="27:32" x14ac:dyDescent="0.25">
      <c r="AA725" s="195">
        <v>723</v>
      </c>
      <c r="AB725" s="197">
        <v>17418429581.474739</v>
      </c>
      <c r="AC725" s="198">
        <v>321192.8583593294</v>
      </c>
      <c r="AD725" s="197">
        <v>54230.438592093938</v>
      </c>
      <c r="AE725" s="195">
        <v>0</v>
      </c>
      <c r="AF725" s="195">
        <v>0</v>
      </c>
    </row>
    <row r="726" spans="27:32" x14ac:dyDescent="0.25">
      <c r="AA726" s="195">
        <v>724</v>
      </c>
      <c r="AB726" s="197">
        <v>18196083534.177727</v>
      </c>
      <c r="AC726" s="198">
        <v>139847.34121060371</v>
      </c>
      <c r="AD726" s="197">
        <v>130113.90403751227</v>
      </c>
      <c r="AE726" s="195">
        <v>0</v>
      </c>
      <c r="AF726" s="195">
        <v>0</v>
      </c>
    </row>
    <row r="727" spans="27:32" x14ac:dyDescent="0.25">
      <c r="AA727" s="195">
        <v>725</v>
      </c>
      <c r="AB727" s="197">
        <v>17952649891.591522</v>
      </c>
      <c r="AC727" s="198">
        <v>196677.64347402751</v>
      </c>
      <c r="AD727" s="197">
        <v>91279.565762960134</v>
      </c>
      <c r="AE727" s="195">
        <v>0</v>
      </c>
      <c r="AF727" s="195">
        <v>0</v>
      </c>
    </row>
    <row r="728" spans="27:32" x14ac:dyDescent="0.25">
      <c r="AA728" s="195">
        <v>726</v>
      </c>
      <c r="AB728" s="197">
        <v>17891717923.878029</v>
      </c>
      <c r="AC728" s="198">
        <v>210893.45587769151</v>
      </c>
      <c r="AD728" s="197">
        <v>84837.710347230503</v>
      </c>
      <c r="AE728" s="195">
        <v>0</v>
      </c>
      <c r="AF728" s="195">
        <v>0</v>
      </c>
    </row>
    <row r="729" spans="27:32" x14ac:dyDescent="0.25">
      <c r="AA729" s="195">
        <v>727</v>
      </c>
      <c r="AB729" s="197">
        <v>16899188612.66667</v>
      </c>
      <c r="AC729" s="198">
        <v>441953.48999332637</v>
      </c>
      <c r="AD729" s="197">
        <v>38237.481986898332</v>
      </c>
      <c r="AE729" s="195">
        <v>0</v>
      </c>
      <c r="AF729" s="195">
        <v>0</v>
      </c>
    </row>
    <row r="730" spans="27:32" x14ac:dyDescent="0.25">
      <c r="AA730" s="195">
        <v>728</v>
      </c>
      <c r="AB730" s="197">
        <v>17314196882.27253</v>
      </c>
      <c r="AC730" s="198">
        <v>345455.21639392525</v>
      </c>
      <c r="AD730" s="197">
        <v>50119.94626397251</v>
      </c>
      <c r="AE730" s="195">
        <v>0</v>
      </c>
      <c r="AF730" s="195">
        <v>0</v>
      </c>
    </row>
    <row r="731" spans="27:32" x14ac:dyDescent="0.25">
      <c r="AA731" s="195">
        <v>729</v>
      </c>
      <c r="AB731" s="197">
        <v>17101592648.855478</v>
      </c>
      <c r="AC731" s="198">
        <v>394910.92859248072</v>
      </c>
      <c r="AD731" s="197">
        <v>43304.936406313216</v>
      </c>
      <c r="AE731" s="195">
        <v>0</v>
      </c>
      <c r="AF731" s="195">
        <v>0</v>
      </c>
    </row>
    <row r="732" spans="27:32" x14ac:dyDescent="0.25">
      <c r="AA732" s="195">
        <v>730</v>
      </c>
      <c r="AB732" s="197">
        <v>17214790685.664181</v>
      </c>
      <c r="AC732" s="198">
        <v>368584.36525122076</v>
      </c>
      <c r="AD732" s="197">
        <v>46705.157105431957</v>
      </c>
      <c r="AE732" s="195">
        <v>0</v>
      </c>
      <c r="AF732" s="195">
        <v>0</v>
      </c>
    </row>
    <row r="733" spans="27:32" x14ac:dyDescent="0.25">
      <c r="AA733" s="195">
        <v>731</v>
      </c>
      <c r="AB733" s="197">
        <v>18098145753.628174</v>
      </c>
      <c r="AC733" s="198">
        <v>162718.07151923329</v>
      </c>
      <c r="AD733" s="197">
        <v>111223.9444866391</v>
      </c>
      <c r="AE733" s="195">
        <v>0</v>
      </c>
      <c r="AF733" s="195">
        <v>0</v>
      </c>
    </row>
    <row r="734" spans="27:32" x14ac:dyDescent="0.25">
      <c r="AA734" s="195">
        <v>732</v>
      </c>
      <c r="AB734" s="197">
        <v>18473123677.628315</v>
      </c>
      <c r="AC734" s="198">
        <v>75102.002470761538</v>
      </c>
      <c r="AD734" s="197">
        <v>245973.78325325227</v>
      </c>
      <c r="AE734" s="195">
        <v>0</v>
      </c>
      <c r="AF734" s="195">
        <v>0</v>
      </c>
    </row>
    <row r="735" spans="27:32" x14ac:dyDescent="0.25">
      <c r="AA735" s="195">
        <v>733</v>
      </c>
      <c r="AB735" s="197">
        <v>17540559345.011318</v>
      </c>
      <c r="AC735" s="198">
        <v>292751.27793262899</v>
      </c>
      <c r="AD735" s="197">
        <v>59916.252010513635</v>
      </c>
      <c r="AE735" s="195">
        <v>0</v>
      </c>
      <c r="AF735" s="195">
        <v>0</v>
      </c>
    </row>
    <row r="736" spans="27:32" x14ac:dyDescent="0.25">
      <c r="AA736" s="195">
        <v>734</v>
      </c>
      <c r="AB736" s="197">
        <v>17536724270.180744</v>
      </c>
      <c r="AC736" s="198">
        <v>293644.60853810608</v>
      </c>
      <c r="AD736" s="197">
        <v>59720.913513401058</v>
      </c>
      <c r="AE736" s="195">
        <v>0</v>
      </c>
      <c r="AF736" s="195">
        <v>0</v>
      </c>
    </row>
    <row r="737" spans="27:32" x14ac:dyDescent="0.25">
      <c r="AA737" s="195">
        <v>735</v>
      </c>
      <c r="AB737" s="197">
        <v>15831704668.621603</v>
      </c>
      <c r="AC737" s="198">
        <v>689405.9191230759</v>
      </c>
      <c r="AD737" s="197">
        <v>22964.271453833073</v>
      </c>
      <c r="AE737" s="195">
        <v>0</v>
      </c>
      <c r="AF737" s="195">
        <v>0</v>
      </c>
    </row>
    <row r="738" spans="27:32" x14ac:dyDescent="0.25">
      <c r="AA738" s="195">
        <v>736</v>
      </c>
      <c r="AB738" s="197">
        <v>18527516057.904568</v>
      </c>
      <c r="AC738" s="198">
        <v>62381.603104352951</v>
      </c>
      <c r="AD738" s="197">
        <v>297002.8844387253</v>
      </c>
      <c r="AE738" s="195">
        <v>0</v>
      </c>
      <c r="AF738" s="195">
        <v>0</v>
      </c>
    </row>
    <row r="739" spans="27:32" x14ac:dyDescent="0.25">
      <c r="AA739" s="195">
        <v>737</v>
      </c>
      <c r="AB739" s="197">
        <v>15566736940.355377</v>
      </c>
      <c r="AC739" s="198">
        <v>750658.41009670496</v>
      </c>
      <c r="AD739" s="197">
        <v>20737.444263563189</v>
      </c>
      <c r="AE739" s="195">
        <v>0</v>
      </c>
      <c r="AF739" s="195">
        <v>0</v>
      </c>
    </row>
    <row r="740" spans="27:32" x14ac:dyDescent="0.25">
      <c r="AA740" s="195">
        <v>738</v>
      </c>
      <c r="AB740" s="197">
        <v>17789220494.752312</v>
      </c>
      <c r="AC740" s="198">
        <v>234798.6841898188</v>
      </c>
      <c r="AD740" s="197">
        <v>75763.714588668372</v>
      </c>
      <c r="AE740" s="195">
        <v>0</v>
      </c>
      <c r="AF740" s="195">
        <v>0</v>
      </c>
    </row>
    <row r="741" spans="27:32" x14ac:dyDescent="0.25">
      <c r="AA741" s="195">
        <v>739</v>
      </c>
      <c r="AB741" s="197">
        <v>16983889019.498787</v>
      </c>
      <c r="AC741" s="198">
        <v>422272.29189217836</v>
      </c>
      <c r="AD741" s="197">
        <v>40220.230750625233</v>
      </c>
      <c r="AE741" s="195">
        <v>0</v>
      </c>
      <c r="AF741" s="195">
        <v>0</v>
      </c>
    </row>
    <row r="742" spans="27:32" x14ac:dyDescent="0.25">
      <c r="AA742" s="195">
        <v>740</v>
      </c>
      <c r="AB742" s="197">
        <v>18427122107.529881</v>
      </c>
      <c r="AC742" s="198">
        <v>85857.869315639138</v>
      </c>
      <c r="AD742" s="197">
        <v>214623.56630102574</v>
      </c>
      <c r="AE742" s="195">
        <v>0</v>
      </c>
      <c r="AF742" s="195">
        <v>0</v>
      </c>
    </row>
    <row r="743" spans="27:32" x14ac:dyDescent="0.25">
      <c r="AA743" s="195">
        <v>741</v>
      </c>
      <c r="AB743" s="197">
        <v>16040123644.971441</v>
      </c>
      <c r="AC743" s="198">
        <v>641178.46459551156</v>
      </c>
      <c r="AD743" s="197">
        <v>25016.628802544667</v>
      </c>
      <c r="AE743" s="195">
        <v>0</v>
      </c>
      <c r="AF743" s="195">
        <v>0</v>
      </c>
    </row>
    <row r="744" spans="27:32" x14ac:dyDescent="0.25">
      <c r="AA744" s="195">
        <v>742</v>
      </c>
      <c r="AB744" s="197">
        <v>16757073490.654518</v>
      </c>
      <c r="AC744" s="198">
        <v>474960.22099711746</v>
      </c>
      <c r="AD744" s="197">
        <v>35281.004071194031</v>
      </c>
      <c r="AE744" s="195">
        <v>0</v>
      </c>
      <c r="AF744" s="195">
        <v>0</v>
      </c>
    </row>
    <row r="745" spans="27:32" x14ac:dyDescent="0.25">
      <c r="AA745" s="195">
        <v>743</v>
      </c>
      <c r="AB745" s="197">
        <v>16247045310.486053</v>
      </c>
      <c r="AC745" s="198">
        <v>593256.24584858119</v>
      </c>
      <c r="AD745" s="197">
        <v>27386.218727873016</v>
      </c>
      <c r="AE745" s="195">
        <v>0</v>
      </c>
      <c r="AF745" s="195">
        <v>0</v>
      </c>
    </row>
    <row r="746" spans="27:32" x14ac:dyDescent="0.25">
      <c r="AA746" s="195">
        <v>744</v>
      </c>
      <c r="AB746" s="197">
        <v>18315348998.006962</v>
      </c>
      <c r="AC746" s="198">
        <v>111983.61915387213</v>
      </c>
      <c r="AD746" s="197">
        <v>163553.82275009871</v>
      </c>
      <c r="AE746" s="195">
        <v>0</v>
      </c>
      <c r="AF746" s="195">
        <v>0</v>
      </c>
    </row>
    <row r="747" spans="27:32" x14ac:dyDescent="0.25">
      <c r="AA747" s="195">
        <v>745</v>
      </c>
      <c r="AB747" s="197">
        <v>16299004190.822533</v>
      </c>
      <c r="AC747" s="198">
        <v>581216.32362220436</v>
      </c>
      <c r="AD747" s="197">
        <v>28042.922279342289</v>
      </c>
      <c r="AE747" s="195">
        <v>0</v>
      </c>
      <c r="AF747" s="195">
        <v>0</v>
      </c>
    </row>
    <row r="748" spans="27:32" x14ac:dyDescent="0.25">
      <c r="AA748" s="195">
        <v>746</v>
      </c>
      <c r="AB748" s="197">
        <v>18671733139.701553</v>
      </c>
      <c r="AC748" s="198">
        <v>28640.65753684938</v>
      </c>
      <c r="AD748" s="197">
        <v>651931.0220332162</v>
      </c>
      <c r="AE748" s="195">
        <v>0</v>
      </c>
      <c r="AF748" s="195">
        <v>0</v>
      </c>
    </row>
    <row r="749" spans="27:32" x14ac:dyDescent="0.25">
      <c r="AA749" s="195">
        <v>747</v>
      </c>
      <c r="AB749" s="197">
        <v>17309444711.699993</v>
      </c>
      <c r="AC749" s="198">
        <v>346561.13508695364</v>
      </c>
      <c r="AD749" s="197">
        <v>49946.295066689985</v>
      </c>
      <c r="AE749" s="195">
        <v>0</v>
      </c>
      <c r="AF749" s="195">
        <v>0</v>
      </c>
    </row>
    <row r="750" spans="27:32" x14ac:dyDescent="0.25">
      <c r="AA750" s="195">
        <v>748</v>
      </c>
      <c r="AB750" s="197">
        <v>17332788797.904667</v>
      </c>
      <c r="AC750" s="198">
        <v>341128.32218807936</v>
      </c>
      <c r="AD750" s="197">
        <v>50810.172215335209</v>
      </c>
      <c r="AE750" s="195">
        <v>0</v>
      </c>
      <c r="AF750" s="195">
        <v>0</v>
      </c>
    </row>
    <row r="751" spans="27:32" x14ac:dyDescent="0.25">
      <c r="AA751" s="195">
        <v>749</v>
      </c>
      <c r="AB751" s="197">
        <v>17482896362.671249</v>
      </c>
      <c r="AC751" s="198">
        <v>306181.62281718105</v>
      </c>
      <c r="AD751" s="197">
        <v>57099.757332954519</v>
      </c>
      <c r="AE751" s="195">
        <v>0</v>
      </c>
      <c r="AF751" s="195">
        <v>0</v>
      </c>
    </row>
    <row r="752" spans="27:32" x14ac:dyDescent="0.25">
      <c r="AA752" s="195">
        <v>750</v>
      </c>
      <c r="AB752" s="197">
        <v>16408203185.548103</v>
      </c>
      <c r="AC752" s="198">
        <v>555904.2616334632</v>
      </c>
      <c r="AD752" s="197">
        <v>29516.239248345413</v>
      </c>
      <c r="AE752" s="195">
        <v>0</v>
      </c>
      <c r="AF752" s="195">
        <v>0</v>
      </c>
    </row>
    <row r="753" spans="27:32" x14ac:dyDescent="0.25">
      <c r="AA753" s="195">
        <v>751</v>
      </c>
      <c r="AB753" s="197">
        <v>18345671531.72086</v>
      </c>
      <c r="AC753" s="198">
        <v>104897.24718288332</v>
      </c>
      <c r="AD753" s="197">
        <v>174891.830094798</v>
      </c>
      <c r="AE753" s="195">
        <v>0</v>
      </c>
      <c r="AF753" s="195">
        <v>0</v>
      </c>
    </row>
    <row r="754" spans="27:32" x14ac:dyDescent="0.25">
      <c r="AA754" s="195">
        <v>752</v>
      </c>
      <c r="AB754" s="197">
        <v>18631646784.509865</v>
      </c>
      <c r="AC754" s="198">
        <v>38021.25177744776</v>
      </c>
      <c r="AD754" s="197">
        <v>490032.44010922319</v>
      </c>
      <c r="AE754" s="195">
        <v>0</v>
      </c>
      <c r="AF754" s="195">
        <v>0</v>
      </c>
    </row>
    <row r="755" spans="27:32" x14ac:dyDescent="0.25">
      <c r="AA755" s="195">
        <v>753</v>
      </c>
      <c r="AB755" s="197">
        <v>17557430007.304539</v>
      </c>
      <c r="AC755" s="198">
        <v>288821.30930050462</v>
      </c>
      <c r="AD755" s="197">
        <v>60789.939806819726</v>
      </c>
      <c r="AE755" s="195">
        <v>0</v>
      </c>
      <c r="AF755" s="195">
        <v>0</v>
      </c>
    </row>
    <row r="756" spans="27:32" x14ac:dyDescent="0.25">
      <c r="AA756" s="195">
        <v>754</v>
      </c>
      <c r="AB756" s="197">
        <v>15897803476.061331</v>
      </c>
      <c r="AC756" s="198">
        <v>674115.38863088936</v>
      </c>
      <c r="AD756" s="197">
        <v>23583.208074138987</v>
      </c>
      <c r="AE756" s="195">
        <v>0</v>
      </c>
      <c r="AF756" s="195">
        <v>0</v>
      </c>
    </row>
    <row r="757" spans="27:32" x14ac:dyDescent="0.25">
      <c r="AA757" s="195">
        <v>755</v>
      </c>
      <c r="AB757" s="197">
        <v>18990028873.837437</v>
      </c>
      <c r="AC757" s="198">
        <v>-45898.662983901799</v>
      </c>
      <c r="AD757" s="197">
        <v>-413738.17098981462</v>
      </c>
      <c r="AE757" s="195">
        <v>0</v>
      </c>
      <c r="AF757" s="195">
        <v>0</v>
      </c>
    </row>
    <row r="758" spans="27:32" x14ac:dyDescent="0.25">
      <c r="AA758" s="195">
        <v>756</v>
      </c>
      <c r="AB758" s="197">
        <v>15677774615.475328</v>
      </c>
      <c r="AC758" s="198">
        <v>724998.06716644019</v>
      </c>
      <c r="AD758" s="197">
        <v>21624.574361625338</v>
      </c>
      <c r="AE758" s="195">
        <v>0</v>
      </c>
      <c r="AF758" s="195">
        <v>0</v>
      </c>
    </row>
    <row r="759" spans="27:32" x14ac:dyDescent="0.25">
      <c r="AA759" s="195">
        <v>757</v>
      </c>
      <c r="AB759" s="197">
        <v>18108068315.37989</v>
      </c>
      <c r="AC759" s="198">
        <v>160401.3454041779</v>
      </c>
      <c r="AD759" s="197">
        <v>112892.24706782438</v>
      </c>
      <c r="AE759" s="195">
        <v>0</v>
      </c>
      <c r="AF759" s="195">
        <v>0</v>
      </c>
    </row>
    <row r="760" spans="27:32" x14ac:dyDescent="0.25">
      <c r="AA760" s="195">
        <v>758</v>
      </c>
      <c r="AB760" s="197">
        <v>17491216626.981743</v>
      </c>
      <c r="AC760" s="198">
        <v>304243.93903902173</v>
      </c>
      <c r="AD760" s="197">
        <v>57490.764424853027</v>
      </c>
      <c r="AE760" s="195">
        <v>0</v>
      </c>
      <c r="AF760" s="195">
        <v>0</v>
      </c>
    </row>
    <row r="761" spans="27:32" x14ac:dyDescent="0.25">
      <c r="AA761" s="195">
        <v>759</v>
      </c>
      <c r="AB761" s="197">
        <v>18188990681.326057</v>
      </c>
      <c r="AC761" s="198">
        <v>141503.99646302313</v>
      </c>
      <c r="AD761" s="197">
        <v>128540.47331503518</v>
      </c>
      <c r="AE761" s="195">
        <v>0</v>
      </c>
      <c r="AF761" s="195">
        <v>0</v>
      </c>
    </row>
    <row r="762" spans="27:32" x14ac:dyDescent="0.25">
      <c r="AA762" s="195">
        <v>760</v>
      </c>
      <c r="AB762" s="197">
        <v>18689814735.477402</v>
      </c>
      <c r="AC762" s="198">
        <v>24408.882082164288</v>
      </c>
      <c r="AD762" s="197">
        <v>765697.28480658925</v>
      </c>
      <c r="AE762" s="195">
        <v>0</v>
      </c>
      <c r="AF762" s="195">
        <v>0</v>
      </c>
    </row>
    <row r="763" spans="27:32" x14ac:dyDescent="0.25">
      <c r="AA763" s="195">
        <v>761</v>
      </c>
      <c r="AB763" s="197">
        <v>17081763411.047565</v>
      </c>
      <c r="AC763" s="198">
        <v>399521.36264895648</v>
      </c>
      <c r="AD763" s="197">
        <v>42755.56955900912</v>
      </c>
      <c r="AE763" s="195">
        <v>0</v>
      </c>
      <c r="AF763" s="195">
        <v>0</v>
      </c>
    </row>
    <row r="764" spans="27:32" x14ac:dyDescent="0.25">
      <c r="AA764" s="195">
        <v>762</v>
      </c>
      <c r="AB764" s="197">
        <v>17782249727.993412</v>
      </c>
      <c r="AC764" s="198">
        <v>236424.09181260318</v>
      </c>
      <c r="AD764" s="197">
        <v>75213.35745296278</v>
      </c>
      <c r="AE764" s="195">
        <v>0</v>
      </c>
      <c r="AF764" s="195">
        <v>0</v>
      </c>
    </row>
    <row r="765" spans="27:32" x14ac:dyDescent="0.25">
      <c r="AA765" s="195">
        <v>763</v>
      </c>
      <c r="AB765" s="197">
        <v>17240929744.03936</v>
      </c>
      <c r="AC765" s="198">
        <v>362503.43052569777</v>
      </c>
      <c r="AD765" s="197">
        <v>47560.735408867135</v>
      </c>
      <c r="AE765" s="195">
        <v>0</v>
      </c>
      <c r="AF765" s="195">
        <v>0</v>
      </c>
    </row>
    <row r="766" spans="27:32" x14ac:dyDescent="0.25">
      <c r="AA766" s="195">
        <v>764</v>
      </c>
      <c r="AB766" s="197">
        <v>17963691712.752941</v>
      </c>
      <c r="AC766" s="198">
        <v>194101.13411348313</v>
      </c>
      <c r="AD766" s="197">
        <v>92548.102795990329</v>
      </c>
      <c r="AE766" s="195">
        <v>0</v>
      </c>
      <c r="AF766" s="195">
        <v>0</v>
      </c>
    </row>
    <row r="767" spans="27:32" x14ac:dyDescent="0.25">
      <c r="AA767" s="195">
        <v>765</v>
      </c>
      <c r="AB767" s="197">
        <v>16963235305.910761</v>
      </c>
      <c r="AC767" s="198">
        <v>427072.07628823072</v>
      </c>
      <c r="AD767" s="197">
        <v>39719.841796592395</v>
      </c>
      <c r="AE767" s="195">
        <v>0</v>
      </c>
      <c r="AF767" s="195">
        <v>0</v>
      </c>
    </row>
    <row r="768" spans="27:32" x14ac:dyDescent="0.25">
      <c r="AA768" s="195">
        <v>766</v>
      </c>
      <c r="AB768" s="197">
        <v>16698868597.406548</v>
      </c>
      <c r="AC768" s="198">
        <v>488472.90648816526</v>
      </c>
      <c r="AD768" s="197">
        <v>34185.864508763967</v>
      </c>
      <c r="AE768" s="195">
        <v>0</v>
      </c>
      <c r="AF768" s="195">
        <v>0</v>
      </c>
    </row>
    <row r="769" spans="27:32" x14ac:dyDescent="0.25">
      <c r="AA769" s="195">
        <v>767</v>
      </c>
      <c r="AB769" s="197">
        <v>16806477525.142727</v>
      </c>
      <c r="AC769" s="198">
        <v>463488.16360554099</v>
      </c>
      <c r="AD769" s="197">
        <v>36260.855928666497</v>
      </c>
      <c r="AE769" s="195">
        <v>0</v>
      </c>
      <c r="AF769" s="195">
        <v>0</v>
      </c>
    </row>
    <row r="770" spans="27:32" x14ac:dyDescent="0.25">
      <c r="AA770" s="195">
        <v>768</v>
      </c>
      <c r="AB770" s="197">
        <v>17361554833.948551</v>
      </c>
      <c r="AC770" s="198">
        <v>334432.95077323169</v>
      </c>
      <c r="AD770" s="197">
        <v>51913.409829406635</v>
      </c>
      <c r="AE770" s="195">
        <v>0</v>
      </c>
      <c r="AF770" s="195">
        <v>0</v>
      </c>
    </row>
    <row r="771" spans="27:32" x14ac:dyDescent="0.25">
      <c r="AA771" s="195">
        <v>769</v>
      </c>
      <c r="AB771" s="197">
        <v>16186812698.454031</v>
      </c>
      <c r="AC771" s="198">
        <v>607210.11504428834</v>
      </c>
      <c r="AD771" s="197">
        <v>26657.679602839631</v>
      </c>
      <c r="AE771" s="195">
        <v>0</v>
      </c>
      <c r="AF771" s="195">
        <v>0</v>
      </c>
    </row>
    <row r="772" spans="27:32" x14ac:dyDescent="0.25">
      <c r="AA772" s="195">
        <v>770</v>
      </c>
      <c r="AB772" s="197">
        <v>17512788220.237431</v>
      </c>
      <c r="AC772" s="198">
        <v>299219.8788818419</v>
      </c>
      <c r="AD772" s="197">
        <v>58528.157573223958</v>
      </c>
      <c r="AE772" s="195">
        <v>0</v>
      </c>
      <c r="AF772" s="195">
        <v>0</v>
      </c>
    </row>
    <row r="773" spans="27:32" x14ac:dyDescent="0.25">
      <c r="AA773" s="195">
        <v>771</v>
      </c>
      <c r="AB773" s="197">
        <v>16692907440.354475</v>
      </c>
      <c r="AC773" s="198">
        <v>489856.64827067405</v>
      </c>
      <c r="AD773" s="197">
        <v>34077.12746021706</v>
      </c>
      <c r="AE773" s="195">
        <v>0</v>
      </c>
      <c r="AF773" s="195">
        <v>0</v>
      </c>
    </row>
    <row r="774" spans="27:32" x14ac:dyDescent="0.25">
      <c r="AA774" s="195">
        <v>772</v>
      </c>
      <c r="AB774" s="197">
        <v>17382101123.457508</v>
      </c>
      <c r="AC774" s="198">
        <v>329650.25974100828</v>
      </c>
      <c r="AD774" s="197">
        <v>52728.916813576485</v>
      </c>
      <c r="AE774" s="195">
        <v>0</v>
      </c>
      <c r="AF774" s="195">
        <v>0</v>
      </c>
    </row>
    <row r="775" spans="27:32" x14ac:dyDescent="0.25">
      <c r="AA775" s="195">
        <v>773</v>
      </c>
      <c r="AB775" s="197">
        <v>16456637247.165131</v>
      </c>
      <c r="AC775" s="198">
        <v>544673.69768027216</v>
      </c>
      <c r="AD775" s="197">
        <v>30213.754248190831</v>
      </c>
      <c r="AE775" s="195">
        <v>0</v>
      </c>
      <c r="AF775" s="195">
        <v>0</v>
      </c>
    </row>
    <row r="776" spans="27:32" x14ac:dyDescent="0.25">
      <c r="AA776" s="195">
        <v>774</v>
      </c>
      <c r="AB776" s="197">
        <v>18304751519.471218</v>
      </c>
      <c r="AC776" s="198">
        <v>114460.03936903179</v>
      </c>
      <c r="AD776" s="197">
        <v>159922.6386813889</v>
      </c>
      <c r="AE776" s="195">
        <v>0</v>
      </c>
      <c r="AF776" s="195">
        <v>0</v>
      </c>
    </row>
    <row r="777" spans="27:32" x14ac:dyDescent="0.25">
      <c r="AA777" s="195">
        <v>775</v>
      </c>
      <c r="AB777" s="197">
        <v>18066648274.822021</v>
      </c>
      <c r="AC777" s="198">
        <v>170071.49450735003</v>
      </c>
      <c r="AD777" s="197">
        <v>106229.72607582531</v>
      </c>
      <c r="AE777" s="195">
        <v>0</v>
      </c>
      <c r="AF777" s="195">
        <v>0</v>
      </c>
    </row>
    <row r="778" spans="27:32" x14ac:dyDescent="0.25">
      <c r="AA778" s="195">
        <v>776</v>
      </c>
      <c r="AB778" s="197">
        <v>17652833743.993576</v>
      </c>
      <c r="AC778" s="198">
        <v>266592.14758440852</v>
      </c>
      <c r="AD778" s="197">
        <v>66216.630549496316</v>
      </c>
      <c r="AE778" s="195">
        <v>0</v>
      </c>
      <c r="AF778" s="195">
        <v>0</v>
      </c>
    </row>
    <row r="779" spans="27:32" x14ac:dyDescent="0.25">
      <c r="AA779" s="195">
        <v>777</v>
      </c>
      <c r="AB779" s="197">
        <v>17107730155.589085</v>
      </c>
      <c r="AC779" s="198">
        <v>393483.83946116269</v>
      </c>
      <c r="AD779" s="197">
        <v>43477.592825709013</v>
      </c>
      <c r="AE779" s="195">
        <v>0</v>
      </c>
      <c r="AF779" s="195">
        <v>0</v>
      </c>
    </row>
    <row r="780" spans="27:32" x14ac:dyDescent="0.25">
      <c r="AA780" s="195">
        <v>778</v>
      </c>
      <c r="AB780" s="197">
        <v>16436906388.535786</v>
      </c>
      <c r="AC780" s="198">
        <v>549249.02823604643</v>
      </c>
      <c r="AD780" s="197">
        <v>29926.14559797059</v>
      </c>
      <c r="AE780" s="195">
        <v>0</v>
      </c>
      <c r="AF780" s="195">
        <v>0</v>
      </c>
    </row>
    <row r="781" spans="27:32" x14ac:dyDescent="0.25">
      <c r="AA781" s="195">
        <v>779</v>
      </c>
      <c r="AB781" s="197">
        <v>17319210811.820057</v>
      </c>
      <c r="AC781" s="198">
        <v>344288.35794924945</v>
      </c>
      <c r="AD781" s="197">
        <v>50304.375422340105</v>
      </c>
      <c r="AE781" s="195">
        <v>0</v>
      </c>
      <c r="AF781" s="195">
        <v>0</v>
      </c>
    </row>
    <row r="782" spans="27:32" x14ac:dyDescent="0.25">
      <c r="AA782" s="195">
        <v>780</v>
      </c>
      <c r="AB782" s="197">
        <v>16695936372.661654</v>
      </c>
      <c r="AC782" s="198">
        <v>489153.55745882541</v>
      </c>
      <c r="AD782" s="197">
        <v>34132.300824709913</v>
      </c>
      <c r="AE782" s="195">
        <v>0</v>
      </c>
      <c r="AF782" s="195">
        <v>0</v>
      </c>
    </row>
    <row r="783" spans="27:32" x14ac:dyDescent="0.25">
      <c r="AA783" s="195">
        <v>781</v>
      </c>
      <c r="AB783" s="197">
        <v>16008489935.788809</v>
      </c>
      <c r="AC783" s="198">
        <v>648501.08203934878</v>
      </c>
      <c r="AD783" s="197">
        <v>24685.371203154707</v>
      </c>
      <c r="AE783" s="195">
        <v>0</v>
      </c>
      <c r="AF783" s="195">
        <v>0</v>
      </c>
    </row>
    <row r="784" spans="27:32" x14ac:dyDescent="0.25">
      <c r="AA784" s="195">
        <v>782</v>
      </c>
      <c r="AB784" s="197">
        <v>17212913393.317444</v>
      </c>
      <c r="AC784" s="198">
        <v>369021.06923551112</v>
      </c>
      <c r="AD784" s="197">
        <v>46644.798436514408</v>
      </c>
      <c r="AE784" s="195">
        <v>0</v>
      </c>
      <c r="AF784" s="195">
        <v>0</v>
      </c>
    </row>
    <row r="785" spans="27:32" x14ac:dyDescent="0.25">
      <c r="AA785" s="195">
        <v>783</v>
      </c>
      <c r="AB785" s="197">
        <v>17473960905.504013</v>
      </c>
      <c r="AC785" s="198">
        <v>308262.50298444182</v>
      </c>
      <c r="AD785" s="197">
        <v>56685.327395742112</v>
      </c>
      <c r="AE785" s="195">
        <v>0</v>
      </c>
      <c r="AF785" s="195">
        <v>0</v>
      </c>
    </row>
    <row r="786" spans="27:32" x14ac:dyDescent="0.25">
      <c r="AA786" s="195">
        <v>784</v>
      </c>
      <c r="AB786" s="197">
        <v>15550402460.52273</v>
      </c>
      <c r="AC786" s="198">
        <v>754432.24280188233</v>
      </c>
      <c r="AD786" s="197">
        <v>20612.059742794347</v>
      </c>
      <c r="AE786" s="195">
        <v>0</v>
      </c>
      <c r="AF786" s="195">
        <v>0</v>
      </c>
    </row>
    <row r="787" spans="27:32" x14ac:dyDescent="0.25">
      <c r="AA787" s="195">
        <v>785</v>
      </c>
      <c r="AB787" s="197">
        <v>17579579206.158203</v>
      </c>
      <c r="AC787" s="198">
        <v>283661.30588504672</v>
      </c>
      <c r="AD787" s="197">
        <v>61973.835843801338</v>
      </c>
      <c r="AE787" s="195">
        <v>0</v>
      </c>
      <c r="AF787" s="195">
        <v>0</v>
      </c>
    </row>
    <row r="788" spans="27:32" x14ac:dyDescent="0.25">
      <c r="AA788" s="195">
        <v>786</v>
      </c>
      <c r="AB788" s="197">
        <v>15854869597.576736</v>
      </c>
      <c r="AC788" s="198">
        <v>684047.69050626457</v>
      </c>
      <c r="AD788" s="197">
        <v>23178.017874517678</v>
      </c>
      <c r="AE788" s="195">
        <v>0</v>
      </c>
      <c r="AF788" s="195">
        <v>0</v>
      </c>
    </row>
    <row r="789" spans="27:32" x14ac:dyDescent="0.25">
      <c r="AA789" s="195">
        <v>787</v>
      </c>
      <c r="AB789" s="197">
        <v>18593076204.763439</v>
      </c>
      <c r="AC789" s="198">
        <v>47045.676351442933</v>
      </c>
      <c r="AD789" s="197">
        <v>395213.28306279465</v>
      </c>
      <c r="AE789" s="195">
        <v>0</v>
      </c>
      <c r="AF789" s="195">
        <v>0</v>
      </c>
    </row>
    <row r="790" spans="27:32" x14ac:dyDescent="0.25">
      <c r="AA790" s="195">
        <v>788</v>
      </c>
      <c r="AB790" s="197">
        <v>16998632415.017002</v>
      </c>
      <c r="AC790" s="198">
        <v>418845.7748414129</v>
      </c>
      <c r="AD790" s="197">
        <v>40584.466732303015</v>
      </c>
      <c r="AE790" s="195">
        <v>0</v>
      </c>
      <c r="AF790" s="195">
        <v>0</v>
      </c>
    </row>
    <row r="791" spans="27:32" x14ac:dyDescent="0.25">
      <c r="AA791" s="195">
        <v>789</v>
      </c>
      <c r="AB791" s="197">
        <v>16590313618.362688</v>
      </c>
      <c r="AC791" s="198">
        <v>513666.02961053699</v>
      </c>
      <c r="AD791" s="197">
        <v>32297.860208784899</v>
      </c>
      <c r="AE791" s="195">
        <v>0</v>
      </c>
      <c r="AF791" s="195">
        <v>0</v>
      </c>
    </row>
    <row r="792" spans="27:32" x14ac:dyDescent="0.25">
      <c r="AA792" s="195">
        <v>790</v>
      </c>
      <c r="AB792" s="197">
        <v>15974705889.432899</v>
      </c>
      <c r="AC792" s="198">
        <v>656320.40232690424</v>
      </c>
      <c r="AD792" s="197">
        <v>24339.797807285162</v>
      </c>
      <c r="AE792" s="195">
        <v>0</v>
      </c>
      <c r="AF792" s="195">
        <v>0</v>
      </c>
    </row>
    <row r="793" spans="27:32" x14ac:dyDescent="0.25">
      <c r="AA793" s="195">
        <v>791</v>
      </c>
      <c r="AB793" s="197">
        <v>16248686820.321234</v>
      </c>
      <c r="AC793" s="198">
        <v>592875.91450867802</v>
      </c>
      <c r="AD793" s="197">
        <v>27406.55577784211</v>
      </c>
      <c r="AE793" s="195">
        <v>0</v>
      </c>
      <c r="AF793" s="195">
        <v>0</v>
      </c>
    </row>
    <row r="794" spans="27:32" x14ac:dyDescent="0.25">
      <c r="AA794" s="195">
        <v>792</v>
      </c>
      <c r="AB794" s="197">
        <v>17780087467.8195</v>
      </c>
      <c r="AC794" s="198">
        <v>236928.26703439653</v>
      </c>
      <c r="AD794" s="197">
        <v>75044.179786442459</v>
      </c>
      <c r="AE794" s="195">
        <v>0</v>
      </c>
      <c r="AF794" s="195">
        <v>0</v>
      </c>
    </row>
    <row r="795" spans="27:32" x14ac:dyDescent="0.25">
      <c r="AA795" s="195">
        <v>793</v>
      </c>
      <c r="AB795" s="197">
        <v>16220828392.094488</v>
      </c>
      <c r="AC795" s="198">
        <v>599330.25161615759</v>
      </c>
      <c r="AD795" s="197">
        <v>27064.925136605911</v>
      </c>
      <c r="AE795" s="195">
        <v>0</v>
      </c>
      <c r="AF795" s="195">
        <v>0</v>
      </c>
    </row>
    <row r="796" spans="27:32" x14ac:dyDescent="0.25">
      <c r="AA796" s="195">
        <v>794</v>
      </c>
      <c r="AB796" s="197">
        <v>17332872557.495136</v>
      </c>
      <c r="AC796" s="198">
        <v>341108.82807643712</v>
      </c>
      <c r="AD796" s="197">
        <v>50813.321529195702</v>
      </c>
      <c r="AE796" s="195">
        <v>0</v>
      </c>
      <c r="AF796" s="195">
        <v>0</v>
      </c>
    </row>
    <row r="797" spans="27:32" x14ac:dyDescent="0.25">
      <c r="AA797" s="195">
        <v>795</v>
      </c>
      <c r="AB797" s="197">
        <v>16332625334.275187</v>
      </c>
      <c r="AC797" s="198">
        <v>573424.24416843057</v>
      </c>
      <c r="AD797" s="197">
        <v>28482.620852490225</v>
      </c>
      <c r="AE797" s="195">
        <v>0</v>
      </c>
      <c r="AF797" s="195">
        <v>0</v>
      </c>
    </row>
    <row r="798" spans="27:32" x14ac:dyDescent="0.25">
      <c r="AA798" s="195">
        <v>796</v>
      </c>
      <c r="AB798" s="197">
        <v>16999556357.646629</v>
      </c>
      <c r="AC798" s="198">
        <v>418631.03409330547</v>
      </c>
      <c r="AD798" s="197">
        <v>40607.49197551782</v>
      </c>
      <c r="AE798" s="195">
        <v>0</v>
      </c>
      <c r="AF798" s="195">
        <v>0</v>
      </c>
    </row>
    <row r="799" spans="27:32" x14ac:dyDescent="0.25">
      <c r="AA799" s="195">
        <v>797</v>
      </c>
      <c r="AB799" s="197">
        <v>17610174299.850834</v>
      </c>
      <c r="AC799" s="198">
        <v>276532.92194787413</v>
      </c>
      <c r="AD799" s="197">
        <v>63682.01722892985</v>
      </c>
      <c r="AE799" s="195">
        <v>0</v>
      </c>
      <c r="AF799" s="195">
        <v>0</v>
      </c>
    </row>
    <row r="800" spans="27:32" x14ac:dyDescent="0.25">
      <c r="AA800" s="195">
        <v>798</v>
      </c>
      <c r="AB800" s="197">
        <v>16216517829.859934</v>
      </c>
      <c r="AC800" s="198">
        <v>600328.87103828043</v>
      </c>
      <c r="AD800" s="197">
        <v>27012.723545701127</v>
      </c>
      <c r="AE800" s="195">
        <v>0</v>
      </c>
      <c r="AF800" s="195">
        <v>0</v>
      </c>
    </row>
    <row r="801" spans="27:32" x14ac:dyDescent="0.25">
      <c r="AA801" s="195">
        <v>799</v>
      </c>
      <c r="AB801" s="197">
        <v>17731928114.331215</v>
      </c>
      <c r="AC801" s="198">
        <v>248156.43911854178</v>
      </c>
      <c r="AD801" s="197">
        <v>71454.63634679596</v>
      </c>
      <c r="AE801" s="195">
        <v>0</v>
      </c>
      <c r="AF801" s="195">
        <v>0</v>
      </c>
    </row>
    <row r="802" spans="27:32" x14ac:dyDescent="0.25">
      <c r="AA802" s="195">
        <v>800</v>
      </c>
      <c r="AB802" s="197">
        <v>17260387064.757938</v>
      </c>
      <c r="AC802" s="198">
        <v>357976.49422307312</v>
      </c>
      <c r="AD802" s="197">
        <v>48216.537519366073</v>
      </c>
      <c r="AE802" s="195">
        <v>0</v>
      </c>
      <c r="AF802" s="195">
        <v>0</v>
      </c>
    </row>
    <row r="803" spans="27:32" x14ac:dyDescent="0.25">
      <c r="AA803" s="195">
        <v>801</v>
      </c>
      <c r="AB803" s="197">
        <v>18809140924.834984</v>
      </c>
      <c r="AC803" s="198">
        <v>-3525.8585905730724</v>
      </c>
      <c r="AD803" s="197">
        <v>-5334627.1387979444</v>
      </c>
      <c r="AE803" s="195">
        <v>0</v>
      </c>
      <c r="AF803" s="195">
        <v>0</v>
      </c>
    </row>
    <row r="804" spans="27:32" x14ac:dyDescent="0.25">
      <c r="AA804" s="195">
        <v>802</v>
      </c>
      <c r="AB804" s="197">
        <v>19773062824.188705</v>
      </c>
      <c r="AC804" s="198">
        <v>-229688.04704210907</v>
      </c>
      <c r="AD804" s="197">
        <v>-86086.599101796877</v>
      </c>
      <c r="AE804" s="195">
        <v>0</v>
      </c>
      <c r="AF804" s="195">
        <v>0</v>
      </c>
    </row>
    <row r="805" spans="27:32" x14ac:dyDescent="0.25">
      <c r="AA805" s="195">
        <v>803</v>
      </c>
      <c r="AB805" s="197">
        <v>16963248616.59691</v>
      </c>
      <c r="AC805" s="198">
        <v>427068.98310620338</v>
      </c>
      <c r="AD805" s="197">
        <v>39720.160647626559</v>
      </c>
      <c r="AE805" s="195">
        <v>0</v>
      </c>
      <c r="AF805" s="195">
        <v>0</v>
      </c>
    </row>
    <row r="806" spans="27:32" x14ac:dyDescent="0.25">
      <c r="AA806" s="195">
        <v>804</v>
      </c>
      <c r="AB806" s="197">
        <v>16805595478.614525</v>
      </c>
      <c r="AC806" s="198">
        <v>463693.00324338675</v>
      </c>
      <c r="AD806" s="197">
        <v>36242.935220209642</v>
      </c>
      <c r="AE806" s="195">
        <v>0</v>
      </c>
      <c r="AF806" s="195">
        <v>0</v>
      </c>
    </row>
    <row r="807" spans="27:32" x14ac:dyDescent="0.25">
      <c r="AA807" s="195">
        <v>805</v>
      </c>
      <c r="AB807" s="197">
        <v>17763183850.714787</v>
      </c>
      <c r="AC807" s="198">
        <v>240869.53618635237</v>
      </c>
      <c r="AD807" s="197">
        <v>73746.079026664578</v>
      </c>
      <c r="AE807" s="195">
        <v>0</v>
      </c>
      <c r="AF807" s="195">
        <v>0</v>
      </c>
    </row>
    <row r="808" spans="27:32" x14ac:dyDescent="0.25">
      <c r="AA808" s="195">
        <v>806</v>
      </c>
      <c r="AB808" s="197">
        <v>18816953817.128555</v>
      </c>
      <c r="AC808" s="198">
        <v>-5355.3674207031727</v>
      </c>
      <c r="AD808" s="197">
        <v>-3513662.5256344867</v>
      </c>
      <c r="AE808" s="195">
        <v>0</v>
      </c>
      <c r="AF808" s="195">
        <v>0</v>
      </c>
    </row>
    <row r="809" spans="27:32" x14ac:dyDescent="0.25">
      <c r="AA809" s="195">
        <v>807</v>
      </c>
      <c r="AB809" s="197">
        <v>17749667989.758545</v>
      </c>
      <c r="AC809" s="198">
        <v>244020.71376026422</v>
      </c>
      <c r="AD809" s="197">
        <v>72738.366002799798</v>
      </c>
      <c r="AE809" s="195">
        <v>0</v>
      </c>
      <c r="AF809" s="195">
        <v>0</v>
      </c>
    </row>
    <row r="810" spans="27:32" x14ac:dyDescent="0.25">
      <c r="AA810" s="195">
        <v>808</v>
      </c>
      <c r="AB810" s="197">
        <v>17325773609.913177</v>
      </c>
      <c r="AC810" s="198">
        <v>342761.00508669764</v>
      </c>
      <c r="AD810" s="197">
        <v>50547.680024251335</v>
      </c>
      <c r="AE810" s="195">
        <v>0</v>
      </c>
      <c r="AF810" s="195">
        <v>0</v>
      </c>
    </row>
    <row r="811" spans="27:32" x14ac:dyDescent="0.25">
      <c r="AA811" s="195">
        <v>809</v>
      </c>
      <c r="AB811" s="197">
        <v>16572155461.886631</v>
      </c>
      <c r="AC811" s="198">
        <v>517879.01628768444</v>
      </c>
      <c r="AD811" s="197">
        <v>32000.052021186188</v>
      </c>
      <c r="AE811" s="195">
        <v>0</v>
      </c>
      <c r="AF811" s="195">
        <v>0</v>
      </c>
    </row>
    <row r="812" spans="27:32" x14ac:dyDescent="0.25">
      <c r="AA812" s="195">
        <v>810</v>
      </c>
      <c r="AB812" s="197">
        <v>17573814083.006222</v>
      </c>
      <c r="AC812" s="198">
        <v>285004.42725094408</v>
      </c>
      <c r="AD812" s="197">
        <v>61661.547690740335</v>
      </c>
      <c r="AE812" s="195">
        <v>0</v>
      </c>
      <c r="AF812" s="195">
        <v>0</v>
      </c>
    </row>
    <row r="813" spans="27:32" x14ac:dyDescent="0.25">
      <c r="AA813" s="195">
        <v>811</v>
      </c>
      <c r="AB813" s="197">
        <v>17751936220.111435</v>
      </c>
      <c r="AC813" s="198">
        <v>243491.89575907588</v>
      </c>
      <c r="AD813" s="197">
        <v>72905.655298179481</v>
      </c>
      <c r="AE813" s="195">
        <v>0</v>
      </c>
      <c r="AF813" s="195">
        <v>0</v>
      </c>
    </row>
    <row r="814" spans="27:32" x14ac:dyDescent="0.25">
      <c r="AA814" s="195">
        <v>812</v>
      </c>
      <c r="AB814" s="197">
        <v>16615055577.013741</v>
      </c>
      <c r="AC814" s="198">
        <v>507924.98420728743</v>
      </c>
      <c r="AD814" s="197">
        <v>32711.632807243499</v>
      </c>
      <c r="AE814" s="195">
        <v>0</v>
      </c>
      <c r="AF814" s="195">
        <v>0</v>
      </c>
    </row>
    <row r="815" spans="27:32" x14ac:dyDescent="0.25">
      <c r="AA815" s="195">
        <v>813</v>
      </c>
      <c r="AB815" s="197">
        <v>17646989684.118008</v>
      </c>
      <c r="AC815" s="198">
        <v>267954.07107829303</v>
      </c>
      <c r="AD815" s="197">
        <v>65858.262996727397</v>
      </c>
      <c r="AE815" s="195">
        <v>0</v>
      </c>
      <c r="AF815" s="195">
        <v>0</v>
      </c>
    </row>
    <row r="816" spans="27:32" x14ac:dyDescent="0.25">
      <c r="AA816" s="195">
        <v>814</v>
      </c>
      <c r="AB816" s="197">
        <v>16868729530.258223</v>
      </c>
      <c r="AC816" s="198">
        <v>449029.35232559592</v>
      </c>
      <c r="AD816" s="197">
        <v>37567.097658298582</v>
      </c>
      <c r="AE816" s="195">
        <v>0</v>
      </c>
      <c r="AF816" s="195">
        <v>0</v>
      </c>
    </row>
    <row r="817" spans="27:32" x14ac:dyDescent="0.25">
      <c r="AA817" s="195">
        <v>815</v>
      </c>
      <c r="AB817" s="197">
        <v>16918837393.380482</v>
      </c>
      <c r="AC817" s="198">
        <v>437388.46467557549</v>
      </c>
      <c r="AD817" s="197">
        <v>38681.489704877575</v>
      </c>
      <c r="AE817" s="195">
        <v>0</v>
      </c>
      <c r="AF817" s="195">
        <v>0</v>
      </c>
    </row>
    <row r="818" spans="27:32" x14ac:dyDescent="0.25">
      <c r="AA818" s="195">
        <v>816</v>
      </c>
      <c r="AB818" s="197">
        <v>17794841530.948685</v>
      </c>
      <c r="AC818" s="198">
        <v>233487.96572807431</v>
      </c>
      <c r="AD818" s="197">
        <v>76213.099358075633</v>
      </c>
      <c r="AE818" s="195">
        <v>0</v>
      </c>
      <c r="AF818" s="195">
        <v>0</v>
      </c>
    </row>
    <row r="819" spans="27:32" x14ac:dyDescent="0.25">
      <c r="AA819" s="195">
        <v>817</v>
      </c>
      <c r="AB819" s="197">
        <v>17709529304.720371</v>
      </c>
      <c r="AC819" s="198">
        <v>253377.8762961328</v>
      </c>
      <c r="AD819" s="197">
        <v>69893.747487339977</v>
      </c>
      <c r="AE819" s="195">
        <v>0</v>
      </c>
      <c r="AF819" s="195">
        <v>0</v>
      </c>
    </row>
    <row r="820" spans="27:32" x14ac:dyDescent="0.25">
      <c r="AA820" s="195">
        <v>818</v>
      </c>
      <c r="AB820" s="197">
        <v>17720359102.531185</v>
      </c>
      <c r="AC820" s="198">
        <v>250853.37795813382</v>
      </c>
      <c r="AD820" s="197">
        <v>70640.304893516819</v>
      </c>
      <c r="AE820" s="195">
        <v>0</v>
      </c>
      <c r="AF820" s="195">
        <v>0</v>
      </c>
    </row>
    <row r="821" spans="27:32" x14ac:dyDescent="0.25">
      <c r="AA821" s="195">
        <v>819</v>
      </c>
      <c r="AB821" s="197">
        <v>17938469785.317543</v>
      </c>
      <c r="AC821" s="198">
        <v>199986.27106167376</v>
      </c>
      <c r="AD821" s="197">
        <v>89698.50625288923</v>
      </c>
      <c r="AE821" s="195">
        <v>0</v>
      </c>
      <c r="AF821" s="195">
        <v>0</v>
      </c>
    </row>
    <row r="822" spans="27:32" x14ac:dyDescent="0.25">
      <c r="AA822" s="195">
        <v>820</v>
      </c>
      <c r="AB822" s="197">
        <v>18100341862.339367</v>
      </c>
      <c r="AC822" s="198">
        <v>162205.33081823587</v>
      </c>
      <c r="AD822" s="197">
        <v>111589.06905853949</v>
      </c>
      <c r="AE822" s="195">
        <v>0</v>
      </c>
      <c r="AF822" s="195">
        <v>0</v>
      </c>
    </row>
    <row r="823" spans="27:32" x14ac:dyDescent="0.25">
      <c r="AA823" s="195">
        <v>821</v>
      </c>
      <c r="AB823" s="197">
        <v>16108054978.808592</v>
      </c>
      <c r="AC823" s="198">
        <v>625450.37433395535</v>
      </c>
      <c r="AD823" s="197">
        <v>25754.329423756641</v>
      </c>
      <c r="AE823" s="195">
        <v>0</v>
      </c>
      <c r="AF823" s="195">
        <v>0</v>
      </c>
    </row>
    <row r="824" spans="27:32" x14ac:dyDescent="0.25">
      <c r="AA824" s="195">
        <v>822</v>
      </c>
      <c r="AB824" s="197">
        <v>18737330690.103886</v>
      </c>
      <c r="AC824" s="198">
        <v>13286.852518625557</v>
      </c>
      <c r="AD824" s="197">
        <v>1410215.9005556679</v>
      </c>
      <c r="AE824" s="195">
        <v>0</v>
      </c>
      <c r="AF824" s="195">
        <v>0</v>
      </c>
    </row>
    <row r="825" spans="27:32" x14ac:dyDescent="0.25">
      <c r="AA825" s="195">
        <v>823</v>
      </c>
      <c r="AB825" s="197">
        <v>15957711348.793451</v>
      </c>
      <c r="AC825" s="198">
        <v>660253.37613462657</v>
      </c>
      <c r="AD825" s="197">
        <v>24169.071943586172</v>
      </c>
      <c r="AE825" s="195">
        <v>0</v>
      </c>
      <c r="AF825" s="195">
        <v>0</v>
      </c>
    </row>
    <row r="826" spans="27:32" x14ac:dyDescent="0.25">
      <c r="AA826" s="195">
        <v>824</v>
      </c>
      <c r="AB826" s="197">
        <v>16743960837.296734</v>
      </c>
      <c r="AC826" s="198">
        <v>478004.70210625976</v>
      </c>
      <c r="AD826" s="197">
        <v>35028.862192185246</v>
      </c>
      <c r="AE826" s="195">
        <v>0</v>
      </c>
      <c r="AF826" s="195">
        <v>0</v>
      </c>
    </row>
    <row r="827" spans="27:32" x14ac:dyDescent="0.25">
      <c r="AA827" s="195">
        <v>825</v>
      </c>
      <c r="AB827" s="197">
        <v>16347742754.088985</v>
      </c>
      <c r="AC827" s="198">
        <v>569920.25776285678</v>
      </c>
      <c r="AD827" s="197">
        <v>28684.263335821382</v>
      </c>
      <c r="AE827" s="195">
        <v>0</v>
      </c>
      <c r="AF827" s="195">
        <v>0</v>
      </c>
    </row>
    <row r="828" spans="27:32" x14ac:dyDescent="0.25">
      <c r="AA828" s="195">
        <v>826</v>
      </c>
      <c r="AB828" s="197">
        <v>16269246199.841423</v>
      </c>
      <c r="AC828" s="198">
        <v>588112.16843987256</v>
      </c>
      <c r="AD828" s="197">
        <v>27663.508889809273</v>
      </c>
      <c r="AE828" s="195">
        <v>0</v>
      </c>
      <c r="AF828" s="195">
        <v>0</v>
      </c>
    </row>
    <row r="829" spans="27:32" x14ac:dyDescent="0.25">
      <c r="AA829" s="195">
        <v>827</v>
      </c>
      <c r="AB829" s="197">
        <v>16403167150.546305</v>
      </c>
      <c r="AC829" s="198">
        <v>557071.85419847071</v>
      </c>
      <c r="AD829" s="197">
        <v>29445.334613337454</v>
      </c>
      <c r="AE829" s="195">
        <v>0</v>
      </c>
      <c r="AF829" s="195">
        <v>0</v>
      </c>
    </row>
    <row r="830" spans="27:32" x14ac:dyDescent="0.25">
      <c r="AA830" s="195">
        <v>828</v>
      </c>
      <c r="AB830" s="197">
        <v>17785512983.040325</v>
      </c>
      <c r="AC830" s="198">
        <v>235663.18857230991</v>
      </c>
      <c r="AD830" s="197">
        <v>75470.051520511843</v>
      </c>
      <c r="AE830" s="195">
        <v>0</v>
      </c>
      <c r="AF830" s="195">
        <v>0</v>
      </c>
    </row>
    <row r="831" spans="27:32" x14ac:dyDescent="0.25">
      <c r="AA831" s="195">
        <v>829</v>
      </c>
      <c r="AB831" s="197">
        <v>17326676194.311905</v>
      </c>
      <c r="AC831" s="198">
        <v>342550.94435942918</v>
      </c>
      <c r="AD831" s="197">
        <v>50581.312005175809</v>
      </c>
      <c r="AE831" s="195">
        <v>0</v>
      </c>
      <c r="AF831" s="195">
        <v>0</v>
      </c>
    </row>
    <row r="832" spans="27:32" x14ac:dyDescent="0.25">
      <c r="AA832" s="195">
        <v>830</v>
      </c>
      <c r="AB832" s="197">
        <v>18529905270.67617</v>
      </c>
      <c r="AC832" s="198">
        <v>61822.787708729506</v>
      </c>
      <c r="AD832" s="197">
        <v>299726.13590279286</v>
      </c>
      <c r="AE832" s="195">
        <v>0</v>
      </c>
      <c r="AF832" s="195">
        <v>0</v>
      </c>
    </row>
    <row r="833" spans="27:32" x14ac:dyDescent="0.25">
      <c r="AA833" s="195">
        <v>831</v>
      </c>
      <c r="AB833" s="197">
        <v>15713852437.660969</v>
      </c>
      <c r="AC833" s="198">
        <v>716658.08855039626</v>
      </c>
      <c r="AD833" s="197">
        <v>21926.568176249577</v>
      </c>
      <c r="AE833" s="195">
        <v>0</v>
      </c>
      <c r="AF833" s="195">
        <v>0</v>
      </c>
    </row>
    <row r="834" spans="27:32" x14ac:dyDescent="0.25">
      <c r="AA834" s="195">
        <v>832</v>
      </c>
      <c r="AB834" s="197">
        <v>16654630224.275042</v>
      </c>
      <c r="AC834" s="198">
        <v>498740.9861336872</v>
      </c>
      <c r="AD834" s="197">
        <v>33393.345819408511</v>
      </c>
      <c r="AE834" s="195">
        <v>0</v>
      </c>
      <c r="AF834" s="195">
        <v>0</v>
      </c>
    </row>
    <row r="835" spans="27:32" x14ac:dyDescent="0.25">
      <c r="AA835" s="195">
        <v>833</v>
      </c>
      <c r="AB835" s="197">
        <v>16196469910.395981</v>
      </c>
      <c r="AC835" s="198">
        <v>604973.09846755117</v>
      </c>
      <c r="AD835" s="197">
        <v>26772.215081006132</v>
      </c>
      <c r="AE835" s="195">
        <v>0</v>
      </c>
      <c r="AF835" s="195">
        <v>0</v>
      </c>
    </row>
    <row r="836" spans="27:32" x14ac:dyDescent="0.25">
      <c r="AA836" s="195">
        <v>834</v>
      </c>
      <c r="AB836" s="197">
        <v>16247065954.027742</v>
      </c>
      <c r="AC836" s="198">
        <v>593251.46283762902</v>
      </c>
      <c r="AD836" s="197">
        <v>27386.474322903628</v>
      </c>
      <c r="AE836" s="195">
        <v>0</v>
      </c>
      <c r="AF836" s="195">
        <v>0</v>
      </c>
    </row>
    <row r="837" spans="27:32" x14ac:dyDescent="0.25">
      <c r="AA837" s="195">
        <v>835</v>
      </c>
      <c r="AB837" s="197">
        <v>15385390270.971519</v>
      </c>
      <c r="AC837" s="198">
        <v>792541.45328967273</v>
      </c>
      <c r="AD837" s="197">
        <v>19412.72624556104</v>
      </c>
      <c r="AE837" s="195">
        <v>0</v>
      </c>
      <c r="AF837" s="195">
        <v>0</v>
      </c>
    </row>
    <row r="838" spans="27:32" x14ac:dyDescent="0.25">
      <c r="AA838" s="195">
        <v>836</v>
      </c>
      <c r="AB838" s="197">
        <v>16300687254.196911</v>
      </c>
      <c r="AC838" s="198">
        <v>580826.28049637377</v>
      </c>
      <c r="AD838" s="197">
        <v>28064.651689428298</v>
      </c>
      <c r="AE838" s="195">
        <v>0</v>
      </c>
      <c r="AF838" s="195">
        <v>0</v>
      </c>
    </row>
    <row r="839" spans="27:32" x14ac:dyDescent="0.25">
      <c r="AA839" s="195">
        <v>837</v>
      </c>
      <c r="AB839" s="197">
        <v>17808157777.220844</v>
      </c>
      <c r="AC839" s="198">
        <v>230382.74956230074</v>
      </c>
      <c r="AD839" s="197">
        <v>77298.138906034335</v>
      </c>
      <c r="AE839" s="195">
        <v>0</v>
      </c>
      <c r="AF839" s="195">
        <v>0</v>
      </c>
    </row>
    <row r="840" spans="27:32" x14ac:dyDescent="0.25">
      <c r="AA840" s="195">
        <v>838</v>
      </c>
      <c r="AB840" s="197">
        <v>16706398649.977894</v>
      </c>
      <c r="AC840" s="198">
        <v>486724.9338625446</v>
      </c>
      <c r="AD840" s="197">
        <v>34324.106877778999</v>
      </c>
      <c r="AE840" s="195">
        <v>0</v>
      </c>
      <c r="AF840" s="195">
        <v>0</v>
      </c>
    </row>
    <row r="841" spans="27:32" x14ac:dyDescent="0.25">
      <c r="AA841" s="195">
        <v>839</v>
      </c>
      <c r="AB841" s="197">
        <v>17645203836.910294</v>
      </c>
      <c r="AC841" s="198">
        <v>268370.24561852962</v>
      </c>
      <c r="AD841" s="197">
        <v>65749.479031262556</v>
      </c>
      <c r="AE841" s="195">
        <v>0</v>
      </c>
      <c r="AF841" s="195">
        <v>1</v>
      </c>
    </row>
    <row r="842" spans="27:32" x14ac:dyDescent="0.25">
      <c r="AA842" s="195">
        <v>840</v>
      </c>
      <c r="AB842" s="197">
        <v>18622933320.636948</v>
      </c>
      <c r="AC842" s="198">
        <v>40060.081337332726</v>
      </c>
      <c r="AD842" s="197">
        <v>464875.07511079102</v>
      </c>
      <c r="AE842" s="195">
        <v>0</v>
      </c>
      <c r="AF842" s="195">
        <v>0</v>
      </c>
    </row>
    <row r="843" spans="27:32" x14ac:dyDescent="0.25">
      <c r="AA843" s="195">
        <v>841</v>
      </c>
      <c r="AB843" s="197">
        <v>16246467604.609123</v>
      </c>
      <c r="AC843" s="198">
        <v>593390.09740115702</v>
      </c>
      <c r="AD843" s="197">
        <v>27379.067624759868</v>
      </c>
      <c r="AE843" s="195">
        <v>0</v>
      </c>
      <c r="AF843" s="195">
        <v>0</v>
      </c>
    </row>
    <row r="844" spans="27:32" x14ac:dyDescent="0.25">
      <c r="AA844" s="195">
        <v>842</v>
      </c>
      <c r="AB844" s="197">
        <v>17221948953.398918</v>
      </c>
      <c r="AC844" s="198">
        <v>366919.14648551494</v>
      </c>
      <c r="AD844" s="197">
        <v>46936.632002873142</v>
      </c>
      <c r="AE844" s="195">
        <v>0</v>
      </c>
      <c r="AF844" s="195">
        <v>0</v>
      </c>
    </row>
    <row r="845" spans="27:32" x14ac:dyDescent="0.25">
      <c r="AA845" s="195">
        <v>843</v>
      </c>
      <c r="AB845" s="197">
        <v>17018932529.113235</v>
      </c>
      <c r="AC845" s="198">
        <v>414127.47710508853</v>
      </c>
      <c r="AD845" s="197">
        <v>41095.878612262502</v>
      </c>
      <c r="AE845" s="195">
        <v>0</v>
      </c>
      <c r="AF845" s="195">
        <v>0</v>
      </c>
    </row>
    <row r="846" spans="27:32" x14ac:dyDescent="0.25">
      <c r="AA846" s="195">
        <v>844</v>
      </c>
      <c r="AB846" s="197">
        <v>17065667128.480076</v>
      </c>
      <c r="AC846" s="198">
        <v>403263.58088815957</v>
      </c>
      <c r="AD846" s="197">
        <v>42318.890019510683</v>
      </c>
      <c r="AE846" s="195">
        <v>0</v>
      </c>
      <c r="AF846" s="195">
        <v>0</v>
      </c>
    </row>
    <row r="847" spans="27:32" x14ac:dyDescent="0.25">
      <c r="AA847" s="195">
        <v>845</v>
      </c>
      <c r="AB847" s="197">
        <v>16981777828.594769</v>
      </c>
      <c r="AC847" s="198">
        <v>422762.93730682135</v>
      </c>
      <c r="AD847" s="197">
        <v>40168.558617687428</v>
      </c>
      <c r="AE847" s="195">
        <v>0</v>
      </c>
      <c r="AF847" s="195">
        <v>0</v>
      </c>
    </row>
    <row r="848" spans="27:32" x14ac:dyDescent="0.25">
      <c r="AA848" s="195">
        <v>846</v>
      </c>
      <c r="AB848" s="197">
        <v>17210047466.547539</v>
      </c>
      <c r="AC848" s="198">
        <v>369687.74715942144</v>
      </c>
      <c r="AD848" s="197">
        <v>46552.929056439636</v>
      </c>
      <c r="AE848" s="195">
        <v>0</v>
      </c>
      <c r="AF848" s="195">
        <v>0</v>
      </c>
    </row>
    <row r="849" spans="27:32" x14ac:dyDescent="0.25">
      <c r="AA849" s="195">
        <v>847</v>
      </c>
      <c r="AB849" s="197">
        <v>15261441443.993416</v>
      </c>
      <c r="AC849" s="198">
        <v>821150.00640879571</v>
      </c>
      <c r="AD849" s="197">
        <v>18585.44885207705</v>
      </c>
      <c r="AE849" s="195">
        <v>0</v>
      </c>
      <c r="AF849" s="195">
        <v>0</v>
      </c>
    </row>
    <row r="850" spans="27:32" x14ac:dyDescent="0.25">
      <c r="AA850" s="195">
        <v>848</v>
      </c>
      <c r="AB850" s="197">
        <v>17099800195.831514</v>
      </c>
      <c r="AC850" s="198">
        <v>395327.70178517699</v>
      </c>
      <c r="AD850" s="197">
        <v>43254.748196531975</v>
      </c>
      <c r="AE850" s="195">
        <v>0</v>
      </c>
      <c r="AF850" s="195">
        <v>0</v>
      </c>
    </row>
    <row r="851" spans="27:32" x14ac:dyDescent="0.25">
      <c r="AA851" s="195">
        <v>849</v>
      </c>
      <c r="AB851" s="197">
        <v>16962212252.479691</v>
      </c>
      <c r="AC851" s="198">
        <v>427309.81637669355</v>
      </c>
      <c r="AD851" s="197">
        <v>39695.34890704853</v>
      </c>
      <c r="AE851" s="195">
        <v>0</v>
      </c>
      <c r="AF851" s="195">
        <v>0</v>
      </c>
    </row>
    <row r="852" spans="27:32" x14ac:dyDescent="0.25">
      <c r="AA852" s="195">
        <v>850</v>
      </c>
      <c r="AB852" s="197">
        <v>16261452432.561346</v>
      </c>
      <c r="AC852" s="198">
        <v>589918.08432982862</v>
      </c>
      <c r="AD852" s="197">
        <v>27565.61099671157</v>
      </c>
      <c r="AE852" s="195">
        <v>0</v>
      </c>
      <c r="AF852" s="195">
        <v>0</v>
      </c>
    </row>
    <row r="853" spans="27:32" x14ac:dyDescent="0.25">
      <c r="AA853" s="195">
        <v>851</v>
      </c>
      <c r="AB853" s="197">
        <v>18151074104.298542</v>
      </c>
      <c r="AC853" s="198">
        <v>150359.2291546911</v>
      </c>
      <c r="AD853" s="197">
        <v>120718.05772311144</v>
      </c>
      <c r="AE853" s="195">
        <v>0</v>
      </c>
      <c r="AF853" s="195">
        <v>0</v>
      </c>
    </row>
    <row r="854" spans="27:32" x14ac:dyDescent="0.25">
      <c r="AA854" s="195">
        <v>852</v>
      </c>
      <c r="AB854" s="197">
        <v>16814597119.825874</v>
      </c>
      <c r="AC854" s="198">
        <v>461602.49684716761</v>
      </c>
      <c r="AD854" s="197">
        <v>36426.573154765741</v>
      </c>
      <c r="AE854" s="195">
        <v>0</v>
      </c>
      <c r="AF854" s="195">
        <v>0</v>
      </c>
    </row>
    <row r="855" spans="27:32" x14ac:dyDescent="0.25">
      <c r="AA855" s="195">
        <v>853</v>
      </c>
      <c r="AB855" s="197">
        <v>17367157763.350578</v>
      </c>
      <c r="AC855" s="198">
        <v>333128.76139770448</v>
      </c>
      <c r="AD855" s="197">
        <v>52133.468423691178</v>
      </c>
      <c r="AE855" s="195">
        <v>0</v>
      </c>
      <c r="AF855" s="195">
        <v>0</v>
      </c>
    </row>
    <row r="856" spans="27:32" x14ac:dyDescent="0.25">
      <c r="AA856" s="195">
        <v>854</v>
      </c>
      <c r="AB856" s="197">
        <v>18423833094.586971</v>
      </c>
      <c r="AC856" s="198">
        <v>86626.812395438552</v>
      </c>
      <c r="AD856" s="197">
        <v>212680.49216084398</v>
      </c>
      <c r="AE856" s="195">
        <v>0</v>
      </c>
      <c r="AF856" s="195">
        <v>0</v>
      </c>
    </row>
    <row r="857" spans="27:32" x14ac:dyDescent="0.25">
      <c r="AA857" s="195">
        <v>855</v>
      </c>
      <c r="AB857" s="197">
        <v>17316452564.510334</v>
      </c>
      <c r="AC857" s="198">
        <v>344930.26947663724</v>
      </c>
      <c r="AD857" s="197">
        <v>50202.762983905675</v>
      </c>
      <c r="AE857" s="195">
        <v>0</v>
      </c>
      <c r="AF857" s="195">
        <v>0</v>
      </c>
    </row>
    <row r="858" spans="27:32" x14ac:dyDescent="0.25">
      <c r="AA858" s="195">
        <v>856</v>
      </c>
      <c r="AB858" s="197">
        <v>16269057374.045286</v>
      </c>
      <c r="AC858" s="198">
        <v>588155.92248923331</v>
      </c>
      <c r="AD858" s="197">
        <v>27661.129901047803</v>
      </c>
      <c r="AE858" s="195">
        <v>0</v>
      </c>
      <c r="AF858" s="195">
        <v>0</v>
      </c>
    </row>
    <row r="859" spans="27:32" x14ac:dyDescent="0.25">
      <c r="AA859" s="195">
        <v>857</v>
      </c>
      <c r="AB859" s="197">
        <v>16073824779.746826</v>
      </c>
      <c r="AC859" s="198">
        <v>633376.21994739026</v>
      </c>
      <c r="AD859" s="197">
        <v>25378.004846916981</v>
      </c>
      <c r="AE859" s="195">
        <v>0</v>
      </c>
      <c r="AF859" s="195">
        <v>0</v>
      </c>
    </row>
    <row r="860" spans="27:32" x14ac:dyDescent="0.25">
      <c r="AA860" s="195">
        <v>858</v>
      </c>
      <c r="AB860" s="197">
        <v>17992455577.753559</v>
      </c>
      <c r="AC860" s="198">
        <v>187388.79409757257</v>
      </c>
      <c r="AD860" s="197">
        <v>96016.710414310917</v>
      </c>
      <c r="AE860" s="195">
        <v>0</v>
      </c>
      <c r="AF860" s="195">
        <v>0</v>
      </c>
    </row>
    <row r="861" spans="27:32" x14ac:dyDescent="0.25">
      <c r="AA861" s="195">
        <v>859</v>
      </c>
      <c r="AB861" s="197">
        <v>18372876146.38641</v>
      </c>
      <c r="AC861" s="198">
        <v>98538.777930274606</v>
      </c>
      <c r="AD861" s="197">
        <v>186453.25761383947</v>
      </c>
      <c r="AE861" s="195">
        <v>0</v>
      </c>
      <c r="AF861" s="195">
        <v>0</v>
      </c>
    </row>
    <row r="862" spans="27:32" x14ac:dyDescent="0.25">
      <c r="AA862" s="195">
        <v>860</v>
      </c>
      <c r="AB862" s="197">
        <v>17806657670.182491</v>
      </c>
      <c r="AC862" s="198">
        <v>230732.56813759357</v>
      </c>
      <c r="AD862" s="197">
        <v>77174.444049718135</v>
      </c>
      <c r="AE862" s="195">
        <v>0</v>
      </c>
      <c r="AF862" s="195">
        <v>0</v>
      </c>
    </row>
    <row r="863" spans="27:32" x14ac:dyDescent="0.25">
      <c r="AA863" s="195">
        <v>861</v>
      </c>
      <c r="AB863" s="197">
        <v>16093762261.277874</v>
      </c>
      <c r="AC863" s="198">
        <v>628759.92427619547</v>
      </c>
      <c r="AD863" s="197">
        <v>25596.036960854974</v>
      </c>
      <c r="AE863" s="195">
        <v>0</v>
      </c>
      <c r="AF863" s="195">
        <v>0</v>
      </c>
    </row>
    <row r="864" spans="27:32" x14ac:dyDescent="0.25">
      <c r="AA864" s="195">
        <v>862</v>
      </c>
      <c r="AB864" s="197">
        <v>16893582555.794727</v>
      </c>
      <c r="AC864" s="198">
        <v>443255.88400485367</v>
      </c>
      <c r="AD864" s="197">
        <v>38112.483478301081</v>
      </c>
      <c r="AE864" s="195">
        <v>0</v>
      </c>
      <c r="AF864" s="195">
        <v>0</v>
      </c>
    </row>
    <row r="865" spans="27:32" x14ac:dyDescent="0.25">
      <c r="AA865" s="195">
        <v>863</v>
      </c>
      <c r="AB865" s="197">
        <v>16617280437.699038</v>
      </c>
      <c r="AC865" s="198">
        <v>507408.70578695089</v>
      </c>
      <c r="AD865" s="197">
        <v>32749.301003669116</v>
      </c>
      <c r="AE865" s="195">
        <v>0</v>
      </c>
      <c r="AF865" s="195">
        <v>0</v>
      </c>
    </row>
    <row r="866" spans="27:32" x14ac:dyDescent="0.25">
      <c r="AA866" s="195">
        <v>864</v>
      </c>
      <c r="AB866" s="197">
        <v>16746881234.329012</v>
      </c>
      <c r="AC866" s="198">
        <v>477326.66191111505</v>
      </c>
      <c r="AD866" s="197">
        <v>35084.738755798891</v>
      </c>
      <c r="AE866" s="195">
        <v>0</v>
      </c>
      <c r="AF866" s="195">
        <v>0</v>
      </c>
    </row>
    <row r="867" spans="27:32" x14ac:dyDescent="0.25">
      <c r="AA867" s="195">
        <v>865</v>
      </c>
      <c r="AB867" s="197">
        <v>16585061678.870878</v>
      </c>
      <c r="AC867" s="198">
        <v>514884.59727600962</v>
      </c>
      <c r="AD867" s="197">
        <v>32211.221245719789</v>
      </c>
      <c r="AE867" s="195">
        <v>0</v>
      </c>
      <c r="AF867" s="195">
        <v>0</v>
      </c>
    </row>
    <row r="868" spans="27:32" x14ac:dyDescent="0.25">
      <c r="AA868" s="195">
        <v>866</v>
      </c>
      <c r="AB868" s="197">
        <v>16556612617.685711</v>
      </c>
      <c r="AC868" s="198">
        <v>521484.95650316775</v>
      </c>
      <c r="AD868" s="197">
        <v>31748.974560467763</v>
      </c>
      <c r="AE868" s="195">
        <v>0</v>
      </c>
      <c r="AF868" s="195">
        <v>0</v>
      </c>
    </row>
    <row r="869" spans="27:32" x14ac:dyDescent="0.25">
      <c r="AA869" s="195">
        <v>867</v>
      </c>
      <c r="AB869" s="197">
        <v>17477730205.706688</v>
      </c>
      <c r="AC869" s="198">
        <v>307384.72156263888</v>
      </c>
      <c r="AD869" s="197">
        <v>56859.463010574764</v>
      </c>
      <c r="AE869" s="195">
        <v>0</v>
      </c>
      <c r="AF869" s="195">
        <v>0</v>
      </c>
    </row>
    <row r="870" spans="27:32" x14ac:dyDescent="0.25">
      <c r="AA870" s="195">
        <v>868</v>
      </c>
      <c r="AB870" s="197">
        <v>15611075725.233984</v>
      </c>
      <c r="AC870" s="198">
        <v>740413.31983327866</v>
      </c>
      <c r="AD870" s="197">
        <v>21084.27186149107</v>
      </c>
      <c r="AE870" s="195">
        <v>0</v>
      </c>
      <c r="AF870" s="195">
        <v>0</v>
      </c>
    </row>
    <row r="871" spans="27:32" x14ac:dyDescent="0.25">
      <c r="AA871" s="195">
        <v>869</v>
      </c>
      <c r="AB871" s="197">
        <v>16878986991.995092</v>
      </c>
      <c r="AC871" s="198">
        <v>446646.57032486051</v>
      </c>
      <c r="AD871" s="197">
        <v>37790.477109716659</v>
      </c>
      <c r="AE871" s="195">
        <v>0</v>
      </c>
      <c r="AF871" s="195">
        <v>0</v>
      </c>
    </row>
    <row r="872" spans="27:32" x14ac:dyDescent="0.25">
      <c r="AA872" s="195">
        <v>870</v>
      </c>
      <c r="AB872" s="197">
        <v>17351504709.752518</v>
      </c>
      <c r="AC872" s="198">
        <v>336772.23441629857</v>
      </c>
      <c r="AD872" s="197">
        <v>51522.966968540466</v>
      </c>
      <c r="AE872" s="195">
        <v>0</v>
      </c>
      <c r="AF872" s="195">
        <v>0</v>
      </c>
    </row>
    <row r="873" spans="27:32" x14ac:dyDescent="0.25">
      <c r="AA873" s="195">
        <v>871</v>
      </c>
      <c r="AB873" s="197">
        <v>17336400377.971066</v>
      </c>
      <c r="AC873" s="198">
        <v>340287.76102926582</v>
      </c>
      <c r="AD873" s="197">
        <v>50946.294176240095</v>
      </c>
      <c r="AE873" s="195">
        <v>0</v>
      </c>
      <c r="AF873" s="195">
        <v>0</v>
      </c>
    </row>
    <row r="874" spans="27:32" x14ac:dyDescent="0.25">
      <c r="AA874" s="195">
        <v>872</v>
      </c>
      <c r="AB874" s="197">
        <v>16926900697.669596</v>
      </c>
      <c r="AC874" s="198">
        <v>435514.99988934398</v>
      </c>
      <c r="AD874" s="197">
        <v>38866.401161774906</v>
      </c>
      <c r="AE874" s="195">
        <v>0</v>
      </c>
      <c r="AF874" s="195">
        <v>0</v>
      </c>
    </row>
    <row r="875" spans="27:32" x14ac:dyDescent="0.25">
      <c r="AA875" s="195">
        <v>873</v>
      </c>
      <c r="AB875" s="197">
        <v>17914549141.58189</v>
      </c>
      <c r="AC875" s="198">
        <v>205567.20780690759</v>
      </c>
      <c r="AD875" s="197">
        <v>87146.920623688668</v>
      </c>
      <c r="AE875" s="195">
        <v>0</v>
      </c>
      <c r="AF875" s="195">
        <v>0</v>
      </c>
    </row>
    <row r="876" spans="27:32" x14ac:dyDescent="0.25">
      <c r="AA876" s="195">
        <v>874</v>
      </c>
      <c r="AB876" s="197">
        <v>18827321203.06641</v>
      </c>
      <c r="AC876" s="198">
        <v>-7783.1411666050553</v>
      </c>
      <c r="AD876" s="197">
        <v>-2418987.50132509</v>
      </c>
      <c r="AE876" s="195">
        <v>0</v>
      </c>
      <c r="AF876" s="195">
        <v>0</v>
      </c>
    </row>
    <row r="877" spans="27:32" x14ac:dyDescent="0.25">
      <c r="AA877" s="195">
        <v>875</v>
      </c>
      <c r="AB877" s="197">
        <v>18744062741.19973</v>
      </c>
      <c r="AC877" s="198">
        <v>11710.909348346293</v>
      </c>
      <c r="AD877" s="197">
        <v>1600564.2417381187</v>
      </c>
      <c r="AE877" s="195">
        <v>0</v>
      </c>
      <c r="AF877" s="195">
        <v>0</v>
      </c>
    </row>
    <row r="878" spans="27:32" x14ac:dyDescent="0.25">
      <c r="AA878" s="195">
        <v>876</v>
      </c>
      <c r="AB878" s="197">
        <v>17894075459.021797</v>
      </c>
      <c r="AC878" s="198">
        <v>210343.49457678199</v>
      </c>
      <c r="AD878" s="197">
        <v>85070.733920368031</v>
      </c>
      <c r="AE878" s="195">
        <v>0</v>
      </c>
      <c r="AF878" s="195">
        <v>0</v>
      </c>
    </row>
    <row r="879" spans="27:32" x14ac:dyDescent="0.25">
      <c r="AA879" s="195">
        <v>877</v>
      </c>
      <c r="AB879" s="197">
        <v>16908142232.177666</v>
      </c>
      <c r="AC879" s="198">
        <v>439873.33062436432</v>
      </c>
      <c r="AD879" s="197">
        <v>38438.661894272918</v>
      </c>
      <c r="AE879" s="195">
        <v>0</v>
      </c>
      <c r="AF879" s="195">
        <v>0</v>
      </c>
    </row>
    <row r="880" spans="27:32" x14ac:dyDescent="0.25">
      <c r="AA880" s="195">
        <v>878</v>
      </c>
      <c r="AB880" s="197">
        <v>17542234763.036842</v>
      </c>
      <c r="AC880" s="198">
        <v>292361.00673648715</v>
      </c>
      <c r="AD880" s="197">
        <v>60001.964553529295</v>
      </c>
      <c r="AE880" s="195">
        <v>0</v>
      </c>
      <c r="AF880" s="195">
        <v>0</v>
      </c>
    </row>
    <row r="881" spans="27:32" x14ac:dyDescent="0.25">
      <c r="AA881" s="195">
        <v>879</v>
      </c>
      <c r="AB881" s="197">
        <v>17135640363.889765</v>
      </c>
      <c r="AC881" s="198">
        <v>386993.71872808039</v>
      </c>
      <c r="AD881" s="197">
        <v>44278.859151019074</v>
      </c>
      <c r="AE881" s="195">
        <v>0</v>
      </c>
      <c r="AF881" s="195">
        <v>0</v>
      </c>
    </row>
    <row r="882" spans="27:32" x14ac:dyDescent="0.25">
      <c r="AA882" s="195">
        <v>880</v>
      </c>
      <c r="AB882" s="197">
        <v>17619019619.834091</v>
      </c>
      <c r="AC882" s="198">
        <v>274471.87334831059</v>
      </c>
      <c r="AD882" s="197">
        <v>64192.441305179505</v>
      </c>
      <c r="AE882" s="195">
        <v>0</v>
      </c>
      <c r="AF882" s="195">
        <v>0</v>
      </c>
    </row>
    <row r="883" spans="27:32" x14ac:dyDescent="0.25">
      <c r="AA883" s="195">
        <v>881</v>
      </c>
      <c r="AB883" s="197">
        <v>16749852413.735096</v>
      </c>
      <c r="AC883" s="198">
        <v>476636.8229585588</v>
      </c>
      <c r="AD883" s="197">
        <v>35141.75071444577</v>
      </c>
      <c r="AE883" s="195">
        <v>0</v>
      </c>
      <c r="AF883" s="195">
        <v>0</v>
      </c>
    </row>
    <row r="884" spans="27:32" x14ac:dyDescent="0.25">
      <c r="AA884" s="195">
        <v>882</v>
      </c>
      <c r="AB884" s="197">
        <v>17650182092.339264</v>
      </c>
      <c r="AC884" s="198">
        <v>267210.10335139185</v>
      </c>
      <c r="AD884" s="197">
        <v>66053.573090866921</v>
      </c>
      <c r="AE884" s="195">
        <v>0</v>
      </c>
      <c r="AF884" s="195">
        <v>0</v>
      </c>
    </row>
    <row r="885" spans="27:32" x14ac:dyDescent="0.25">
      <c r="AA885" s="195">
        <v>883</v>
      </c>
      <c r="AB885" s="197">
        <v>17197829461.283928</v>
      </c>
      <c r="AC885" s="198">
        <v>372529.83664298803</v>
      </c>
      <c r="AD885" s="197">
        <v>46164.971955697001</v>
      </c>
      <c r="AE885" s="195">
        <v>0</v>
      </c>
      <c r="AF885" s="195">
        <v>0</v>
      </c>
    </row>
    <row r="886" spans="27:32" x14ac:dyDescent="0.25">
      <c r="AA886" s="195">
        <v>884</v>
      </c>
      <c r="AB886" s="197">
        <v>18195648567.859962</v>
      </c>
      <c r="AC886" s="198">
        <v>139948.93631628901</v>
      </c>
      <c r="AD886" s="197">
        <v>130016.34057966131</v>
      </c>
      <c r="AE886" s="195">
        <v>0</v>
      </c>
      <c r="AF886" s="195">
        <v>0</v>
      </c>
    </row>
    <row r="887" spans="27:32" x14ac:dyDescent="0.25">
      <c r="AA887" s="195">
        <v>885</v>
      </c>
      <c r="AB887" s="197">
        <v>17554495097.38512</v>
      </c>
      <c r="AC887" s="198">
        <v>289505.00718092173</v>
      </c>
      <c r="AD887" s="197">
        <v>60636.240002628714</v>
      </c>
      <c r="AE887" s="195">
        <v>0</v>
      </c>
      <c r="AF887" s="195">
        <v>0</v>
      </c>
    </row>
    <row r="888" spans="27:32" x14ac:dyDescent="0.25">
      <c r="AA888" s="195">
        <v>886</v>
      </c>
      <c r="AB888" s="197">
        <v>17629648139.790203</v>
      </c>
      <c r="AC888" s="198">
        <v>271995.22156333923</v>
      </c>
      <c r="AD888" s="197">
        <v>64816.021540601978</v>
      </c>
      <c r="AE888" s="195">
        <v>0</v>
      </c>
      <c r="AF888" s="195">
        <v>0</v>
      </c>
    </row>
    <row r="889" spans="27:32" x14ac:dyDescent="0.25">
      <c r="AA889" s="195">
        <v>887</v>
      </c>
      <c r="AB889" s="197">
        <v>16747135738.043638</v>
      </c>
      <c r="AC889" s="198">
        <v>477267.5723830834</v>
      </c>
      <c r="AD889" s="197">
        <v>35089.615777627958</v>
      </c>
      <c r="AE889" s="195">
        <v>0</v>
      </c>
      <c r="AF889" s="195">
        <v>0</v>
      </c>
    </row>
    <row r="890" spans="27:32" x14ac:dyDescent="0.25">
      <c r="AA890" s="195">
        <v>888</v>
      </c>
      <c r="AB890" s="197">
        <v>17897269998.088047</v>
      </c>
      <c r="AC890" s="198">
        <v>209598.27005430311</v>
      </c>
      <c r="AD890" s="197">
        <v>85388.443298941304</v>
      </c>
      <c r="AE890" s="195">
        <v>0</v>
      </c>
      <c r="AF890" s="195">
        <v>0</v>
      </c>
    </row>
    <row r="891" spans="27:32" x14ac:dyDescent="0.25">
      <c r="AA891" s="195">
        <v>889</v>
      </c>
      <c r="AB891" s="197">
        <v>17383036497.122166</v>
      </c>
      <c r="AC891" s="198">
        <v>329432.51717093587</v>
      </c>
      <c r="AD891" s="197">
        <v>52766.608003369809</v>
      </c>
      <c r="AE891" s="195">
        <v>0</v>
      </c>
      <c r="AF891" s="195">
        <v>0</v>
      </c>
    </row>
    <row r="892" spans="27:32" x14ac:dyDescent="0.25">
      <c r="AA892" s="195">
        <v>890</v>
      </c>
      <c r="AB892" s="197">
        <v>17654670253.646309</v>
      </c>
      <c r="AC892" s="198">
        <v>266164.15311093628</v>
      </c>
      <c r="AD892" s="197">
        <v>66330.007430744838</v>
      </c>
      <c r="AE892" s="195">
        <v>0</v>
      </c>
      <c r="AF892" s="195">
        <v>0</v>
      </c>
    </row>
    <row r="893" spans="27:32" x14ac:dyDescent="0.25">
      <c r="AA893" s="195">
        <v>891</v>
      </c>
      <c r="AB893" s="197">
        <v>17571121248.38736</v>
      </c>
      <c r="AC893" s="198">
        <v>285631.77560246736</v>
      </c>
      <c r="AD893" s="197">
        <v>61516.689490605735</v>
      </c>
      <c r="AE893" s="195">
        <v>0</v>
      </c>
      <c r="AF893" s="195">
        <v>0</v>
      </c>
    </row>
    <row r="894" spans="27:32" x14ac:dyDescent="0.25">
      <c r="AA894" s="195">
        <v>892</v>
      </c>
      <c r="AB894" s="197">
        <v>16980457120.930599</v>
      </c>
      <c r="AC894" s="198">
        <v>423069.87049689144</v>
      </c>
      <c r="AD894" s="197">
        <v>40136.294983585612</v>
      </c>
      <c r="AE894" s="195">
        <v>0</v>
      </c>
      <c r="AF894" s="195">
        <v>0</v>
      </c>
    </row>
    <row r="895" spans="27:32" x14ac:dyDescent="0.25">
      <c r="AA895" s="195">
        <v>893</v>
      </c>
      <c r="AB895" s="197">
        <v>17243909100.691212</v>
      </c>
      <c r="AC895" s="198">
        <v>361810.27762555331</v>
      </c>
      <c r="AD895" s="197">
        <v>47660.08642390577</v>
      </c>
      <c r="AE895" s="195">
        <v>0</v>
      </c>
      <c r="AF895" s="195">
        <v>0</v>
      </c>
    </row>
    <row r="896" spans="27:32" x14ac:dyDescent="0.25">
      <c r="AA896" s="195">
        <v>894</v>
      </c>
      <c r="AB896" s="197">
        <v>16200213028.969948</v>
      </c>
      <c r="AC896" s="198">
        <v>604106.01065310836</v>
      </c>
      <c r="AD896" s="197">
        <v>26816.838010692274</v>
      </c>
      <c r="AE896" s="195">
        <v>0</v>
      </c>
      <c r="AF896" s="195">
        <v>0</v>
      </c>
    </row>
    <row r="897" spans="27:32" x14ac:dyDescent="0.25">
      <c r="AA897" s="195">
        <v>895</v>
      </c>
      <c r="AB897" s="197">
        <v>16061049467.592485</v>
      </c>
      <c r="AC897" s="198">
        <v>636333.99672891945</v>
      </c>
      <c r="AD897" s="197">
        <v>25239.967611591481</v>
      </c>
      <c r="AE897" s="195">
        <v>0</v>
      </c>
      <c r="AF897" s="195">
        <v>0</v>
      </c>
    </row>
    <row r="898" spans="27:32" x14ac:dyDescent="0.25">
      <c r="AA898" s="195">
        <v>896</v>
      </c>
      <c r="AB898" s="197">
        <v>15780873834.836496</v>
      </c>
      <c r="AC898" s="198">
        <v>701161.68326350302</v>
      </c>
      <c r="AD898" s="197">
        <v>22506.754449823376</v>
      </c>
      <c r="AE898" s="195">
        <v>0</v>
      </c>
      <c r="AF898" s="195">
        <v>0</v>
      </c>
    </row>
    <row r="899" spans="27:32" x14ac:dyDescent="0.25">
      <c r="AA899" s="195">
        <v>897</v>
      </c>
      <c r="AB899" s="197">
        <v>18276157508.3577</v>
      </c>
      <c r="AC899" s="198">
        <v>121141.3515027985</v>
      </c>
      <c r="AD899" s="197">
        <v>150866.38279692217</v>
      </c>
      <c r="AE899" s="195">
        <v>0</v>
      </c>
      <c r="AF899" s="195">
        <v>0</v>
      </c>
    </row>
    <row r="900" spans="27:32" x14ac:dyDescent="0.25">
      <c r="AA900" s="195">
        <v>898</v>
      </c>
      <c r="AB900" s="197">
        <v>17215409872.720749</v>
      </c>
      <c r="AC900" s="198">
        <v>368440.32649724931</v>
      </c>
      <c r="AD900" s="197">
        <v>46725.096670028259</v>
      </c>
      <c r="AE900" s="195">
        <v>0</v>
      </c>
      <c r="AF900" s="195">
        <v>0</v>
      </c>
    </row>
    <row r="901" spans="27:32" x14ac:dyDescent="0.25">
      <c r="AA901" s="195">
        <v>899</v>
      </c>
      <c r="AB901" s="197">
        <v>17012004636.642397</v>
      </c>
      <c r="AC901" s="198">
        <v>415737.75197382271</v>
      </c>
      <c r="AD901" s="197">
        <v>40920.038066962879</v>
      </c>
      <c r="AE901" s="195">
        <v>0</v>
      </c>
      <c r="AF901" s="195">
        <v>0</v>
      </c>
    </row>
    <row r="902" spans="27:32" x14ac:dyDescent="0.25">
      <c r="AA902" s="195">
        <v>900</v>
      </c>
      <c r="AB902" s="197">
        <v>18787842166.086559</v>
      </c>
      <c r="AC902" s="198">
        <v>1461.2739502266049</v>
      </c>
      <c r="AD902" s="197">
        <v>12857166.285057681</v>
      </c>
      <c r="AE902" s="195">
        <v>0</v>
      </c>
      <c r="AF902" s="195">
        <v>0</v>
      </c>
    </row>
    <row r="903" spans="27:32" x14ac:dyDescent="0.25">
      <c r="AA903" s="195">
        <v>901</v>
      </c>
      <c r="AB903" s="197">
        <v>17629604032.076744</v>
      </c>
      <c r="AC903" s="198">
        <v>272005.49974285066</v>
      </c>
      <c r="AD903" s="197">
        <v>64813.410202159401</v>
      </c>
      <c r="AE903" s="195">
        <v>0</v>
      </c>
      <c r="AF903" s="195">
        <v>0</v>
      </c>
    </row>
    <row r="904" spans="27:32" x14ac:dyDescent="0.25">
      <c r="AA904" s="195">
        <v>902</v>
      </c>
      <c r="AB904" s="197">
        <v>17178251540.15321</v>
      </c>
      <c r="AC904" s="198">
        <v>377083.65245463699</v>
      </c>
      <c r="AD904" s="197">
        <v>45555.54564174523</v>
      </c>
      <c r="AE904" s="195">
        <v>0</v>
      </c>
      <c r="AF904" s="195">
        <v>0</v>
      </c>
    </row>
    <row r="905" spans="27:32" x14ac:dyDescent="0.25">
      <c r="AA905" s="195">
        <v>903</v>
      </c>
      <c r="AB905" s="197">
        <v>16311288450.696571</v>
      </c>
      <c r="AC905" s="198">
        <v>578369.43358915299</v>
      </c>
      <c r="AD905" s="197">
        <v>28202.196560552264</v>
      </c>
      <c r="AE905" s="195">
        <v>0</v>
      </c>
      <c r="AF905" s="195">
        <v>0</v>
      </c>
    </row>
    <row r="906" spans="27:32" x14ac:dyDescent="0.25">
      <c r="AA906" s="195">
        <v>904</v>
      </c>
      <c r="AB906" s="197">
        <v>16676713691.213848</v>
      </c>
      <c r="AC906" s="198">
        <v>493615.47219046205</v>
      </c>
      <c r="AD906" s="197">
        <v>33784.827726751486</v>
      </c>
      <c r="AE906" s="195">
        <v>0</v>
      </c>
      <c r="AF906" s="195">
        <v>0</v>
      </c>
    </row>
    <row r="907" spans="27:32" x14ac:dyDescent="0.25">
      <c r="AA907" s="195">
        <v>905</v>
      </c>
      <c r="AB907" s="197">
        <v>17692542680.030159</v>
      </c>
      <c r="AC907" s="198">
        <v>257337.34466868639</v>
      </c>
      <c r="AD907" s="197">
        <v>68752.332479410412</v>
      </c>
      <c r="AE907" s="195">
        <v>0</v>
      </c>
      <c r="AF907" s="195">
        <v>0</v>
      </c>
    </row>
    <row r="908" spans="27:32" x14ac:dyDescent="0.25">
      <c r="AA908" s="195">
        <v>906</v>
      </c>
      <c r="AB908" s="197">
        <v>16748880209.61758</v>
      </c>
      <c r="AC908" s="198">
        <v>476862.54714184254</v>
      </c>
      <c r="AD908" s="197">
        <v>35123.077519937069</v>
      </c>
      <c r="AE908" s="195">
        <v>0</v>
      </c>
      <c r="AF908" s="195">
        <v>0</v>
      </c>
    </row>
    <row r="909" spans="27:32" x14ac:dyDescent="0.25">
      <c r="AA909" s="195">
        <v>907</v>
      </c>
      <c r="AB909" s="197">
        <v>17784693481.448029</v>
      </c>
      <c r="AC909" s="198">
        <v>235854.27524963021</v>
      </c>
      <c r="AD909" s="197">
        <v>75405.431860942757</v>
      </c>
      <c r="AE909" s="195">
        <v>0</v>
      </c>
      <c r="AF909" s="195">
        <v>0</v>
      </c>
    </row>
    <row r="910" spans="27:32" x14ac:dyDescent="0.25">
      <c r="AA910" s="195">
        <v>908</v>
      </c>
      <c r="AB910" s="197">
        <v>16554778554.874743</v>
      </c>
      <c r="AC910" s="198">
        <v>521910.4438091591</v>
      </c>
      <c r="AD910" s="197">
        <v>31719.577086922858</v>
      </c>
      <c r="AE910" s="195">
        <v>0</v>
      </c>
      <c r="AF910" s="195">
        <v>0</v>
      </c>
    </row>
    <row r="911" spans="27:32" x14ac:dyDescent="0.25">
      <c r="AA911" s="195">
        <v>909</v>
      </c>
      <c r="AB911" s="197">
        <v>17660508492.963131</v>
      </c>
      <c r="AC911" s="198">
        <v>264803.54290346801</v>
      </c>
      <c r="AD911" s="197">
        <v>66692.87087069347</v>
      </c>
      <c r="AE911" s="195">
        <v>0</v>
      </c>
      <c r="AF911" s="195">
        <v>0</v>
      </c>
    </row>
    <row r="912" spans="27:32" x14ac:dyDescent="0.25">
      <c r="AA912" s="195">
        <v>910</v>
      </c>
      <c r="AB912" s="197">
        <v>17214038132.720821</v>
      </c>
      <c r="AC912" s="198">
        <v>368759.42782665044</v>
      </c>
      <c r="AD912" s="197">
        <v>46680.94381796509</v>
      </c>
      <c r="AE912" s="195">
        <v>0</v>
      </c>
      <c r="AF912" s="195">
        <v>0</v>
      </c>
    </row>
    <row r="913" spans="27:32" x14ac:dyDescent="0.25">
      <c r="AA913" s="195">
        <v>911</v>
      </c>
      <c r="AB913" s="197">
        <v>17159275871.215454</v>
      </c>
      <c r="AC913" s="198">
        <v>381497.03280742466</v>
      </c>
      <c r="AD913" s="197">
        <v>44978.792482187564</v>
      </c>
      <c r="AE913" s="195">
        <v>0</v>
      </c>
      <c r="AF913" s="195">
        <v>0</v>
      </c>
    </row>
    <row r="914" spans="27:32" x14ac:dyDescent="0.25">
      <c r="AA914" s="195">
        <v>912</v>
      </c>
      <c r="AB914" s="197">
        <v>18187167777.608311</v>
      </c>
      <c r="AC914" s="198">
        <v>141929.75849713385</v>
      </c>
      <c r="AD914" s="197">
        <v>128142.03286321793</v>
      </c>
      <c r="AE914" s="195">
        <v>0</v>
      </c>
      <c r="AF914" s="195">
        <v>0</v>
      </c>
    </row>
    <row r="915" spans="27:32" x14ac:dyDescent="0.25">
      <c r="AA915" s="195">
        <v>913</v>
      </c>
      <c r="AB915" s="197">
        <v>15422785766.223083</v>
      </c>
      <c r="AC915" s="198">
        <v>783907.33102923632</v>
      </c>
      <c r="AD915" s="197">
        <v>19674.246120359196</v>
      </c>
      <c r="AE915" s="195">
        <v>0</v>
      </c>
      <c r="AF915" s="195">
        <v>0</v>
      </c>
    </row>
    <row r="916" spans="27:32" x14ac:dyDescent="0.25">
      <c r="AA916" s="195">
        <v>914</v>
      </c>
      <c r="AB916" s="197">
        <v>17160732287.787024</v>
      </c>
      <c r="AC916" s="198">
        <v>381158.3102337867</v>
      </c>
      <c r="AD916" s="197">
        <v>45022.584650617595</v>
      </c>
      <c r="AE916" s="195">
        <v>0</v>
      </c>
      <c r="AF916" s="195">
        <v>0</v>
      </c>
    </row>
    <row r="917" spans="27:32" x14ac:dyDescent="0.25">
      <c r="AA917" s="195">
        <v>915</v>
      </c>
      <c r="AB917" s="197">
        <v>15216561448.871662</v>
      </c>
      <c r="AC917" s="198">
        <v>831505.10088399798</v>
      </c>
      <c r="AD917" s="197">
        <v>18300.021770996329</v>
      </c>
      <c r="AE917" s="195">
        <v>0</v>
      </c>
      <c r="AF917" s="195">
        <v>0</v>
      </c>
    </row>
    <row r="918" spans="27:32" x14ac:dyDescent="0.25">
      <c r="AA918" s="195">
        <v>916</v>
      </c>
      <c r="AB918" s="197">
        <v>16976547590.002567</v>
      </c>
      <c r="AC918" s="198">
        <v>423978.43781171739</v>
      </c>
      <c r="AD918" s="197">
        <v>40041.063591874459</v>
      </c>
      <c r="AE918" s="195">
        <v>0</v>
      </c>
      <c r="AF918" s="195">
        <v>0</v>
      </c>
    </row>
    <row r="919" spans="27:32" x14ac:dyDescent="0.25">
      <c r="AA919" s="195">
        <v>917</v>
      </c>
      <c r="AB919" s="197">
        <v>17132416026.675035</v>
      </c>
      <c r="AC919" s="198">
        <v>387743.53062278777</v>
      </c>
      <c r="AD919" s="197">
        <v>44184.917796454807</v>
      </c>
      <c r="AE919" s="195">
        <v>0</v>
      </c>
      <c r="AF919" s="195">
        <v>0</v>
      </c>
    </row>
    <row r="920" spans="27:32" x14ac:dyDescent="0.25">
      <c r="AA920" s="195">
        <v>918</v>
      </c>
      <c r="AB920" s="197">
        <v>18595746354.310757</v>
      </c>
      <c r="AC920" s="198">
        <v>46420.983132451773</v>
      </c>
      <c r="AD920" s="197">
        <v>400589.24002647685</v>
      </c>
      <c r="AE920" s="195">
        <v>0</v>
      </c>
      <c r="AF920" s="195">
        <v>0</v>
      </c>
    </row>
    <row r="921" spans="27:32" x14ac:dyDescent="0.25">
      <c r="AA921" s="195">
        <v>919</v>
      </c>
      <c r="AB921" s="197">
        <v>16589405850.599056</v>
      </c>
      <c r="AC921" s="198">
        <v>513876.65397040546</v>
      </c>
      <c r="AD921" s="197">
        <v>32282.855666672207</v>
      </c>
      <c r="AE921" s="195">
        <v>0</v>
      </c>
      <c r="AF921" s="195">
        <v>0</v>
      </c>
    </row>
    <row r="922" spans="27:32" x14ac:dyDescent="0.25">
      <c r="AA922" s="195">
        <v>920</v>
      </c>
      <c r="AB922" s="197">
        <v>17447628638.558025</v>
      </c>
      <c r="AC922" s="198">
        <v>314394.28756795824</v>
      </c>
      <c r="AD922" s="197">
        <v>55496.010355425475</v>
      </c>
      <c r="AE922" s="195">
        <v>0</v>
      </c>
      <c r="AF922" s="195">
        <v>0</v>
      </c>
    </row>
    <row r="923" spans="27:32" x14ac:dyDescent="0.25">
      <c r="AA923" s="195">
        <v>921</v>
      </c>
      <c r="AB923" s="197">
        <v>15986471419.165222</v>
      </c>
      <c r="AC923" s="198">
        <v>653597.39379793406</v>
      </c>
      <c r="AD923" s="197">
        <v>24459.20312850512</v>
      </c>
      <c r="AE923" s="195">
        <v>0</v>
      </c>
      <c r="AF923" s="195">
        <v>0</v>
      </c>
    </row>
    <row r="924" spans="27:32" x14ac:dyDescent="0.25">
      <c r="AA924" s="195">
        <v>922</v>
      </c>
      <c r="AB924" s="197">
        <v>19352143060.062851</v>
      </c>
      <c r="AC924" s="198">
        <v>-130818.45371255279</v>
      </c>
      <c r="AD924" s="197">
        <v>-147931.29341358284</v>
      </c>
      <c r="AE924" s="195">
        <v>0</v>
      </c>
      <c r="AF924" s="195">
        <v>0</v>
      </c>
    </row>
    <row r="925" spans="27:32" x14ac:dyDescent="0.25">
      <c r="AA925" s="195">
        <v>923</v>
      </c>
      <c r="AB925" s="197">
        <v>17877139387.265282</v>
      </c>
      <c r="AC925" s="198">
        <v>214294.19016043842</v>
      </c>
      <c r="AD925" s="197">
        <v>83423.350739844929</v>
      </c>
      <c r="AE925" s="195">
        <v>0</v>
      </c>
      <c r="AF925" s="195">
        <v>0</v>
      </c>
    </row>
    <row r="926" spans="27:32" x14ac:dyDescent="0.25">
      <c r="AA926" s="195">
        <v>924</v>
      </c>
      <c r="AB926" s="197">
        <v>17644660687.603195</v>
      </c>
      <c r="AC926" s="198">
        <v>268496.82073906064</v>
      </c>
      <c r="AD926" s="197">
        <v>65716.46039992111</v>
      </c>
      <c r="AE926" s="195">
        <v>0</v>
      </c>
      <c r="AF926" s="195">
        <v>0</v>
      </c>
    </row>
    <row r="927" spans="27:32" x14ac:dyDescent="0.25">
      <c r="AA927" s="195">
        <v>925</v>
      </c>
      <c r="AB927" s="197">
        <v>17920701730.933788</v>
      </c>
      <c r="AC927" s="198">
        <v>204131.796925053</v>
      </c>
      <c r="AD927" s="197">
        <v>87789.859301113072</v>
      </c>
      <c r="AE927" s="195">
        <v>0</v>
      </c>
      <c r="AF927" s="195">
        <v>0</v>
      </c>
    </row>
    <row r="928" spans="27:32" x14ac:dyDescent="0.25">
      <c r="AA928" s="195">
        <v>926</v>
      </c>
      <c r="AB928" s="197">
        <v>19306317025.817974</v>
      </c>
      <c r="AC928" s="198">
        <v>-120064.74007161707</v>
      </c>
      <c r="AD928" s="197">
        <v>-160799.2239378689</v>
      </c>
      <c r="AE928" s="195">
        <v>0</v>
      </c>
      <c r="AF928" s="195">
        <v>0</v>
      </c>
    </row>
    <row r="929" spans="27:32" x14ac:dyDescent="0.25">
      <c r="AA929" s="195">
        <v>927</v>
      </c>
      <c r="AB929" s="197">
        <v>17210360685.153507</v>
      </c>
      <c r="AC929" s="198">
        <v>369614.8859719187</v>
      </c>
      <c r="AD929" s="197">
        <v>46562.953328836047</v>
      </c>
      <c r="AE929" s="195">
        <v>0</v>
      </c>
      <c r="AF929" s="195">
        <v>0</v>
      </c>
    </row>
    <row r="930" spans="27:32" x14ac:dyDescent="0.25">
      <c r="AA930" s="195">
        <v>928</v>
      </c>
      <c r="AB930" s="197">
        <v>15607497515.748907</v>
      </c>
      <c r="AC930" s="198">
        <v>741240.18460255861</v>
      </c>
      <c r="AD930" s="197">
        <v>21055.924705589732</v>
      </c>
      <c r="AE930" s="195">
        <v>0</v>
      </c>
      <c r="AF930" s="195">
        <v>0</v>
      </c>
    </row>
    <row r="931" spans="27:32" x14ac:dyDescent="0.25">
      <c r="AA931" s="195">
        <v>929</v>
      </c>
      <c r="AB931" s="197">
        <v>17544574794.172657</v>
      </c>
      <c r="AC931" s="198">
        <v>291815.91630895436</v>
      </c>
      <c r="AD931" s="197">
        <v>60122.062621141209</v>
      </c>
      <c r="AE931" s="195">
        <v>0</v>
      </c>
      <c r="AF931" s="195">
        <v>0</v>
      </c>
    </row>
    <row r="932" spans="27:32" x14ac:dyDescent="0.25">
      <c r="AA932" s="195">
        <v>930</v>
      </c>
      <c r="AB932" s="197">
        <v>16137810126.468092</v>
      </c>
      <c r="AC932" s="198">
        <v>618559.79269982129</v>
      </c>
      <c r="AD932" s="197">
        <v>26089.329304822037</v>
      </c>
      <c r="AE932" s="195">
        <v>0</v>
      </c>
      <c r="AF932" s="195">
        <v>0</v>
      </c>
    </row>
    <row r="933" spans="27:32" x14ac:dyDescent="0.25">
      <c r="AA933" s="195">
        <v>931</v>
      </c>
      <c r="AB933" s="197">
        <v>17985544816.633793</v>
      </c>
      <c r="AC933" s="198">
        <v>189001.56314600259</v>
      </c>
      <c r="AD933" s="197">
        <v>95160.825747986353</v>
      </c>
      <c r="AE933" s="195">
        <v>0</v>
      </c>
      <c r="AF933" s="195">
        <v>0</v>
      </c>
    </row>
    <row r="934" spans="27:32" x14ac:dyDescent="0.25">
      <c r="AA934" s="195">
        <v>932</v>
      </c>
      <c r="AB934" s="197">
        <v>18231999778.834415</v>
      </c>
      <c r="AC934" s="198">
        <v>131457.75276833773</v>
      </c>
      <c r="AD934" s="197">
        <v>138690.94362934891</v>
      </c>
      <c r="AE934" s="195">
        <v>0</v>
      </c>
      <c r="AF934" s="195">
        <v>0</v>
      </c>
    </row>
    <row r="935" spans="27:32" x14ac:dyDescent="0.25">
      <c r="AA935" s="195">
        <v>933</v>
      </c>
      <c r="AB935" s="197">
        <v>17901019610.305496</v>
      </c>
      <c r="AC935" s="198">
        <v>208723.54509952664</v>
      </c>
      <c r="AD935" s="197">
        <v>85764.256264283307</v>
      </c>
      <c r="AE935" s="195">
        <v>0</v>
      </c>
      <c r="AF935" s="195">
        <v>0</v>
      </c>
    </row>
    <row r="936" spans="27:32" x14ac:dyDescent="0.25">
      <c r="AA936" s="195">
        <v>934</v>
      </c>
      <c r="AB936" s="197">
        <v>17951483988.340675</v>
      </c>
      <c r="AC936" s="198">
        <v>196949.68962343037</v>
      </c>
      <c r="AD936" s="197">
        <v>91147.561708089401</v>
      </c>
      <c r="AE936" s="195">
        <v>0</v>
      </c>
      <c r="AF936" s="195">
        <v>0</v>
      </c>
    </row>
    <row r="937" spans="27:32" x14ac:dyDescent="0.25">
      <c r="AA937" s="195">
        <v>935</v>
      </c>
      <c r="AB937" s="197">
        <v>16988128946.093794</v>
      </c>
      <c r="AC937" s="198">
        <v>421286.91066943109</v>
      </c>
      <c r="AD937" s="197">
        <v>40324.369250161151</v>
      </c>
      <c r="AE937" s="195">
        <v>0</v>
      </c>
      <c r="AF937" s="195">
        <v>0</v>
      </c>
    </row>
    <row r="938" spans="27:32" x14ac:dyDescent="0.25">
      <c r="AA938" s="195">
        <v>936</v>
      </c>
      <c r="AB938" s="197">
        <v>16165046360.25765</v>
      </c>
      <c r="AC938" s="198">
        <v>612251.78642508388</v>
      </c>
      <c r="AD938" s="197">
        <v>26402.611995049901</v>
      </c>
      <c r="AE938" s="195">
        <v>0</v>
      </c>
      <c r="AF938" s="195">
        <v>0</v>
      </c>
    </row>
    <row r="939" spans="27:32" x14ac:dyDescent="0.25">
      <c r="AA939" s="195">
        <v>937</v>
      </c>
      <c r="AB939" s="197">
        <v>17243419766.283867</v>
      </c>
      <c r="AC939" s="198">
        <v>361924.12277720869</v>
      </c>
      <c r="AD939" s="197">
        <v>47643.74265513791</v>
      </c>
      <c r="AE939" s="195">
        <v>0</v>
      </c>
      <c r="AF939" s="195">
        <v>0</v>
      </c>
    </row>
    <row r="940" spans="27:32" x14ac:dyDescent="0.25">
      <c r="AA940" s="195">
        <v>938</v>
      </c>
      <c r="AB940" s="197">
        <v>17716215862.843811</v>
      </c>
      <c r="AC940" s="198">
        <v>251819.20819357783</v>
      </c>
      <c r="AD940" s="197">
        <v>70352.917038898187</v>
      </c>
      <c r="AE940" s="195">
        <v>0</v>
      </c>
      <c r="AF940" s="195">
        <v>0</v>
      </c>
    </row>
    <row r="941" spans="27:32" x14ac:dyDescent="0.25">
      <c r="AA941" s="195">
        <v>939</v>
      </c>
      <c r="AB941" s="197">
        <v>15163064666.583609</v>
      </c>
      <c r="AC941" s="198">
        <v>843845.81304713339</v>
      </c>
      <c r="AD941" s="197">
        <v>17968.999113510643</v>
      </c>
      <c r="AE941" s="195">
        <v>0</v>
      </c>
      <c r="AF941" s="195">
        <v>0</v>
      </c>
    </row>
    <row r="942" spans="27:32" x14ac:dyDescent="0.25">
      <c r="AA942" s="195">
        <v>940</v>
      </c>
      <c r="AB942" s="197">
        <v>18045749913.722427</v>
      </c>
      <c r="AC942" s="198">
        <v>174949.91258459538</v>
      </c>
      <c r="AD942" s="197">
        <v>103148.09334355383</v>
      </c>
      <c r="AE942" s="195">
        <v>0</v>
      </c>
      <c r="AF942" s="195">
        <v>0</v>
      </c>
    </row>
    <row r="943" spans="27:32" x14ac:dyDescent="0.25">
      <c r="AA943" s="195">
        <v>941</v>
      </c>
      <c r="AB943" s="197">
        <v>17068983617.749229</v>
      </c>
      <c r="AC943" s="198">
        <v>402492.55201692879</v>
      </c>
      <c r="AD943" s="197">
        <v>42408.197449157546</v>
      </c>
      <c r="AE943" s="195">
        <v>0</v>
      </c>
      <c r="AF943" s="195">
        <v>0</v>
      </c>
    </row>
    <row r="944" spans="27:32" x14ac:dyDescent="0.25">
      <c r="AA944" s="195">
        <v>942</v>
      </c>
      <c r="AB944" s="197">
        <v>17965677853.962246</v>
      </c>
      <c r="AC944" s="198">
        <v>193637.6735137254</v>
      </c>
      <c r="AD944" s="197">
        <v>92779.868338424363</v>
      </c>
      <c r="AE944" s="195">
        <v>0</v>
      </c>
      <c r="AF944" s="195">
        <v>0</v>
      </c>
    </row>
    <row r="945" spans="27:32" x14ac:dyDescent="0.25">
      <c r="AA945" s="195">
        <v>943</v>
      </c>
      <c r="AB945" s="197">
        <v>18426482395.426563</v>
      </c>
      <c r="AC945" s="198">
        <v>86007.429348193109</v>
      </c>
      <c r="AD945" s="197">
        <v>214242.915235016</v>
      </c>
      <c r="AE945" s="195">
        <v>0</v>
      </c>
      <c r="AF945" s="195">
        <v>0</v>
      </c>
    </row>
    <row r="946" spans="27:32" x14ac:dyDescent="0.25">
      <c r="AA946" s="195">
        <v>944</v>
      </c>
      <c r="AB946" s="197">
        <v>17223360760.178009</v>
      </c>
      <c r="AC946" s="198">
        <v>366590.71384102106</v>
      </c>
      <c r="AD946" s="197">
        <v>46982.534226568656</v>
      </c>
      <c r="AE946" s="195">
        <v>0</v>
      </c>
      <c r="AF946" s="195">
        <v>0</v>
      </c>
    </row>
    <row r="947" spans="27:32" x14ac:dyDescent="0.25">
      <c r="AA947" s="195">
        <v>945</v>
      </c>
      <c r="AB947" s="197">
        <v>16450135341.70171</v>
      </c>
      <c r="AC947" s="198">
        <v>546181.44664870948</v>
      </c>
      <c r="AD947" s="197">
        <v>30118.444049385722</v>
      </c>
      <c r="AE947" s="195">
        <v>0</v>
      </c>
      <c r="AF947" s="195">
        <v>0</v>
      </c>
    </row>
    <row r="948" spans="27:32" x14ac:dyDescent="0.25">
      <c r="AA948" s="195">
        <v>946</v>
      </c>
      <c r="AB948" s="197">
        <v>17875725166.600235</v>
      </c>
      <c r="AC948" s="198">
        <v>214624.07442849129</v>
      </c>
      <c r="AD948" s="197">
        <v>83288.537011518201</v>
      </c>
      <c r="AE948" s="195">
        <v>0</v>
      </c>
      <c r="AF948" s="195">
        <v>0</v>
      </c>
    </row>
    <row r="949" spans="27:32" x14ac:dyDescent="0.25">
      <c r="AA949" s="195">
        <v>947</v>
      </c>
      <c r="AB949" s="197">
        <v>18165740793.250851</v>
      </c>
      <c r="AC949" s="198">
        <v>146934.05942082405</v>
      </c>
      <c r="AD949" s="197">
        <v>123631.9262181654</v>
      </c>
      <c r="AE949" s="195">
        <v>0</v>
      </c>
      <c r="AF949" s="195">
        <v>0</v>
      </c>
    </row>
    <row r="950" spans="27:32" x14ac:dyDescent="0.25">
      <c r="AA950" s="195">
        <v>948</v>
      </c>
      <c r="AB950" s="197">
        <v>18347868831.116505</v>
      </c>
      <c r="AC950" s="198">
        <v>104383.70416501909</v>
      </c>
      <c r="AD950" s="197">
        <v>175773.30655090141</v>
      </c>
      <c r="AE950" s="195">
        <v>0</v>
      </c>
      <c r="AF950" s="195">
        <v>0</v>
      </c>
    </row>
    <row r="951" spans="27:32" x14ac:dyDescent="0.25">
      <c r="AA951" s="195">
        <v>949</v>
      </c>
      <c r="AB951" s="197">
        <v>16035786448.61557</v>
      </c>
      <c r="AC951" s="198">
        <v>642182.50197989494</v>
      </c>
      <c r="AD951" s="197">
        <v>24970.76204844586</v>
      </c>
      <c r="AE951" s="195">
        <v>0</v>
      </c>
      <c r="AF951" s="195">
        <v>0</v>
      </c>
    </row>
    <row r="952" spans="27:32" x14ac:dyDescent="0.25">
      <c r="AA952" s="195">
        <v>950</v>
      </c>
      <c r="AB952" s="197">
        <v>17151814301.862015</v>
      </c>
      <c r="AC952" s="198">
        <v>383232.35731168836</v>
      </c>
      <c r="AD952" s="197">
        <v>44755.652738143399</v>
      </c>
      <c r="AE952" s="195">
        <v>0</v>
      </c>
      <c r="AF952" s="195">
        <v>0</v>
      </c>
    </row>
    <row r="953" spans="27:32" x14ac:dyDescent="0.25">
      <c r="AA953" s="195">
        <v>951</v>
      </c>
      <c r="AB953" s="197">
        <v>16483125863.676056</v>
      </c>
      <c r="AC953" s="198">
        <v>538530.74264588952</v>
      </c>
      <c r="AD953" s="197">
        <v>30607.585711247913</v>
      </c>
      <c r="AE953" s="195">
        <v>0</v>
      </c>
      <c r="AF953" s="195">
        <v>0</v>
      </c>
    </row>
    <row r="954" spans="27:32" x14ac:dyDescent="0.25">
      <c r="AA954" s="195">
        <v>952</v>
      </c>
      <c r="AB954" s="197">
        <v>15964963276.046114</v>
      </c>
      <c r="AC954" s="198">
        <v>658575.127542153</v>
      </c>
      <c r="AD954" s="197">
        <v>24241.673589508973</v>
      </c>
      <c r="AE954" s="195">
        <v>0</v>
      </c>
      <c r="AF954" s="195">
        <v>0</v>
      </c>
    </row>
    <row r="955" spans="27:32" x14ac:dyDescent="0.25">
      <c r="AA955" s="195">
        <v>953</v>
      </c>
      <c r="AB955" s="197">
        <v>16837768806.140724</v>
      </c>
      <c r="AC955" s="198">
        <v>456220.83559646457</v>
      </c>
      <c r="AD955" s="197">
        <v>36907.057925416695</v>
      </c>
      <c r="AE955" s="195">
        <v>0</v>
      </c>
      <c r="AF955" s="195">
        <v>0</v>
      </c>
    </row>
    <row r="956" spans="27:32" x14ac:dyDescent="0.25">
      <c r="AA956" s="195">
        <v>954</v>
      </c>
      <c r="AB956" s="197">
        <v>19994106721.745686</v>
      </c>
      <c r="AC956" s="198">
        <v>-281677.5232706964</v>
      </c>
      <c r="AD956" s="197">
        <v>-70982.258327126241</v>
      </c>
      <c r="AE956" s="195">
        <v>0</v>
      </c>
      <c r="AF956" s="195">
        <v>0</v>
      </c>
    </row>
    <row r="957" spans="27:32" x14ac:dyDescent="0.25">
      <c r="AA957" s="195">
        <v>955</v>
      </c>
      <c r="AB957" s="197">
        <v>17463339245.416</v>
      </c>
      <c r="AC957" s="198">
        <v>310735.96439918876</v>
      </c>
      <c r="AD957" s="197">
        <v>56199.929348962069</v>
      </c>
      <c r="AE957" s="195">
        <v>0</v>
      </c>
      <c r="AF957" s="195">
        <v>0</v>
      </c>
    </row>
    <row r="958" spans="27:32" x14ac:dyDescent="0.25">
      <c r="AA958" s="195">
        <v>956</v>
      </c>
      <c r="AB958" s="197">
        <v>17327221878.426598</v>
      </c>
      <c r="AC958" s="198">
        <v>342423.94554875791</v>
      </c>
      <c r="AD958" s="197">
        <v>50601.665285581978</v>
      </c>
      <c r="AE958" s="195">
        <v>0</v>
      </c>
      <c r="AF958" s="195">
        <v>0</v>
      </c>
    </row>
    <row r="959" spans="27:32" x14ac:dyDescent="0.25">
      <c r="AA959" s="195">
        <v>957</v>
      </c>
      <c r="AB959" s="197">
        <v>14897999800.633533</v>
      </c>
      <c r="AC959" s="198">
        <v>904950.9107709378</v>
      </c>
      <c r="AD959" s="197">
        <v>16462.771210365168</v>
      </c>
      <c r="AE959" s="195">
        <v>0</v>
      </c>
      <c r="AF959" s="195">
        <v>0</v>
      </c>
    </row>
    <row r="960" spans="27:32" x14ac:dyDescent="0.25">
      <c r="AA960" s="195">
        <v>958</v>
      </c>
      <c r="AB960" s="197">
        <v>17644374742.116467</v>
      </c>
      <c r="AC960" s="198">
        <v>268563.45715373755</v>
      </c>
      <c r="AD960" s="197">
        <v>65699.089999485863</v>
      </c>
      <c r="AE960" s="195">
        <v>0</v>
      </c>
      <c r="AF960" s="195">
        <v>0</v>
      </c>
    </row>
    <row r="961" spans="27:32" x14ac:dyDescent="0.25">
      <c r="AA961" s="195">
        <v>959</v>
      </c>
      <c r="AB961" s="197">
        <v>16490606554.765932</v>
      </c>
      <c r="AC961" s="198">
        <v>536795.77918876708</v>
      </c>
      <c r="AD961" s="197">
        <v>30720.447503680767</v>
      </c>
      <c r="AE961" s="195">
        <v>0</v>
      </c>
      <c r="AF961" s="195">
        <v>0</v>
      </c>
    </row>
    <row r="962" spans="27:32" x14ac:dyDescent="0.25">
      <c r="AA962" s="195">
        <v>960</v>
      </c>
      <c r="AB962" s="197">
        <v>17771147006.90612</v>
      </c>
      <c r="AC962" s="198">
        <v>239012.87070896477</v>
      </c>
      <c r="AD962" s="197">
        <v>74352.259584151208</v>
      </c>
      <c r="AE962" s="195">
        <v>0</v>
      </c>
      <c r="AF962" s="195">
        <v>0</v>
      </c>
    </row>
    <row r="963" spans="27:32" x14ac:dyDescent="0.25">
      <c r="AA963" s="195">
        <v>961</v>
      </c>
      <c r="AB963" s="197">
        <v>15944369081.051788</v>
      </c>
      <c r="AC963" s="198">
        <v>663340.92587772012</v>
      </c>
      <c r="AD963" s="197">
        <v>24036.462185646848</v>
      </c>
      <c r="AE963" s="195">
        <v>0</v>
      </c>
      <c r="AF963" s="195">
        <v>0</v>
      </c>
    </row>
    <row r="964" spans="27:32" x14ac:dyDescent="0.25">
      <c r="AA964" s="195">
        <v>962</v>
      </c>
      <c r="AB964" s="197">
        <v>16942635517.158432</v>
      </c>
      <c r="AC964" s="198">
        <v>431858.92036737502</v>
      </c>
      <c r="AD964" s="197">
        <v>39231.875777269161</v>
      </c>
      <c r="AE964" s="195">
        <v>0</v>
      </c>
      <c r="AF964" s="195">
        <v>0</v>
      </c>
    </row>
    <row r="965" spans="27:32" x14ac:dyDescent="0.25">
      <c r="AA965" s="195">
        <v>963</v>
      </c>
      <c r="AB965" s="197">
        <v>16065113931.308834</v>
      </c>
      <c r="AC965" s="198">
        <v>635392.99746203423</v>
      </c>
      <c r="AD965" s="197">
        <v>25283.744069384004</v>
      </c>
      <c r="AE965" s="195">
        <v>0</v>
      </c>
      <c r="AF965" s="195">
        <v>0</v>
      </c>
    </row>
    <row r="966" spans="27:32" x14ac:dyDescent="0.25">
      <c r="AA966" s="195">
        <v>964</v>
      </c>
      <c r="AB966" s="197">
        <v>17772579750.750465</v>
      </c>
      <c r="AC966" s="198">
        <v>238678.80999328941</v>
      </c>
      <c r="AD966" s="197">
        <v>74462.32764127721</v>
      </c>
      <c r="AE966" s="195">
        <v>0</v>
      </c>
      <c r="AF966" s="195">
        <v>0</v>
      </c>
    </row>
    <row r="967" spans="27:32" x14ac:dyDescent="0.25">
      <c r="AA967" s="195">
        <v>965</v>
      </c>
      <c r="AB967" s="197">
        <v>17856943688.641556</v>
      </c>
      <c r="AC967" s="198">
        <v>219004.90119151771</v>
      </c>
      <c r="AD967" s="197">
        <v>81536.730874464891</v>
      </c>
      <c r="AE967" s="195">
        <v>0</v>
      </c>
      <c r="AF967" s="195">
        <v>0</v>
      </c>
    </row>
    <row r="968" spans="27:32" x14ac:dyDescent="0.25">
      <c r="AA968" s="195">
        <v>966</v>
      </c>
      <c r="AB968" s="197">
        <v>16413477615.438095</v>
      </c>
      <c r="AC968" s="198">
        <v>554681.37167518586</v>
      </c>
      <c r="AD968" s="197">
        <v>29590.821782725405</v>
      </c>
      <c r="AE968" s="195">
        <v>0</v>
      </c>
      <c r="AF968" s="195">
        <v>0</v>
      </c>
    </row>
    <row r="969" spans="27:32" x14ac:dyDescent="0.25">
      <c r="AA969" s="195">
        <v>967</v>
      </c>
      <c r="AB969" s="197">
        <v>15675319742.622129</v>
      </c>
      <c r="AC969" s="198">
        <v>725565.50581984222</v>
      </c>
      <c r="AD969" s="197">
        <v>21604.279168302011</v>
      </c>
      <c r="AE969" s="195">
        <v>0</v>
      </c>
      <c r="AF969" s="195">
        <v>0</v>
      </c>
    </row>
    <row r="970" spans="27:32" x14ac:dyDescent="0.25">
      <c r="AA970" s="195">
        <v>968</v>
      </c>
      <c r="AB970" s="197">
        <v>17037372880.424585</v>
      </c>
      <c r="AC970" s="198">
        <v>409841.09525831789</v>
      </c>
      <c r="AD970" s="197">
        <v>41570.679654967578</v>
      </c>
      <c r="AE970" s="195">
        <v>0</v>
      </c>
      <c r="AF970" s="195">
        <v>0</v>
      </c>
    </row>
    <row r="971" spans="27:32" x14ac:dyDescent="0.25">
      <c r="AA971" s="195">
        <v>969</v>
      </c>
      <c r="AB971" s="197">
        <v>18010098819.483147</v>
      </c>
      <c r="AC971" s="198">
        <v>183271.16999553889</v>
      </c>
      <c r="AD971" s="197">
        <v>98270.223406777732</v>
      </c>
      <c r="AE971" s="195">
        <v>0</v>
      </c>
      <c r="AF971" s="195">
        <v>0</v>
      </c>
    </row>
    <row r="972" spans="27:32" x14ac:dyDescent="0.25">
      <c r="AA972" s="195">
        <v>970</v>
      </c>
      <c r="AB972" s="197">
        <v>16953108566.784891</v>
      </c>
      <c r="AC972" s="198">
        <v>429425.3126302138</v>
      </c>
      <c r="AD972" s="197">
        <v>39478.596319690012</v>
      </c>
      <c r="AE972" s="195">
        <v>0</v>
      </c>
      <c r="AF972" s="195">
        <v>0</v>
      </c>
    </row>
    <row r="973" spans="27:32" x14ac:dyDescent="0.25">
      <c r="AA973" s="195">
        <v>971</v>
      </c>
      <c r="AB973" s="197">
        <v>16552661350.540819</v>
      </c>
      <c r="AC973" s="198">
        <v>522401.61357335746</v>
      </c>
      <c r="AD973" s="197">
        <v>31685.701040080032</v>
      </c>
      <c r="AE973" s="195">
        <v>0</v>
      </c>
      <c r="AF973" s="195">
        <v>0</v>
      </c>
    </row>
    <row r="974" spans="27:32" x14ac:dyDescent="0.25">
      <c r="AA974" s="195">
        <v>972</v>
      </c>
      <c r="AB974" s="197">
        <v>17154018128.575533</v>
      </c>
      <c r="AC974" s="198">
        <v>382719.82265088707</v>
      </c>
      <c r="AD974" s="197">
        <v>44821.347401760388</v>
      </c>
      <c r="AE974" s="195">
        <v>0</v>
      </c>
      <c r="AF974" s="195">
        <v>0</v>
      </c>
    </row>
    <row r="975" spans="27:32" x14ac:dyDescent="0.25">
      <c r="AA975" s="195">
        <v>973</v>
      </c>
      <c r="AB975" s="197">
        <v>17747014707.812729</v>
      </c>
      <c r="AC975" s="198">
        <v>244639.29687321931</v>
      </c>
      <c r="AD975" s="197">
        <v>72543.597593030427</v>
      </c>
      <c r="AE975" s="195">
        <v>0</v>
      </c>
      <c r="AF975" s="195">
        <v>0</v>
      </c>
    </row>
    <row r="976" spans="27:32" x14ac:dyDescent="0.25">
      <c r="AA976" s="195">
        <v>974</v>
      </c>
      <c r="AB976" s="197">
        <v>16577775486.314793</v>
      </c>
      <c r="AC976" s="198">
        <v>516575.11335878819</v>
      </c>
      <c r="AD976" s="197">
        <v>32091.703718604556</v>
      </c>
      <c r="AE976" s="195">
        <v>0</v>
      </c>
      <c r="AF976" s="195">
        <v>0</v>
      </c>
    </row>
    <row r="977" spans="27:32" x14ac:dyDescent="0.25">
      <c r="AA977" s="195">
        <v>975</v>
      </c>
      <c r="AB977" s="197">
        <v>17559085063.89307</v>
      </c>
      <c r="AC977" s="198">
        <v>288435.75422573835</v>
      </c>
      <c r="AD977" s="197">
        <v>60876.936394476295</v>
      </c>
      <c r="AE977" s="195">
        <v>0</v>
      </c>
      <c r="AF977" s="195">
        <v>0</v>
      </c>
    </row>
    <row r="978" spans="27:32" x14ac:dyDescent="0.25">
      <c r="AA978" s="195">
        <v>976</v>
      </c>
      <c r="AB978" s="197">
        <v>15416332472.053005</v>
      </c>
      <c r="AC978" s="198">
        <v>785397.40646567941</v>
      </c>
      <c r="AD978" s="197">
        <v>19628.703055472433</v>
      </c>
      <c r="AE978" s="195">
        <v>0</v>
      </c>
      <c r="AF978" s="195">
        <v>0</v>
      </c>
    </row>
    <row r="979" spans="27:32" x14ac:dyDescent="0.25">
      <c r="AA979" s="195">
        <v>977</v>
      </c>
      <c r="AB979" s="197">
        <v>16944482243.081137</v>
      </c>
      <c r="AC979" s="198">
        <v>431429.80693351477</v>
      </c>
      <c r="AD979" s="197">
        <v>39275.177492992167</v>
      </c>
      <c r="AE979" s="195">
        <v>0</v>
      </c>
      <c r="AF979" s="195">
        <v>0</v>
      </c>
    </row>
    <row r="980" spans="27:32" x14ac:dyDescent="0.25">
      <c r="AA980" s="195">
        <v>978</v>
      </c>
      <c r="AB980" s="197">
        <v>17894125179.766846</v>
      </c>
      <c r="AC980" s="198">
        <v>210331.89575856179</v>
      </c>
      <c r="AD980" s="197">
        <v>85075.661564460781</v>
      </c>
      <c r="AE980" s="195">
        <v>0</v>
      </c>
      <c r="AF980" s="195">
        <v>0</v>
      </c>
    </row>
    <row r="981" spans="27:32" x14ac:dyDescent="0.25">
      <c r="AA981" s="195">
        <v>979</v>
      </c>
      <c r="AB981" s="197">
        <v>16642084479.139132</v>
      </c>
      <c r="AC981" s="198">
        <v>501652.61148546636</v>
      </c>
      <c r="AD981" s="197">
        <v>33174.519773473316</v>
      </c>
      <c r="AE981" s="195">
        <v>0</v>
      </c>
      <c r="AF981" s="195">
        <v>0</v>
      </c>
    </row>
    <row r="982" spans="27:32" x14ac:dyDescent="0.25">
      <c r="AA982" s="195">
        <v>980</v>
      </c>
      <c r="AB982" s="197">
        <v>16847552035.424122</v>
      </c>
      <c r="AC982" s="198">
        <v>453948.50997578353</v>
      </c>
      <c r="AD982" s="197">
        <v>37113.354632054805</v>
      </c>
      <c r="AE982" s="195">
        <v>0</v>
      </c>
      <c r="AF982" s="195">
        <v>0</v>
      </c>
    </row>
    <row r="983" spans="27:32" x14ac:dyDescent="0.25">
      <c r="AA983" s="195">
        <v>981</v>
      </c>
      <c r="AB983" s="197">
        <v>17712609174.570446</v>
      </c>
      <c r="AC983" s="198">
        <v>252659.94951777905</v>
      </c>
      <c r="AD983" s="197">
        <v>70104.538564091083</v>
      </c>
      <c r="AE983" s="195">
        <v>0</v>
      </c>
      <c r="AF983" s="195">
        <v>0</v>
      </c>
    </row>
    <row r="984" spans="27:32" x14ac:dyDescent="0.25">
      <c r="AA984" s="195">
        <v>982</v>
      </c>
      <c r="AB984" s="197">
        <v>18614963442.345577</v>
      </c>
      <c r="AC984" s="198">
        <v>41924.858052968979</v>
      </c>
      <c r="AD984" s="197">
        <v>444007.78695128649</v>
      </c>
      <c r="AE984" s="195">
        <v>0</v>
      </c>
      <c r="AF984" s="195">
        <v>0</v>
      </c>
    </row>
    <row r="985" spans="27:32" x14ac:dyDescent="0.25">
      <c r="AA985" s="195">
        <v>983</v>
      </c>
      <c r="AB985" s="197">
        <v>15456449221.015579</v>
      </c>
      <c r="AC985" s="198">
        <v>776133.74098490924</v>
      </c>
      <c r="AD985" s="197">
        <v>19914.672439573926</v>
      </c>
      <c r="AE985" s="195">
        <v>0</v>
      </c>
      <c r="AF985" s="195">
        <v>0</v>
      </c>
    </row>
    <row r="986" spans="27:32" x14ac:dyDescent="0.25">
      <c r="AA986" s="195">
        <v>984</v>
      </c>
      <c r="AB986" s="197">
        <v>17897297491.167019</v>
      </c>
      <c r="AC986" s="198">
        <v>209591.85640509427</v>
      </c>
      <c r="AD986" s="197">
        <v>85391.18741605847</v>
      </c>
      <c r="AE986" s="195">
        <v>0</v>
      </c>
      <c r="AF986" s="195">
        <v>0</v>
      </c>
    </row>
    <row r="987" spans="27:32" x14ac:dyDescent="0.25">
      <c r="AA987" s="195">
        <v>985</v>
      </c>
      <c r="AB987" s="197">
        <v>18179878846.281067</v>
      </c>
      <c r="AC987" s="198">
        <v>143632.14784784615</v>
      </c>
      <c r="AD987" s="197">
        <v>126572.49173450751</v>
      </c>
      <c r="AE987" s="195">
        <v>0</v>
      </c>
      <c r="AF987" s="195">
        <v>0</v>
      </c>
    </row>
    <row r="988" spans="27:32" x14ac:dyDescent="0.25">
      <c r="AA988" s="195">
        <v>986</v>
      </c>
      <c r="AB988" s="197">
        <v>18515057164.110825</v>
      </c>
      <c r="AC988" s="198">
        <v>65295.537172958255</v>
      </c>
      <c r="AD988" s="197">
        <v>283557.77386542002</v>
      </c>
      <c r="AE988" s="195">
        <v>0</v>
      </c>
      <c r="AF988" s="195">
        <v>0</v>
      </c>
    </row>
    <row r="989" spans="27:32" x14ac:dyDescent="0.25">
      <c r="AA989" s="195">
        <v>987</v>
      </c>
      <c r="AB989" s="197">
        <v>17233823704.924927</v>
      </c>
      <c r="AC989" s="198">
        <v>364156.62934894115</v>
      </c>
      <c r="AD989" s="197">
        <v>47325.305420737459</v>
      </c>
      <c r="AE989" s="195">
        <v>0</v>
      </c>
      <c r="AF989" s="195">
        <v>0</v>
      </c>
    </row>
    <row r="990" spans="27:32" x14ac:dyDescent="0.25">
      <c r="AA990" s="195">
        <v>988</v>
      </c>
      <c r="AB990" s="197">
        <v>18737709803.704269</v>
      </c>
      <c r="AC990" s="198">
        <v>13198.10487588495</v>
      </c>
      <c r="AD990" s="197">
        <v>1419727.3002384657</v>
      </c>
      <c r="AE990" s="195">
        <v>0</v>
      </c>
      <c r="AF990" s="195">
        <v>0</v>
      </c>
    </row>
    <row r="991" spans="27:32" x14ac:dyDescent="0.25">
      <c r="AA991" s="195">
        <v>989</v>
      </c>
      <c r="AB991" s="197">
        <v>16904297542.114498</v>
      </c>
      <c r="AC991" s="198">
        <v>440766.56185719371</v>
      </c>
      <c r="AD991" s="197">
        <v>38352.041658712333</v>
      </c>
      <c r="AE991" s="195">
        <v>0</v>
      </c>
      <c r="AF991" s="195">
        <v>0</v>
      </c>
    </row>
    <row r="992" spans="27:32" x14ac:dyDescent="0.25">
      <c r="AA992" s="195">
        <v>990</v>
      </c>
      <c r="AB992" s="197">
        <v>18166767818.879181</v>
      </c>
      <c r="AC992" s="198">
        <v>146694.20630608499</v>
      </c>
      <c r="AD992" s="197">
        <v>123841.07236637067</v>
      </c>
      <c r="AE992" s="195">
        <v>0</v>
      </c>
      <c r="AF992" s="195">
        <v>0</v>
      </c>
    </row>
    <row r="993" spans="27:32" x14ac:dyDescent="0.25">
      <c r="AA993" s="195">
        <v>991</v>
      </c>
      <c r="AB993" s="197">
        <v>16220904487.086166</v>
      </c>
      <c r="AC993" s="198">
        <v>599312.62267980725</v>
      </c>
      <c r="AD993" s="197">
        <v>27065.848228850762</v>
      </c>
      <c r="AE993" s="195">
        <v>0</v>
      </c>
      <c r="AF993" s="195">
        <v>0</v>
      </c>
    </row>
    <row r="994" spans="27:32" x14ac:dyDescent="0.25">
      <c r="AA994" s="195">
        <v>992</v>
      </c>
      <c r="AB994" s="197">
        <v>17304559853.901466</v>
      </c>
      <c r="AC994" s="198">
        <v>347697.90992343426</v>
      </c>
      <c r="AD994" s="197">
        <v>49768.949884432906</v>
      </c>
      <c r="AE994" s="195">
        <v>0</v>
      </c>
      <c r="AF994" s="195">
        <v>0</v>
      </c>
    </row>
    <row r="995" spans="27:32" x14ac:dyDescent="0.25">
      <c r="AA995" s="195">
        <v>993</v>
      </c>
      <c r="AB995" s="197">
        <v>18251727875.194855</v>
      </c>
      <c r="AC995" s="198">
        <v>126848.98547483236</v>
      </c>
      <c r="AD995" s="197">
        <v>143885.48561798403</v>
      </c>
      <c r="AE995" s="195">
        <v>0</v>
      </c>
      <c r="AF995" s="195">
        <v>0</v>
      </c>
    </row>
    <row r="996" spans="27:32" x14ac:dyDescent="0.25">
      <c r="AA996" s="195">
        <v>994</v>
      </c>
      <c r="AB996" s="197">
        <v>17115743592.39633</v>
      </c>
      <c r="AC996" s="198">
        <v>391620.50573929399</v>
      </c>
      <c r="AD996" s="197">
        <v>43704.921835197427</v>
      </c>
      <c r="AE996" s="195">
        <v>0</v>
      </c>
      <c r="AF996" s="195">
        <v>0</v>
      </c>
    </row>
    <row r="997" spans="27:32" x14ac:dyDescent="0.25">
      <c r="AA997" s="195">
        <v>995</v>
      </c>
      <c r="AB997" s="197">
        <v>17754317317.338268</v>
      </c>
      <c r="AC997" s="198">
        <v>242936.75850583613</v>
      </c>
      <c r="AD997" s="197">
        <v>73082.054056104287</v>
      </c>
      <c r="AE997" s="195">
        <v>0</v>
      </c>
      <c r="AF997" s="195">
        <v>0</v>
      </c>
    </row>
    <row r="998" spans="27:32" x14ac:dyDescent="0.25">
      <c r="AA998" s="195">
        <v>996</v>
      </c>
      <c r="AB998" s="197">
        <v>17234257203.247272</v>
      </c>
      <c r="AC998" s="198">
        <v>364055.7786474824</v>
      </c>
      <c r="AD998" s="197">
        <v>47339.606219890047</v>
      </c>
      <c r="AE998" s="195">
        <v>0</v>
      </c>
      <c r="AF998" s="195">
        <v>0</v>
      </c>
    </row>
    <row r="999" spans="27:32" x14ac:dyDescent="0.25">
      <c r="AA999" s="195">
        <v>997</v>
      </c>
      <c r="AB999" s="197">
        <v>17750610189.509151</v>
      </c>
      <c r="AC999" s="198">
        <v>243801.04875861108</v>
      </c>
      <c r="AD999" s="197">
        <v>72807.767972664224</v>
      </c>
      <c r="AE999" s="195">
        <v>0</v>
      </c>
      <c r="AF999" s="195">
        <v>0</v>
      </c>
    </row>
    <row r="1000" spans="27:32" x14ac:dyDescent="0.25">
      <c r="AA1000" s="195">
        <v>998</v>
      </c>
      <c r="AB1000" s="197">
        <v>17068672562.669722</v>
      </c>
      <c r="AC1000" s="198">
        <v>402564.86762485653</v>
      </c>
      <c r="AD1000" s="197">
        <v>42399.806678052519</v>
      </c>
      <c r="AE1000" s="195">
        <v>0</v>
      </c>
      <c r="AF1000" s="195">
        <v>0</v>
      </c>
    </row>
    <row r="1001" spans="27:32" x14ac:dyDescent="0.25">
      <c r="AA1001" s="195">
        <v>999</v>
      </c>
      <c r="AB1001" s="197">
        <v>19838055843.093616</v>
      </c>
      <c r="AC1001" s="198">
        <v>-244969.48568833619</v>
      </c>
      <c r="AD1001" s="197">
        <v>-80981.742633581292</v>
      </c>
      <c r="AE1001" s="195">
        <v>0</v>
      </c>
      <c r="AF1001" s="195">
        <v>0</v>
      </c>
    </row>
    <row r="1002" spans="27:32" x14ac:dyDescent="0.25">
      <c r="AA1002" s="195">
        <v>1000</v>
      </c>
      <c r="AB1002" s="197">
        <v>17434549476.972485</v>
      </c>
      <c r="AC1002" s="198">
        <v>317439.67934749275</v>
      </c>
      <c r="AD1002" s="197">
        <v>54922.401360818374</v>
      </c>
      <c r="AE1002" s="195">
        <v>0</v>
      </c>
      <c r="AF1002" s="195">
        <v>0</v>
      </c>
    </row>
    <row r="1003" spans="27:32" x14ac:dyDescent="0.25">
      <c r="AA1003" s="195"/>
      <c r="AB1003" s="195"/>
      <c r="AC1003" s="195"/>
      <c r="AD1003" s="195"/>
      <c r="AE1003" s="195"/>
      <c r="AF1003" s="19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psa">
                <anchor moveWithCells="1" sizeWithCells="1">
                  <from>
                    <xdr:col>10</xdr:col>
                    <xdr:colOff>409575</xdr:colOff>
                    <xdr:row>1</xdr:row>
                    <xdr:rowOff>180975</xdr:rowOff>
                  </from>
                  <to>
                    <xdr:col>12</xdr:col>
                    <xdr:colOff>333375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50</vt:i4>
      </vt:variant>
    </vt:vector>
  </HeadingPairs>
  <TitlesOfParts>
    <vt:vector size="65" baseType="lpstr">
      <vt:lpstr>Interface</vt:lpstr>
      <vt:lpstr>cells</vt:lpstr>
      <vt:lpstr>simulation</vt:lpstr>
      <vt:lpstr>model parameters</vt:lpstr>
      <vt:lpstr>costtable</vt:lpstr>
      <vt:lpstr>utiltable</vt:lpstr>
      <vt:lpstr>lifetable</vt:lpstr>
      <vt:lpstr>Results</vt:lpstr>
      <vt:lpstr>population sizes</vt:lpstr>
      <vt:lpstr>pop 2014</vt:lpstr>
      <vt:lpstr>Calc QOF Rates</vt:lpstr>
      <vt:lpstr>CVD prev and nonfatal effects</vt:lpstr>
      <vt:lpstr>2way</vt:lpstr>
      <vt:lpstr>2way_base</vt:lpstr>
      <vt:lpstr>PSA</vt:lpstr>
      <vt:lpstr>Age</vt:lpstr>
      <vt:lpstr>Ageyr</vt:lpstr>
      <vt:lpstr>cCVDacute</vt:lpstr>
      <vt:lpstr>cCVDchronic</vt:lpstr>
      <vt:lpstr>CostMult</vt:lpstr>
      <vt:lpstr>delta_40_74</vt:lpstr>
      <vt:lpstr>delta_CVD</vt:lpstr>
      <vt:lpstr>delta_death</vt:lpstr>
      <vt:lpstr>delta_prevalence</vt:lpstr>
      <vt:lpstr>DiscRate</vt:lpstr>
      <vt:lpstr>fCVDmort</vt:lpstr>
      <vt:lpstr>GUI_cCVDacute</vt:lpstr>
      <vt:lpstr>GUI_cCVDchronic</vt:lpstr>
      <vt:lpstr>GUI_costmult</vt:lpstr>
      <vt:lpstr>GUI_mortLCL</vt:lpstr>
      <vt:lpstr>GUI_mortUCL</vt:lpstr>
      <vt:lpstr>GUI_nfCVD</vt:lpstr>
      <vt:lpstr>GUI_QOFcost</vt:lpstr>
      <vt:lpstr>GUI_QOFeffect</vt:lpstr>
      <vt:lpstr>ICER</vt:lpstr>
      <vt:lpstr>incr_cost</vt:lpstr>
      <vt:lpstr>incr_lys</vt:lpstr>
      <vt:lpstr>LifeTable</vt:lpstr>
      <vt:lpstr>LifeTableQOF</vt:lpstr>
      <vt:lpstr>maxCells</vt:lpstr>
      <vt:lpstr>maxtime</vt:lpstr>
      <vt:lpstr>mCVDmort</vt:lpstr>
      <vt:lpstr>mortLCL</vt:lpstr>
      <vt:lpstr>mortUCL</vt:lpstr>
      <vt:lpstr>NFCVDMult</vt:lpstr>
      <vt:lpstr>NMB</vt:lpstr>
      <vt:lpstr>nonfatal_fatal</vt:lpstr>
      <vt:lpstr>NonQOF_Ending</vt:lpstr>
      <vt:lpstr>numCells</vt:lpstr>
      <vt:lpstr>numInputs</vt:lpstr>
      <vt:lpstr>numOutputs</vt:lpstr>
      <vt:lpstr>over40</vt:lpstr>
      <vt:lpstr>pCVD</vt:lpstr>
      <vt:lpstr>pMale</vt:lpstr>
      <vt:lpstr>popsize</vt:lpstr>
      <vt:lpstr>PrimaryPrev</vt:lpstr>
      <vt:lpstr>PSAprobCETable</vt:lpstr>
      <vt:lpstr>QOF_Ending</vt:lpstr>
      <vt:lpstr>QOFcost</vt:lpstr>
      <vt:lpstr>QOFrate</vt:lpstr>
      <vt:lpstr>TableCostAge</vt:lpstr>
      <vt:lpstr>TableUtil</vt:lpstr>
      <vt:lpstr>uCVD</vt:lpstr>
      <vt:lpstr>util</vt:lpstr>
      <vt:lpstr>WTP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masterit</dc:creator>
  <cp:lastModifiedBy>masterit</cp:lastModifiedBy>
  <dcterms:created xsi:type="dcterms:W3CDTF">2016-08-14T18:55:01Z</dcterms:created>
  <dcterms:modified xsi:type="dcterms:W3CDTF">2017-12-31T22:12:57Z</dcterms:modified>
</cp:coreProperties>
</file>