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-my.sharepoint.com/personal/1545604_uab_cat/Documents/UAB/Doctorat/B-alanine pathway/Manuscript 1_B-ala/Additional files/"/>
    </mc:Choice>
  </mc:AlternateContent>
  <xr:revisionPtr revIDLastSave="1732" documentId="13_ncr:1_{B438D613-4442-4B19-867E-AE50CD7413F1}" xr6:coauthVersionLast="47" xr6:coauthVersionMax="47" xr10:uidLastSave="{FCE58246-1F41-4755-A80B-F902040B908B}"/>
  <bookViews>
    <workbookView xWindow="-108" yWindow="-108" windowWidth="23256" windowHeight="12576" activeTab="8" xr2:uid="{4A956EF7-83DD-4D63-883A-9B6EE48FA0CC}"/>
  </bookViews>
  <sheets>
    <sheet name="IR_3HP" sheetId="12" r:id="rId1"/>
    <sheet name="UV_3HP" sheetId="16" r:id="rId2"/>
    <sheet name="Raw DCW" sheetId="1" r:id="rId3"/>
    <sheet name="Raw DO600" sheetId="2" r:id="rId4"/>
    <sheet name="PpCB20" sheetId="17" r:id="rId5"/>
    <sheet name="PpCB21" sheetId="18" r:id="rId6"/>
    <sheet name="PpCB21P" sheetId="19" r:id="rId7"/>
    <sheet name="Process calc" sheetId="10" r:id="rId8"/>
    <sheet name="Process metrics" sheetId="2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20" l="1"/>
  <c r="G51" i="20"/>
  <c r="H51" i="20" s="1"/>
  <c r="F51" i="20"/>
  <c r="D51" i="20" l="1"/>
  <c r="J34" i="20" l="1"/>
  <c r="G34" i="20"/>
  <c r="H34" i="20"/>
  <c r="F34" i="20"/>
  <c r="D34" i="20" l="1"/>
  <c r="J17" i="20" l="1"/>
  <c r="H17" i="20" l="1"/>
  <c r="G17" i="20"/>
  <c r="F17" i="20"/>
  <c r="D17" i="20" l="1"/>
  <c r="G50" i="20" l="1"/>
  <c r="J50" i="20" s="1"/>
  <c r="G47" i="20"/>
  <c r="J47" i="20" s="1"/>
  <c r="F50" i="20"/>
  <c r="D50" i="20" l="1"/>
  <c r="H50" i="20" s="1"/>
  <c r="G33" i="20" l="1"/>
  <c r="J33" i="20" s="1"/>
  <c r="G30" i="20"/>
  <c r="J30" i="20" s="1"/>
  <c r="F33" i="20"/>
  <c r="D33" i="20" l="1"/>
  <c r="H33" i="20" l="1"/>
  <c r="G16" i="20" l="1"/>
  <c r="J16" i="20" s="1"/>
  <c r="G13" i="20"/>
  <c r="J13" i="20" s="1"/>
  <c r="F16" i="20"/>
  <c r="D16" i="20" l="1"/>
  <c r="H16" i="20" s="1"/>
  <c r="D52" i="20" l="1"/>
  <c r="F52" i="20" l="1"/>
  <c r="F49" i="20"/>
  <c r="F48" i="20"/>
  <c r="F47" i="20" s="1"/>
  <c r="F46" i="20" l="1"/>
  <c r="F44" i="20"/>
  <c r="F45" i="20"/>
  <c r="D49" i="20"/>
  <c r="D48" i="20"/>
  <c r="D47" i="20" s="1"/>
  <c r="H47" i="20" s="1"/>
  <c r="G52" i="20" l="1"/>
  <c r="J52" i="20" s="1"/>
  <c r="G49" i="20"/>
  <c r="J49" i="20" s="1"/>
  <c r="G48" i="20"/>
  <c r="J48" i="20" s="1"/>
  <c r="G46" i="20"/>
  <c r="D46" i="20"/>
  <c r="H52" i="20" l="1"/>
  <c r="H48" i="20"/>
  <c r="H46" i="20"/>
  <c r="J46" i="20"/>
  <c r="H49" i="20"/>
  <c r="E18" i="19" l="1"/>
  <c r="D25" i="19"/>
  <c r="I25" i="19" s="1"/>
  <c r="D24" i="19"/>
  <c r="I24" i="19" s="1"/>
  <c r="D23" i="19"/>
  <c r="I23" i="19" s="1"/>
  <c r="D22" i="19"/>
  <c r="I22" i="19" s="1"/>
  <c r="D21" i="19"/>
  <c r="I21" i="19" s="1"/>
  <c r="D20" i="19"/>
  <c r="I20" i="19" s="1"/>
  <c r="D19" i="19"/>
  <c r="I19" i="19" s="1"/>
  <c r="D18" i="19"/>
  <c r="I18" i="19" s="1"/>
  <c r="E4" i="19"/>
  <c r="D11" i="19"/>
  <c r="C43" i="20" s="1"/>
  <c r="D10" i="19"/>
  <c r="I10" i="19" s="1"/>
  <c r="D9" i="19"/>
  <c r="I9" i="19" s="1"/>
  <c r="D8" i="19"/>
  <c r="I8" i="19" s="1"/>
  <c r="D7" i="19"/>
  <c r="I7" i="19" s="1"/>
  <c r="D6" i="19"/>
  <c r="I6" i="19" s="1"/>
  <c r="D5" i="19"/>
  <c r="I5" i="19" s="1"/>
  <c r="D4" i="19"/>
  <c r="I4" i="19" s="1"/>
  <c r="AA4" i="19"/>
  <c r="AA3" i="19"/>
  <c r="E43" i="20" l="1"/>
  <c r="E42" i="20"/>
  <c r="H43" i="20"/>
  <c r="G43" i="20"/>
  <c r="J43" i="20" s="1"/>
  <c r="I11" i="19"/>
  <c r="P91" i="1"/>
  <c r="G129" i="2"/>
  <c r="G105" i="2"/>
  <c r="G108" i="2"/>
  <c r="G111" i="2"/>
  <c r="F129" i="2"/>
  <c r="H42" i="20" l="1"/>
  <c r="G42" i="20"/>
  <c r="J42" i="20" s="1"/>
  <c r="Q91" i="1"/>
  <c r="F35" i="20" l="1"/>
  <c r="F32" i="20"/>
  <c r="F31" i="20"/>
  <c r="F30" i="20" s="1"/>
  <c r="F29" i="20" l="1"/>
  <c r="F27" i="20"/>
  <c r="F28" i="20"/>
  <c r="D35" i="20" l="1"/>
  <c r="D32" i="20"/>
  <c r="D31" i="20"/>
  <c r="D30" i="20" s="1"/>
  <c r="H30" i="20" s="1"/>
  <c r="G35" i="20"/>
  <c r="J35" i="20" s="1"/>
  <c r="G32" i="20"/>
  <c r="J32" i="20" s="1"/>
  <c r="G31" i="20"/>
  <c r="J31" i="20" s="1"/>
  <c r="G29" i="20"/>
  <c r="J29" i="20" s="1"/>
  <c r="G28" i="20"/>
  <c r="J28" i="20" s="1"/>
  <c r="G27" i="20"/>
  <c r="J27" i="20" s="1"/>
  <c r="D27" i="20" l="1"/>
  <c r="H27" i="20" s="1"/>
  <c r="D28" i="20"/>
  <c r="H28" i="20" s="1"/>
  <c r="D29" i="20"/>
  <c r="H29" i="20" s="1"/>
  <c r="H35" i="20"/>
  <c r="H32" i="20"/>
  <c r="H31" i="20"/>
  <c r="F18" i="20" l="1"/>
  <c r="F15" i="20"/>
  <c r="F14" i="20"/>
  <c r="F13" i="20" s="1"/>
  <c r="D18" i="20" l="1"/>
  <c r="D15" i="20"/>
  <c r="D14" i="20"/>
  <c r="D13" i="20" s="1"/>
  <c r="H13" i="20" s="1"/>
  <c r="D10" i="20" l="1"/>
  <c r="D12" i="20"/>
  <c r="D11" i="20"/>
  <c r="G10" i="20" l="1"/>
  <c r="J10" i="20" s="1"/>
  <c r="G11" i="20"/>
  <c r="J11" i="20" s="1"/>
  <c r="G12" i="20"/>
  <c r="J12" i="20" s="1"/>
  <c r="G14" i="20"/>
  <c r="H14" i="20" s="1"/>
  <c r="G15" i="20"/>
  <c r="H15" i="20" s="1"/>
  <c r="G18" i="20"/>
  <c r="J18" i="20" s="1"/>
  <c r="F12" i="20"/>
  <c r="F11" i="20"/>
  <c r="F10" i="20"/>
  <c r="H12" i="20" l="1"/>
  <c r="J14" i="20"/>
  <c r="H18" i="20"/>
  <c r="J15" i="20"/>
  <c r="H11" i="20"/>
  <c r="H10" i="20"/>
  <c r="H33" i="19" l="1"/>
  <c r="H34" i="19"/>
  <c r="H35" i="19"/>
  <c r="H36" i="19"/>
  <c r="H37" i="19"/>
  <c r="H38" i="19"/>
  <c r="H39" i="19"/>
  <c r="E33" i="19"/>
  <c r="E34" i="19"/>
  <c r="E35" i="19"/>
  <c r="E36" i="19"/>
  <c r="E37" i="19"/>
  <c r="E38" i="19"/>
  <c r="E39" i="19"/>
  <c r="G88" i="1" l="1"/>
  <c r="G89" i="1"/>
  <c r="G87" i="1"/>
  <c r="G82" i="1"/>
  <c r="G83" i="1"/>
  <c r="G81" i="1"/>
  <c r="G76" i="1"/>
  <c r="G77" i="1"/>
  <c r="G75" i="1"/>
  <c r="G70" i="1"/>
  <c r="G71" i="1"/>
  <c r="G69" i="1"/>
  <c r="G24" i="19" l="1"/>
  <c r="F24" i="19"/>
  <c r="G25" i="19"/>
  <c r="F25" i="19"/>
  <c r="G18" i="19"/>
  <c r="F18" i="19"/>
  <c r="G22" i="19"/>
  <c r="F22" i="19"/>
  <c r="H75" i="1"/>
  <c r="I87" i="1"/>
  <c r="I81" i="1"/>
  <c r="H81" i="1"/>
  <c r="I69" i="1"/>
  <c r="H87" i="1"/>
  <c r="H25" i="19" s="1"/>
  <c r="I75" i="1"/>
  <c r="H69" i="1"/>
  <c r="V25" i="19"/>
  <c r="U25" i="19"/>
  <c r="T25" i="19"/>
  <c r="V24" i="19"/>
  <c r="U24" i="19"/>
  <c r="T24" i="19"/>
  <c r="V23" i="19"/>
  <c r="U23" i="19"/>
  <c r="T23" i="19"/>
  <c r="V22" i="19"/>
  <c r="U22" i="19"/>
  <c r="T22" i="19"/>
  <c r="V21" i="19"/>
  <c r="U21" i="19"/>
  <c r="T21" i="19"/>
  <c r="V20" i="19"/>
  <c r="U20" i="19"/>
  <c r="T20" i="19"/>
  <c r="V19" i="19"/>
  <c r="U19" i="19"/>
  <c r="T19" i="19"/>
  <c r="V18" i="19"/>
  <c r="U18" i="19"/>
  <c r="T18" i="19"/>
  <c r="H108" i="2"/>
  <c r="G114" i="2"/>
  <c r="G117" i="2"/>
  <c r="G120" i="2"/>
  <c r="G123" i="2"/>
  <c r="G126" i="2"/>
  <c r="G132" i="2"/>
  <c r="G135" i="2"/>
  <c r="G138" i="2"/>
  <c r="H138" i="2" s="1"/>
  <c r="G141" i="2"/>
  <c r="G144" i="2"/>
  <c r="G147" i="2"/>
  <c r="H147" i="2" s="1"/>
  <c r="F105" i="2"/>
  <c r="F108" i="2"/>
  <c r="F111" i="2"/>
  <c r="F114" i="2"/>
  <c r="F117" i="2"/>
  <c r="F120" i="2"/>
  <c r="F123" i="2"/>
  <c r="F126" i="2"/>
  <c r="P80" i="1" s="1"/>
  <c r="Q80" i="1" s="1"/>
  <c r="F132" i="2"/>
  <c r="F135" i="2"/>
  <c r="F138" i="2"/>
  <c r="F141" i="2"/>
  <c r="F144" i="2"/>
  <c r="P82" i="1" s="1"/>
  <c r="Q82" i="1" s="1"/>
  <c r="F147" i="2"/>
  <c r="H135" i="2" l="1"/>
  <c r="H120" i="2"/>
  <c r="W24" i="19"/>
  <c r="X25" i="19"/>
  <c r="P81" i="1"/>
  <c r="Q81" i="1" s="1"/>
  <c r="X22" i="19"/>
  <c r="W22" i="19"/>
  <c r="H24" i="19"/>
  <c r="H22" i="19"/>
  <c r="R82" i="1"/>
  <c r="R81" i="1"/>
  <c r="H114" i="2"/>
  <c r="H132" i="2"/>
  <c r="H105" i="2"/>
  <c r="W19" i="19"/>
  <c r="H111" i="2"/>
  <c r="H126" i="2"/>
  <c r="H123" i="2"/>
  <c r="W20" i="19"/>
  <c r="F20" i="19" s="1"/>
  <c r="H144" i="2"/>
  <c r="H117" i="2"/>
  <c r="W23" i="19"/>
  <c r="H141" i="2"/>
  <c r="W18" i="19"/>
  <c r="J87" i="1"/>
  <c r="J81" i="1"/>
  <c r="X18" i="19"/>
  <c r="W21" i="19"/>
  <c r="W25" i="19"/>
  <c r="R80" i="1"/>
  <c r="N25" i="19"/>
  <c r="H18" i="19"/>
  <c r="N18" i="19"/>
  <c r="J75" i="1"/>
  <c r="N24" i="19"/>
  <c r="J69" i="1"/>
  <c r="N22" i="19"/>
  <c r="X24" i="19"/>
  <c r="X23" i="19"/>
  <c r="X21" i="19"/>
  <c r="X20" i="19"/>
  <c r="X19" i="19"/>
  <c r="H129" i="2"/>
  <c r="H20" i="19" l="1"/>
  <c r="G20" i="19"/>
  <c r="F21" i="19"/>
  <c r="N21" i="19" s="1"/>
  <c r="N20" i="19"/>
  <c r="F19" i="19"/>
  <c r="N19" i="19" s="1"/>
  <c r="F23" i="19"/>
  <c r="G23" i="19" s="1"/>
  <c r="G19" i="19"/>
  <c r="H23" i="19"/>
  <c r="H21" i="19"/>
  <c r="G21" i="19"/>
  <c r="T94" i="2"/>
  <c r="S94" i="2"/>
  <c r="O18" i="19" l="1"/>
  <c r="N23" i="19"/>
  <c r="H19" i="19"/>
  <c r="M18" i="19"/>
  <c r="J32" i="19"/>
  <c r="M32" i="19" s="1"/>
  <c r="J34" i="19"/>
  <c r="J35" i="19"/>
  <c r="M35" i="19" s="1"/>
  <c r="J36" i="19"/>
  <c r="J37" i="19"/>
  <c r="M37" i="19" s="1"/>
  <c r="J38" i="19"/>
  <c r="J39" i="19"/>
  <c r="M39" i="19" s="1"/>
  <c r="J33" i="19"/>
  <c r="M33" i="19" s="1"/>
  <c r="V11" i="19"/>
  <c r="U11" i="19"/>
  <c r="T11" i="19"/>
  <c r="V10" i="19"/>
  <c r="U10" i="19"/>
  <c r="T10" i="19"/>
  <c r="V9" i="19"/>
  <c r="U9" i="19"/>
  <c r="T9" i="19"/>
  <c r="V8" i="19"/>
  <c r="U8" i="19"/>
  <c r="T8" i="19"/>
  <c r="V7" i="19"/>
  <c r="U7" i="19"/>
  <c r="T7" i="19"/>
  <c r="V6" i="19"/>
  <c r="U6" i="19"/>
  <c r="T6" i="19"/>
  <c r="V5" i="19"/>
  <c r="U5" i="19"/>
  <c r="T5" i="19"/>
  <c r="V4" i="19"/>
  <c r="U4" i="19"/>
  <c r="T4" i="19"/>
  <c r="V25" i="18"/>
  <c r="U25" i="18"/>
  <c r="T25" i="18"/>
  <c r="V24" i="18"/>
  <c r="U24" i="18"/>
  <c r="T24" i="18"/>
  <c r="V23" i="18"/>
  <c r="U23" i="18"/>
  <c r="T23" i="18"/>
  <c r="W23" i="18" s="1"/>
  <c r="V22" i="18"/>
  <c r="U22" i="18"/>
  <c r="T22" i="18"/>
  <c r="V21" i="18"/>
  <c r="U21" i="18"/>
  <c r="T21" i="18"/>
  <c r="W21" i="18" s="1"/>
  <c r="V20" i="18"/>
  <c r="U20" i="18"/>
  <c r="T20" i="18"/>
  <c r="V19" i="18"/>
  <c r="U19" i="18"/>
  <c r="T19" i="18"/>
  <c r="V18" i="18"/>
  <c r="X18" i="18" s="1"/>
  <c r="U18" i="18"/>
  <c r="T18" i="18"/>
  <c r="V11" i="18"/>
  <c r="U11" i="18"/>
  <c r="T11" i="18"/>
  <c r="V10" i="18"/>
  <c r="U10" i="18"/>
  <c r="T10" i="18"/>
  <c r="V9" i="18"/>
  <c r="U9" i="18"/>
  <c r="T9" i="18"/>
  <c r="V8" i="18"/>
  <c r="U8" i="18"/>
  <c r="T8" i="18"/>
  <c r="V7" i="18"/>
  <c r="U7" i="18"/>
  <c r="T7" i="18"/>
  <c r="X7" i="18" s="1"/>
  <c r="V6" i="18"/>
  <c r="U6" i="18"/>
  <c r="T6" i="18"/>
  <c r="V5" i="18"/>
  <c r="U5" i="18"/>
  <c r="T5" i="18"/>
  <c r="V4" i="18"/>
  <c r="U4" i="18"/>
  <c r="T4" i="18"/>
  <c r="V25" i="17"/>
  <c r="U25" i="17"/>
  <c r="T25" i="17"/>
  <c r="V24" i="17"/>
  <c r="U24" i="17"/>
  <c r="X24" i="17" s="1"/>
  <c r="T24" i="17"/>
  <c r="V23" i="17"/>
  <c r="U23" i="17"/>
  <c r="T23" i="17"/>
  <c r="V22" i="17"/>
  <c r="U22" i="17"/>
  <c r="T22" i="17"/>
  <c r="V21" i="17"/>
  <c r="U21" i="17"/>
  <c r="T21" i="17"/>
  <c r="V20" i="17"/>
  <c r="U20" i="17"/>
  <c r="T20" i="17"/>
  <c r="V19" i="17"/>
  <c r="U19" i="17"/>
  <c r="T19" i="17"/>
  <c r="V18" i="17"/>
  <c r="U18" i="17"/>
  <c r="T18" i="17"/>
  <c r="V11" i="17"/>
  <c r="U11" i="17"/>
  <c r="T11" i="17"/>
  <c r="X11" i="17" s="1"/>
  <c r="V10" i="17"/>
  <c r="U10" i="17"/>
  <c r="T10" i="17"/>
  <c r="W10" i="17" s="1"/>
  <c r="V9" i="17"/>
  <c r="U9" i="17"/>
  <c r="T9" i="17"/>
  <c r="V8" i="17"/>
  <c r="U8" i="17"/>
  <c r="T8" i="17"/>
  <c r="V7" i="17"/>
  <c r="U7" i="17"/>
  <c r="T7" i="17"/>
  <c r="V6" i="17"/>
  <c r="U6" i="17"/>
  <c r="T6" i="17"/>
  <c r="X6" i="17" s="1"/>
  <c r="V5" i="17"/>
  <c r="U5" i="17"/>
  <c r="T5" i="17"/>
  <c r="X5" i="17" s="1"/>
  <c r="V4" i="17"/>
  <c r="U4" i="17"/>
  <c r="T4" i="17"/>
  <c r="M38" i="19"/>
  <c r="M36" i="19"/>
  <c r="M34" i="19"/>
  <c r="Q154" i="2"/>
  <c r="M129" i="2"/>
  <c r="N129" i="2" s="1"/>
  <c r="M123" i="2"/>
  <c r="N123" i="2" s="1"/>
  <c r="M117" i="2"/>
  <c r="N117" i="2" s="1"/>
  <c r="M111" i="2"/>
  <c r="N111" i="2" s="1"/>
  <c r="M105" i="2"/>
  <c r="N105" i="2" s="1"/>
  <c r="Q93" i="2"/>
  <c r="Q94" i="2" s="1"/>
  <c r="M147" i="2"/>
  <c r="N147" i="2" s="1"/>
  <c r="M141" i="2"/>
  <c r="N141" i="2" s="1"/>
  <c r="M135" i="2"/>
  <c r="N135" i="2" s="1"/>
  <c r="G102" i="2"/>
  <c r="F102" i="2"/>
  <c r="W19" i="17" l="1"/>
  <c r="W23" i="17"/>
  <c r="P78" i="1"/>
  <c r="Q78" i="1" s="1"/>
  <c r="R78" i="1" s="1"/>
  <c r="X20" i="17"/>
  <c r="X6" i="18"/>
  <c r="X10" i="18"/>
  <c r="W20" i="18"/>
  <c r="W24" i="18"/>
  <c r="W7" i="17"/>
  <c r="K18" i="19"/>
  <c r="L18" i="19" s="1"/>
  <c r="W6" i="17"/>
  <c r="J18" i="19"/>
  <c r="X8" i="17"/>
  <c r="W11" i="17"/>
  <c r="W22" i="17"/>
  <c r="X23" i="17"/>
  <c r="W25" i="17"/>
  <c r="X4" i="18"/>
  <c r="X10" i="17"/>
  <c r="W20" i="17"/>
  <c r="X9" i="17"/>
  <c r="X18" i="17"/>
  <c r="X22" i="17"/>
  <c r="X5" i="18"/>
  <c r="X19" i="18"/>
  <c r="X10" i="19"/>
  <c r="W5" i="17"/>
  <c r="X21" i="17"/>
  <c r="X8" i="18"/>
  <c r="X5" i="19"/>
  <c r="W4" i="17"/>
  <c r="X7" i="17"/>
  <c r="W24" i="17"/>
  <c r="X19" i="17"/>
  <c r="X11" i="18"/>
  <c r="X8" i="19"/>
  <c r="X9" i="19"/>
  <c r="X6" i="19"/>
  <c r="X4" i="19"/>
  <c r="W9" i="19"/>
  <c r="F9" i="19" s="1"/>
  <c r="X25" i="17"/>
  <c r="W18" i="17"/>
  <c r="W5" i="18"/>
  <c r="R157" i="2"/>
  <c r="Q157" i="2"/>
  <c r="W21" i="17"/>
  <c r="W10" i="18"/>
  <c r="W25" i="18"/>
  <c r="W22" i="18"/>
  <c r="W8" i="17"/>
  <c r="W9" i="17"/>
  <c r="X4" i="17"/>
  <c r="X21" i="18"/>
  <c r="X25" i="18"/>
  <c r="W9" i="18"/>
  <c r="X7" i="19"/>
  <c r="W11" i="19"/>
  <c r="X22" i="18"/>
  <c r="W19" i="18"/>
  <c r="X9" i="18"/>
  <c r="X20" i="18"/>
  <c r="W4" i="18"/>
  <c r="W18" i="18"/>
  <c r="W6" i="18"/>
  <c r="W7" i="18"/>
  <c r="X24" i="18"/>
  <c r="W8" i="18"/>
  <c r="X23" i="18"/>
  <c r="W11" i="18"/>
  <c r="W8" i="19"/>
  <c r="W7" i="19"/>
  <c r="F7" i="19" s="1"/>
  <c r="W6" i="19"/>
  <c r="F6" i="19" s="1"/>
  <c r="G6" i="19" s="1"/>
  <c r="W5" i="19"/>
  <c r="F5" i="19" s="1"/>
  <c r="W4" i="19"/>
  <c r="X11" i="19"/>
  <c r="W10" i="19"/>
  <c r="H102" i="2"/>
  <c r="G86" i="1"/>
  <c r="G85" i="1"/>
  <c r="G84" i="1"/>
  <c r="G80" i="1"/>
  <c r="G79" i="1"/>
  <c r="G78" i="1"/>
  <c r="G74" i="1"/>
  <c r="G73" i="1"/>
  <c r="G72" i="1"/>
  <c r="G68" i="1"/>
  <c r="G67" i="1"/>
  <c r="G66" i="1"/>
  <c r="D25" i="18"/>
  <c r="D24" i="18"/>
  <c r="D23" i="18"/>
  <c r="D22" i="18"/>
  <c r="D21" i="18"/>
  <c r="D20" i="18"/>
  <c r="D19" i="18"/>
  <c r="P10" i="12"/>
  <c r="D18" i="18" s="1"/>
  <c r="E37" i="16"/>
  <c r="E36" i="16"/>
  <c r="E35" i="16"/>
  <c r="E33" i="16"/>
  <c r="E32" i="16"/>
  <c r="E31" i="16"/>
  <c r="E29" i="16"/>
  <c r="E28" i="16"/>
  <c r="E27" i="16"/>
  <c r="E25" i="16"/>
  <c r="E24" i="16"/>
  <c r="E23" i="16"/>
  <c r="E21" i="16"/>
  <c r="E20" i="16"/>
  <c r="E19" i="16"/>
  <c r="E17" i="16"/>
  <c r="E16" i="16"/>
  <c r="E15" i="16"/>
  <c r="E13" i="16"/>
  <c r="E12" i="16"/>
  <c r="E11" i="16"/>
  <c r="G5" i="19" l="1"/>
  <c r="O10" i="12"/>
  <c r="E18" i="18" s="1"/>
  <c r="F4" i="19"/>
  <c r="G4" i="19"/>
  <c r="F11" i="19"/>
  <c r="G11" i="19"/>
  <c r="G8" i="19"/>
  <c r="F8" i="19"/>
  <c r="G10" i="19"/>
  <c r="F10" i="19"/>
  <c r="H10" i="19" s="1"/>
  <c r="G9" i="19"/>
  <c r="H9" i="19"/>
  <c r="F37" i="19"/>
  <c r="K37" i="19" s="1"/>
  <c r="D34" i="19"/>
  <c r="L34" i="19" s="1"/>
  <c r="G34" i="19"/>
  <c r="G35" i="19"/>
  <c r="D35" i="19"/>
  <c r="L35" i="19" s="1"/>
  <c r="G39" i="19"/>
  <c r="D39" i="19"/>
  <c r="L39" i="19" s="1"/>
  <c r="G38" i="19"/>
  <c r="D38" i="19"/>
  <c r="L38" i="19" s="1"/>
  <c r="H5" i="19"/>
  <c r="F33" i="19"/>
  <c r="G36" i="19"/>
  <c r="D36" i="19"/>
  <c r="L36" i="19" s="1"/>
  <c r="H32" i="19"/>
  <c r="E32" i="19"/>
  <c r="G37" i="19"/>
  <c r="D37" i="19"/>
  <c r="L37" i="19" s="1"/>
  <c r="D33" i="19"/>
  <c r="L33" i="19" s="1"/>
  <c r="G33" i="19"/>
  <c r="G32" i="19"/>
  <c r="D32" i="19"/>
  <c r="L32" i="19" s="1"/>
  <c r="I78" i="1"/>
  <c r="G7" i="19"/>
  <c r="H7" i="19"/>
  <c r="F35" i="19"/>
  <c r="E26" i="20"/>
  <c r="E25" i="20"/>
  <c r="H66" i="1"/>
  <c r="S78" i="1" s="1"/>
  <c r="I84" i="1"/>
  <c r="I66" i="1"/>
  <c r="I72" i="1"/>
  <c r="H84" i="1"/>
  <c r="S82" i="1" s="1"/>
  <c r="H72" i="1"/>
  <c r="S80" i="1" s="1"/>
  <c r="H78" i="1"/>
  <c r="S81" i="1" s="1"/>
  <c r="F38" i="19" l="1"/>
  <c r="I38" i="19" s="1"/>
  <c r="K4" i="19"/>
  <c r="L4" i="19" s="1"/>
  <c r="I37" i="19"/>
  <c r="I33" i="19"/>
  <c r="K33" i="19"/>
  <c r="K35" i="19"/>
  <c r="I35" i="19"/>
  <c r="J78" i="1"/>
  <c r="J66" i="1"/>
  <c r="J84" i="1"/>
  <c r="J72" i="1"/>
  <c r="K38" i="19" l="1"/>
  <c r="T80" i="1"/>
  <c r="U80" i="1" s="1"/>
  <c r="N6" i="19"/>
  <c r="H6" i="19"/>
  <c r="F34" i="19"/>
  <c r="T82" i="1"/>
  <c r="U82" i="1" s="1"/>
  <c r="N11" i="19"/>
  <c r="H11" i="19"/>
  <c r="F39" i="19"/>
  <c r="T81" i="1"/>
  <c r="U81" i="1" s="1"/>
  <c r="H4" i="19"/>
  <c r="N4" i="19"/>
  <c r="N10" i="19"/>
  <c r="N9" i="19"/>
  <c r="N5" i="19"/>
  <c r="N7" i="19"/>
  <c r="F32" i="19"/>
  <c r="H8" i="19"/>
  <c r="N8" i="19"/>
  <c r="F36" i="19"/>
  <c r="T78" i="1"/>
  <c r="U78" i="1" s="1"/>
  <c r="J34" i="18"/>
  <c r="M34" i="18" s="1"/>
  <c r="J35" i="18"/>
  <c r="M35" i="18" s="1"/>
  <c r="J36" i="18"/>
  <c r="M36" i="18" s="1"/>
  <c r="J37" i="18"/>
  <c r="J38" i="18"/>
  <c r="M38" i="18" s="1"/>
  <c r="J39" i="18"/>
  <c r="M39" i="18" s="1"/>
  <c r="J33" i="18"/>
  <c r="M33" i="18" s="1"/>
  <c r="H33" i="18"/>
  <c r="H34" i="18"/>
  <c r="H35" i="18"/>
  <c r="H36" i="18"/>
  <c r="H37" i="18"/>
  <c r="H38" i="18"/>
  <c r="H39" i="18"/>
  <c r="E33" i="18"/>
  <c r="E34" i="18"/>
  <c r="E35" i="18"/>
  <c r="E36" i="18"/>
  <c r="E37" i="18"/>
  <c r="E38" i="18"/>
  <c r="E39" i="18"/>
  <c r="M37" i="18"/>
  <c r="M32" i="18"/>
  <c r="I19" i="18"/>
  <c r="I20" i="18"/>
  <c r="I21" i="18"/>
  <c r="I22" i="18"/>
  <c r="I23" i="18"/>
  <c r="I24" i="18"/>
  <c r="I25" i="18"/>
  <c r="I18" i="18"/>
  <c r="AA4" i="18"/>
  <c r="AA3" i="18"/>
  <c r="F6" i="18" s="1"/>
  <c r="M4" i="19" l="1"/>
  <c r="O4" i="19"/>
  <c r="J4" i="19"/>
  <c r="K34" i="19"/>
  <c r="I34" i="19"/>
  <c r="K36" i="19"/>
  <c r="I36" i="19"/>
  <c r="K39" i="19"/>
  <c r="I39" i="19"/>
  <c r="K32" i="19"/>
  <c r="I32" i="19"/>
  <c r="K18" i="18"/>
  <c r="L18" i="18" s="1"/>
  <c r="F9" i="18"/>
  <c r="G9" i="18" s="1"/>
  <c r="F19" i="18"/>
  <c r="G19" i="18" s="1"/>
  <c r="F10" i="18"/>
  <c r="G10" i="18" s="1"/>
  <c r="F23" i="18"/>
  <c r="G23" i="18" s="1"/>
  <c r="F24" i="18"/>
  <c r="H24" i="18" s="1"/>
  <c r="F21" i="18"/>
  <c r="F20" i="18"/>
  <c r="G20" i="18" s="1"/>
  <c r="H6" i="18"/>
  <c r="G6" i="18"/>
  <c r="F5" i="18"/>
  <c r="F7" i="18"/>
  <c r="H9" i="18" l="1"/>
  <c r="H23" i="18"/>
  <c r="F34" i="18"/>
  <c r="I34" i="18" s="1"/>
  <c r="H20" i="18"/>
  <c r="F37" i="18"/>
  <c r="I37" i="18" s="1"/>
  <c r="G24" i="18"/>
  <c r="F38" i="18"/>
  <c r="K38" i="18" s="1"/>
  <c r="H19" i="18"/>
  <c r="H10" i="18"/>
  <c r="F33" i="18"/>
  <c r="F35" i="18"/>
  <c r="H21" i="18"/>
  <c r="G21" i="18"/>
  <c r="H7" i="18"/>
  <c r="G7" i="18"/>
  <c r="G5" i="18"/>
  <c r="H5" i="18"/>
  <c r="K34" i="18" l="1"/>
  <c r="I38" i="18"/>
  <c r="K37" i="18"/>
  <c r="I33" i="18"/>
  <c r="K33" i="18"/>
  <c r="K35" i="18"/>
  <c r="I35" i="18"/>
  <c r="J34" i="17"/>
  <c r="M34" i="17" s="1"/>
  <c r="J35" i="17"/>
  <c r="M35" i="17" s="1"/>
  <c r="J36" i="17"/>
  <c r="M36" i="17" s="1"/>
  <c r="J37" i="17"/>
  <c r="M37" i="17" s="1"/>
  <c r="J38" i="17"/>
  <c r="M38" i="17" s="1"/>
  <c r="J39" i="17"/>
  <c r="M39" i="17" s="1"/>
  <c r="J33" i="17"/>
  <c r="M33" i="17" s="1"/>
  <c r="H33" i="17"/>
  <c r="H34" i="17"/>
  <c r="H35" i="17"/>
  <c r="H36" i="17"/>
  <c r="H37" i="17"/>
  <c r="H38" i="17"/>
  <c r="H39" i="17"/>
  <c r="E33" i="17"/>
  <c r="E34" i="17"/>
  <c r="E35" i="17"/>
  <c r="E36" i="17"/>
  <c r="E37" i="17"/>
  <c r="E38" i="17"/>
  <c r="E39" i="17"/>
  <c r="M32" i="17"/>
  <c r="AA4" i="17"/>
  <c r="AA3" i="17"/>
  <c r="F24" i="17" s="1"/>
  <c r="F20" i="17" l="1"/>
  <c r="F23" i="17"/>
  <c r="G23" i="17" s="1"/>
  <c r="F19" i="17"/>
  <c r="H19" i="17" s="1"/>
  <c r="F21" i="17"/>
  <c r="H21" i="17" s="1"/>
  <c r="G24" i="17"/>
  <c r="H24" i="17"/>
  <c r="F6" i="17"/>
  <c r="F7" i="17"/>
  <c r="F9" i="17"/>
  <c r="F5" i="17"/>
  <c r="F10" i="17"/>
  <c r="F38" i="17" s="1"/>
  <c r="K38" i="17" s="1"/>
  <c r="K18" i="17"/>
  <c r="L18" i="17" s="1"/>
  <c r="F34" i="17" l="1"/>
  <c r="K34" i="17" s="1"/>
  <c r="F33" i="17"/>
  <c r="K33" i="17" s="1"/>
  <c r="F37" i="17"/>
  <c r="K37" i="17" s="1"/>
  <c r="G19" i="17"/>
  <c r="G21" i="17"/>
  <c r="F35" i="17"/>
  <c r="K35" i="17" s="1"/>
  <c r="H23" i="17"/>
  <c r="G20" i="17"/>
  <c r="H20" i="17"/>
  <c r="S29" i="1" l="1"/>
  <c r="S28" i="1"/>
  <c r="S26" i="1"/>
  <c r="S25" i="1"/>
  <c r="S23" i="1"/>
  <c r="Q29" i="1"/>
  <c r="Q28" i="1"/>
  <c r="Q26" i="1"/>
  <c r="Q25" i="1"/>
  <c r="Q23" i="1"/>
  <c r="G10" i="17" l="1"/>
  <c r="I38" i="17" s="1"/>
  <c r="G9" i="17"/>
  <c r="I37" i="17" s="1"/>
  <c r="G6" i="17"/>
  <c r="I34" i="17" s="1"/>
  <c r="G7" i="17"/>
  <c r="I35" i="17" s="1"/>
  <c r="G5" i="17"/>
  <c r="I33" i="17" s="1"/>
  <c r="C4" i="17"/>
  <c r="F11" i="2" l="1"/>
  <c r="G95" i="2"/>
  <c r="F95" i="2"/>
  <c r="G83" i="2"/>
  <c r="F83" i="2"/>
  <c r="G71" i="2"/>
  <c r="F71" i="2"/>
  <c r="G59" i="2"/>
  <c r="F59" i="2"/>
  <c r="G47" i="2"/>
  <c r="F47" i="2"/>
  <c r="G35" i="2"/>
  <c r="F35" i="2"/>
  <c r="G23" i="2"/>
  <c r="F23" i="2"/>
  <c r="G11" i="2"/>
  <c r="G37" i="1"/>
  <c r="G36" i="1"/>
  <c r="G35" i="1"/>
  <c r="G25" i="1"/>
  <c r="G24" i="1"/>
  <c r="G23" i="1"/>
  <c r="G13" i="1"/>
  <c r="G12" i="1"/>
  <c r="G11" i="1"/>
  <c r="H71" i="2" l="1"/>
  <c r="G22" i="18"/>
  <c r="F22" i="18"/>
  <c r="G18" i="18"/>
  <c r="F18" i="18"/>
  <c r="F25" i="18"/>
  <c r="G25" i="18"/>
  <c r="H59" i="2"/>
  <c r="I11" i="1"/>
  <c r="I23" i="1"/>
  <c r="H83" i="2"/>
  <c r="H23" i="2"/>
  <c r="H95" i="2"/>
  <c r="H35" i="2"/>
  <c r="H47" i="2"/>
  <c r="I35" i="1"/>
  <c r="H11" i="2"/>
  <c r="H35" i="1"/>
  <c r="H23" i="1"/>
  <c r="H11" i="1"/>
  <c r="H25" i="18" l="1"/>
  <c r="N25" i="18"/>
  <c r="N20" i="18"/>
  <c r="H18" i="18"/>
  <c r="N18" i="18"/>
  <c r="N24" i="18"/>
  <c r="N21" i="18"/>
  <c r="N23" i="18"/>
  <c r="N19" i="18"/>
  <c r="N22" i="18"/>
  <c r="H22" i="18"/>
  <c r="J23" i="1"/>
  <c r="J11" i="1"/>
  <c r="J35" i="1"/>
  <c r="O18" i="18" l="1"/>
  <c r="J18" i="18"/>
  <c r="M18" i="18"/>
  <c r="F2" i="2"/>
  <c r="G20" i="2"/>
  <c r="F20" i="2"/>
  <c r="G17" i="2"/>
  <c r="F17" i="2"/>
  <c r="G14" i="2"/>
  <c r="F14" i="2"/>
  <c r="G8" i="2"/>
  <c r="F8" i="2"/>
  <c r="T12" i="1" s="1"/>
  <c r="G5" i="2"/>
  <c r="F5" i="2"/>
  <c r="G2" i="2"/>
  <c r="G92" i="2"/>
  <c r="G89" i="2"/>
  <c r="G86" i="2"/>
  <c r="G80" i="2"/>
  <c r="G77" i="2"/>
  <c r="G74" i="2"/>
  <c r="G68" i="2"/>
  <c r="G65" i="2"/>
  <c r="G62" i="2"/>
  <c r="G56" i="2"/>
  <c r="G53" i="2"/>
  <c r="G50" i="2"/>
  <c r="G44" i="2"/>
  <c r="G41" i="2"/>
  <c r="G38" i="2"/>
  <c r="G32" i="2"/>
  <c r="G29" i="2"/>
  <c r="G26" i="2"/>
  <c r="F92" i="2"/>
  <c r="T14" i="1" s="1"/>
  <c r="F89" i="2"/>
  <c r="F86" i="2"/>
  <c r="F80" i="2"/>
  <c r="F77" i="2"/>
  <c r="F74" i="2"/>
  <c r="F68" i="2"/>
  <c r="F65" i="2"/>
  <c r="F62" i="2"/>
  <c r="F56" i="2"/>
  <c r="T13" i="1" s="1"/>
  <c r="F53" i="2"/>
  <c r="F50" i="2"/>
  <c r="F44" i="2"/>
  <c r="F41" i="2"/>
  <c r="F38" i="2"/>
  <c r="F32" i="2"/>
  <c r="F29" i="2"/>
  <c r="F26" i="2"/>
  <c r="N13" i="1" l="1"/>
  <c r="O13" i="1" s="1"/>
  <c r="N14" i="1"/>
  <c r="P30" i="1" s="1"/>
  <c r="N12" i="1"/>
  <c r="H2" i="2"/>
  <c r="R27" i="1"/>
  <c r="U13" i="1"/>
  <c r="R24" i="1"/>
  <c r="U12" i="1"/>
  <c r="R30" i="1"/>
  <c r="U14" i="1"/>
  <c r="O14" i="1" l="1"/>
  <c r="P27" i="1"/>
  <c r="O12" i="1"/>
  <c r="P24" i="1"/>
  <c r="R93" i="2" l="1"/>
  <c r="R94" i="2" s="1"/>
  <c r="E9" i="16" l="1"/>
  <c r="P9" i="12" s="1"/>
  <c r="D4" i="18" s="1"/>
  <c r="E8" i="16"/>
  <c r="P8" i="12" s="1"/>
  <c r="D18" i="17" s="1"/>
  <c r="E7" i="16"/>
  <c r="P7" i="12" s="1"/>
  <c r="D4" i="17" s="1"/>
  <c r="E37" i="12"/>
  <c r="D11" i="18" s="1"/>
  <c r="C25" i="20" s="1"/>
  <c r="E36" i="12"/>
  <c r="D25" i="17" s="1"/>
  <c r="E35" i="12"/>
  <c r="D11" i="17" s="1"/>
  <c r="E33" i="12"/>
  <c r="D10" i="18" s="1"/>
  <c r="E32" i="12"/>
  <c r="D24" i="17" s="1"/>
  <c r="E31" i="12"/>
  <c r="D10" i="17" s="1"/>
  <c r="E29" i="12"/>
  <c r="D9" i="18" s="1"/>
  <c r="E28" i="12"/>
  <c r="D23" i="17" s="1"/>
  <c r="E27" i="12"/>
  <c r="D9" i="17" s="1"/>
  <c r="E25" i="12"/>
  <c r="D8" i="18" s="1"/>
  <c r="E24" i="12"/>
  <c r="D22" i="17" s="1"/>
  <c r="E23" i="12"/>
  <c r="D8" i="17" s="1"/>
  <c r="E21" i="12"/>
  <c r="D7" i="18" s="1"/>
  <c r="E20" i="12"/>
  <c r="D21" i="17" s="1"/>
  <c r="E19" i="12"/>
  <c r="D7" i="17" s="1"/>
  <c r="E17" i="12"/>
  <c r="D6" i="18" s="1"/>
  <c r="E16" i="12"/>
  <c r="D20" i="17" s="1"/>
  <c r="E15" i="12"/>
  <c r="D6" i="17" s="1"/>
  <c r="E13" i="12"/>
  <c r="D5" i="18" s="1"/>
  <c r="E12" i="12"/>
  <c r="D19" i="17" s="1"/>
  <c r="E11" i="12"/>
  <c r="D5" i="17" s="1"/>
  <c r="E9" i="12"/>
  <c r="E8" i="12"/>
  <c r="E7" i="12"/>
  <c r="O7" i="12" s="1"/>
  <c r="O8" i="12" l="1"/>
  <c r="E18" i="17" s="1"/>
  <c r="O9" i="12"/>
  <c r="E4" i="18" s="1"/>
  <c r="I5" i="18"/>
  <c r="G33" i="18"/>
  <c r="D33" i="18"/>
  <c r="L33" i="18" s="1"/>
  <c r="D38" i="18"/>
  <c r="L38" i="18" s="1"/>
  <c r="I10" i="18"/>
  <c r="G38" i="18"/>
  <c r="E9" i="20"/>
  <c r="E8" i="20"/>
  <c r="C9" i="20"/>
  <c r="C8" i="20"/>
  <c r="C26" i="20"/>
  <c r="D39" i="18"/>
  <c r="L39" i="18" s="1"/>
  <c r="I11" i="18"/>
  <c r="G39" i="18"/>
  <c r="D37" i="18"/>
  <c r="L37" i="18" s="1"/>
  <c r="I9" i="18"/>
  <c r="G37" i="18"/>
  <c r="I6" i="18"/>
  <c r="G34" i="18"/>
  <c r="D34" i="18"/>
  <c r="L34" i="18" s="1"/>
  <c r="D35" i="18"/>
  <c r="L35" i="18" s="1"/>
  <c r="I7" i="18"/>
  <c r="G35" i="18"/>
  <c r="H32" i="18"/>
  <c r="E32" i="18"/>
  <c r="I8" i="18"/>
  <c r="G36" i="18"/>
  <c r="D36" i="18"/>
  <c r="L36" i="18" s="1"/>
  <c r="I4" i="18"/>
  <c r="D32" i="18"/>
  <c r="L32" i="18" s="1"/>
  <c r="G32" i="18"/>
  <c r="I4" i="17"/>
  <c r="G32" i="17"/>
  <c r="D32" i="17"/>
  <c r="L32" i="17" s="1"/>
  <c r="D36" i="17"/>
  <c r="L36" i="17" s="1"/>
  <c r="G36" i="17"/>
  <c r="G39" i="17"/>
  <c r="D39" i="17"/>
  <c r="L39" i="17" s="1"/>
  <c r="G33" i="17"/>
  <c r="D33" i="17"/>
  <c r="L33" i="17" s="1"/>
  <c r="D34" i="17"/>
  <c r="L34" i="17" s="1"/>
  <c r="G34" i="17"/>
  <c r="D35" i="17"/>
  <c r="L35" i="17" s="1"/>
  <c r="G35" i="17"/>
  <c r="G37" i="17"/>
  <c r="D37" i="17"/>
  <c r="L37" i="17" s="1"/>
  <c r="G38" i="17"/>
  <c r="D38" i="17"/>
  <c r="L38" i="17" s="1"/>
  <c r="E4" i="17"/>
  <c r="K4" i="18" l="1"/>
  <c r="L4" i="18" s="1"/>
  <c r="G8" i="20"/>
  <c r="J8" i="20" s="1"/>
  <c r="H8" i="20"/>
  <c r="H9" i="20"/>
  <c r="G9" i="20"/>
  <c r="J9" i="20" s="1"/>
  <c r="G25" i="20"/>
  <c r="J25" i="20" s="1"/>
  <c r="H25" i="20"/>
  <c r="H26" i="20"/>
  <c r="G26" i="20"/>
  <c r="J26" i="20" s="1"/>
  <c r="H32" i="17"/>
  <c r="E32" i="17"/>
  <c r="H62" i="2"/>
  <c r="G10" i="1"/>
  <c r="V14" i="1" l="1"/>
  <c r="H38" i="2"/>
  <c r="H14" i="2"/>
  <c r="H50" i="2"/>
  <c r="H80" i="2"/>
  <c r="H86" i="2"/>
  <c r="H92" i="2"/>
  <c r="H17" i="2"/>
  <c r="H74" i="2"/>
  <c r="H53" i="2"/>
  <c r="H32" i="2"/>
  <c r="H68" i="2"/>
  <c r="H41" i="2"/>
  <c r="H44" i="2"/>
  <c r="H29" i="2"/>
  <c r="H20" i="2"/>
  <c r="H77" i="2"/>
  <c r="H65" i="2"/>
  <c r="H5" i="2"/>
  <c r="H89" i="2"/>
  <c r="H56" i="2"/>
  <c r="V13" i="1"/>
  <c r="H26" i="2"/>
  <c r="H8" i="2"/>
  <c r="V12" i="1"/>
  <c r="P12" i="1" l="1"/>
  <c r="P13" i="1"/>
  <c r="P14" i="1"/>
  <c r="G3" i="1" l="1"/>
  <c r="G4" i="1"/>
  <c r="G5" i="1"/>
  <c r="G6" i="1"/>
  <c r="G7" i="1"/>
  <c r="G8" i="1"/>
  <c r="G9" i="1"/>
  <c r="G14" i="1"/>
  <c r="G15" i="1"/>
  <c r="G16" i="1"/>
  <c r="G17" i="1"/>
  <c r="G18" i="1"/>
  <c r="G19" i="1"/>
  <c r="G20" i="1"/>
  <c r="G21" i="1"/>
  <c r="G22" i="1"/>
  <c r="G26" i="1"/>
  <c r="G27" i="1"/>
  <c r="G28" i="1"/>
  <c r="G29" i="1"/>
  <c r="G30" i="1"/>
  <c r="G31" i="1"/>
  <c r="G32" i="1"/>
  <c r="G33" i="1"/>
  <c r="G34" i="1"/>
  <c r="G2" i="1"/>
  <c r="G8" i="17" l="1"/>
  <c r="F8" i="17"/>
  <c r="G11" i="18"/>
  <c r="F11" i="18"/>
  <c r="F8" i="18"/>
  <c r="G8" i="18"/>
  <c r="G4" i="18"/>
  <c r="F4" i="18"/>
  <c r="G11" i="17"/>
  <c r="F11" i="17"/>
  <c r="F25" i="17"/>
  <c r="G25" i="17"/>
  <c r="F18" i="17"/>
  <c r="G18" i="17"/>
  <c r="G22" i="17"/>
  <c r="F22" i="17"/>
  <c r="G4" i="17"/>
  <c r="F4" i="17"/>
  <c r="I26" i="1"/>
  <c r="I8" i="1"/>
  <c r="H8" i="1"/>
  <c r="W12" i="1" s="1"/>
  <c r="S24" i="1" s="1"/>
  <c r="H5" i="1"/>
  <c r="H29" i="1"/>
  <c r="H26" i="1"/>
  <c r="H17" i="1"/>
  <c r="I20" i="1"/>
  <c r="H2" i="1"/>
  <c r="I2" i="1"/>
  <c r="I32" i="1"/>
  <c r="I14" i="1"/>
  <c r="I5" i="1"/>
  <c r="I17" i="1"/>
  <c r="I29" i="1"/>
  <c r="H32" i="1"/>
  <c r="W14" i="1" s="1"/>
  <c r="S30" i="1" s="1"/>
  <c r="H14" i="1"/>
  <c r="H20" i="1"/>
  <c r="W13" i="1" s="1"/>
  <c r="S27" i="1" s="1"/>
  <c r="F4" i="10"/>
  <c r="E4" i="10" s="1"/>
  <c r="N6" i="18" l="1"/>
  <c r="N9" i="18"/>
  <c r="N7" i="18"/>
  <c r="N4" i="18"/>
  <c r="N10" i="18"/>
  <c r="N5" i="18"/>
  <c r="H4" i="18"/>
  <c r="F32" i="18"/>
  <c r="H18" i="17"/>
  <c r="N20" i="17"/>
  <c r="N18" i="17"/>
  <c r="N19" i="17"/>
  <c r="N24" i="17"/>
  <c r="N21" i="17"/>
  <c r="N23" i="17"/>
  <c r="F36" i="18"/>
  <c r="N8" i="18"/>
  <c r="H8" i="18"/>
  <c r="F39" i="18"/>
  <c r="H11" i="18"/>
  <c r="N11" i="18"/>
  <c r="N22" i="17"/>
  <c r="H22" i="17"/>
  <c r="N25" i="17"/>
  <c r="H25" i="17"/>
  <c r="F32" i="17"/>
  <c r="N4" i="17"/>
  <c r="H4" i="17"/>
  <c r="F39" i="17"/>
  <c r="F36" i="17"/>
  <c r="X12" i="1"/>
  <c r="Y12" i="1" s="1"/>
  <c r="R14" i="1"/>
  <c r="S14" i="1" s="1"/>
  <c r="Q13" i="1"/>
  <c r="Q27" i="1" s="1"/>
  <c r="X14" i="1"/>
  <c r="Y14" i="1" s="1"/>
  <c r="R12" i="1"/>
  <c r="S12" i="1" s="1"/>
  <c r="R13" i="1"/>
  <c r="S13" i="1" s="1"/>
  <c r="X13" i="1"/>
  <c r="Y13" i="1" s="1"/>
  <c r="Q12" i="1"/>
  <c r="Q24" i="1" s="1"/>
  <c r="Q14" i="1"/>
  <c r="Q30" i="1" s="1"/>
  <c r="J29" i="1"/>
  <c r="J17" i="1"/>
  <c r="J32" i="1"/>
  <c r="J14" i="1"/>
  <c r="J20" i="1"/>
  <c r="J5" i="1"/>
  <c r="J2" i="1"/>
  <c r="J26" i="1"/>
  <c r="J8" i="1"/>
  <c r="F5" i="10"/>
  <c r="M56" i="2"/>
  <c r="M47" i="2"/>
  <c r="M38" i="2"/>
  <c r="M26" i="2"/>
  <c r="M14" i="2"/>
  <c r="M2" i="2"/>
  <c r="N2" i="2" s="1"/>
  <c r="K36" i="18" l="1"/>
  <c r="I36" i="18"/>
  <c r="K32" i="18"/>
  <c r="I32" i="18"/>
  <c r="M4" i="18"/>
  <c r="J4" i="18"/>
  <c r="K36" i="17"/>
  <c r="I36" i="17"/>
  <c r="K39" i="17"/>
  <c r="I39" i="17"/>
  <c r="O4" i="18"/>
  <c r="O18" i="17"/>
  <c r="K39" i="18"/>
  <c r="I39" i="18"/>
  <c r="K32" i="17"/>
  <c r="I32" i="17"/>
  <c r="M18" i="17"/>
  <c r="J18" i="17"/>
  <c r="F6" i="10"/>
  <c r="E5" i="10"/>
  <c r="F7" i="10" l="1"/>
  <c r="E6" i="10"/>
  <c r="T5" i="10"/>
  <c r="T16" i="10" s="1"/>
  <c r="F8" i="10" l="1"/>
  <c r="E7" i="10"/>
  <c r="G4" i="10"/>
  <c r="M3" i="10"/>
  <c r="F9" i="10" l="1"/>
  <c r="E8" i="10"/>
  <c r="G5" i="10"/>
  <c r="G6" i="10"/>
  <c r="G7" i="10"/>
  <c r="G8" i="10"/>
  <c r="G9" i="10"/>
  <c r="J3" i="10"/>
  <c r="K3" i="10" s="1"/>
  <c r="H3" i="10"/>
  <c r="N74" i="2"/>
  <c r="N65" i="2"/>
  <c r="N56" i="2"/>
  <c r="N47" i="2"/>
  <c r="N38" i="2"/>
  <c r="N26" i="2"/>
  <c r="N14" i="2"/>
  <c r="F10" i="10" l="1"/>
  <c r="E9" i="10"/>
  <c r="J4" i="10"/>
  <c r="H4" i="10"/>
  <c r="I4" i="10" s="1"/>
  <c r="F11" i="10" l="1"/>
  <c r="E10" i="10"/>
  <c r="G10" i="10"/>
  <c r="M4" i="10"/>
  <c r="K4" i="10"/>
  <c r="J5" i="10"/>
  <c r="F12" i="10" l="1"/>
  <c r="E11" i="10"/>
  <c r="G11" i="10"/>
  <c r="L4" i="10"/>
  <c r="K5" i="10"/>
  <c r="H5" i="10"/>
  <c r="V16" i="10"/>
  <c r="J6" i="10"/>
  <c r="K6" i="10" s="1"/>
  <c r="I5" i="10" l="1"/>
  <c r="L5" i="10" s="1"/>
  <c r="F13" i="10"/>
  <c r="E12" i="10"/>
  <c r="G12" i="10"/>
  <c r="H6" i="10"/>
  <c r="I6" i="10" l="1"/>
  <c r="M5" i="10"/>
  <c r="F14" i="10"/>
  <c r="E13" i="10"/>
  <c r="G13" i="10"/>
  <c r="H7" i="10"/>
  <c r="M6" i="10"/>
  <c r="I7" i="10" l="1"/>
  <c r="F15" i="10"/>
  <c r="E14" i="10"/>
  <c r="G14" i="10"/>
  <c r="H8" i="10"/>
  <c r="L6" i="10"/>
  <c r="J7" i="10"/>
  <c r="K7" i="10" s="1"/>
  <c r="F16" i="10" l="1"/>
  <c r="E15" i="10"/>
  <c r="G15" i="10"/>
  <c r="M7" i="10"/>
  <c r="I8" i="10"/>
  <c r="J8" i="10"/>
  <c r="K8" i="10" s="1"/>
  <c r="H9" i="10"/>
  <c r="L7" i="10"/>
  <c r="F17" i="10" l="1"/>
  <c r="E16" i="10"/>
  <c r="G16" i="10"/>
  <c r="M8" i="10"/>
  <c r="H10" i="10"/>
  <c r="L8" i="10"/>
  <c r="I9" i="10"/>
  <c r="J9" i="10"/>
  <c r="K9" i="10" s="1"/>
  <c r="M9" i="10" l="1"/>
  <c r="F18" i="10"/>
  <c r="E17" i="10"/>
  <c r="G17" i="10"/>
  <c r="J10" i="10"/>
  <c r="K10" i="10" s="1"/>
  <c r="H11" i="10"/>
  <c r="L9" i="10"/>
  <c r="I10" i="10"/>
  <c r="M10" i="10" l="1"/>
  <c r="F19" i="10"/>
  <c r="E18" i="10"/>
  <c r="G18" i="10"/>
  <c r="H12" i="10"/>
  <c r="L10" i="10"/>
  <c r="J11" i="10"/>
  <c r="K11" i="10" s="1"/>
  <c r="I11" i="10"/>
  <c r="M11" i="10" s="1"/>
  <c r="F20" i="10" l="1"/>
  <c r="E19" i="10"/>
  <c r="G19" i="10"/>
  <c r="H13" i="10"/>
  <c r="L11" i="10"/>
  <c r="I12" i="10"/>
  <c r="M12" i="10" s="1"/>
  <c r="J12" i="10"/>
  <c r="F21" i="10" l="1"/>
  <c r="E20" i="10"/>
  <c r="G20" i="10"/>
  <c r="L12" i="10"/>
  <c r="J13" i="10"/>
  <c r="K13" i="10" s="1"/>
  <c r="K12" i="10"/>
  <c r="H14" i="10"/>
  <c r="I13" i="10"/>
  <c r="M13" i="10" s="1"/>
  <c r="F22" i="10" l="1"/>
  <c r="E21" i="10"/>
  <c r="G21" i="10"/>
  <c r="H15" i="10"/>
  <c r="I14" i="10"/>
  <c r="M14" i="10" s="1"/>
  <c r="J14" i="10"/>
  <c r="L13" i="10"/>
  <c r="F23" i="10" l="1"/>
  <c r="E22" i="10"/>
  <c r="G22" i="10"/>
  <c r="J15" i="10"/>
  <c r="K15" i="10" s="1"/>
  <c r="K14" i="10"/>
  <c r="H16" i="10"/>
  <c r="I15" i="10"/>
  <c r="M15" i="10" s="1"/>
  <c r="L14" i="10"/>
  <c r="F24" i="10" l="1"/>
  <c r="E23" i="10"/>
  <c r="G23" i="10"/>
  <c r="H17" i="10"/>
  <c r="L15" i="10"/>
  <c r="J16" i="10"/>
  <c r="K16" i="10" s="1"/>
  <c r="I16" i="10"/>
  <c r="M16" i="10" s="1"/>
  <c r="F25" i="10" l="1"/>
  <c r="E24" i="10"/>
  <c r="G24" i="10"/>
  <c r="H18" i="10"/>
  <c r="L16" i="10"/>
  <c r="J17" i="10"/>
  <c r="I17" i="10"/>
  <c r="M17" i="10" s="1"/>
  <c r="F26" i="10" l="1"/>
  <c r="E25" i="10"/>
  <c r="G25" i="10"/>
  <c r="J18" i="10"/>
  <c r="K18" i="10" s="1"/>
  <c r="K17" i="10"/>
  <c r="H19" i="10"/>
  <c r="L17" i="10"/>
  <c r="I18" i="10"/>
  <c r="M18" i="10" s="1"/>
  <c r="F27" i="10" l="1"/>
  <c r="E26" i="10"/>
  <c r="G26" i="10"/>
  <c r="H20" i="10"/>
  <c r="L18" i="10"/>
  <c r="I19" i="10"/>
  <c r="M19" i="10" s="1"/>
  <c r="J19" i="10"/>
  <c r="K19" i="10" s="1"/>
  <c r="F28" i="10" l="1"/>
  <c r="E27" i="10"/>
  <c r="G27" i="10"/>
  <c r="J20" i="10"/>
  <c r="K20" i="10" s="1"/>
  <c r="H21" i="10"/>
  <c r="L19" i="10"/>
  <c r="I20" i="10"/>
  <c r="M20" i="10" s="1"/>
  <c r="F29" i="10" l="1"/>
  <c r="E28" i="10"/>
  <c r="G28" i="10"/>
  <c r="J21" i="10"/>
  <c r="K21" i="10" s="1"/>
  <c r="H22" i="10"/>
  <c r="I21" i="10"/>
  <c r="M21" i="10" s="1"/>
  <c r="L20" i="10"/>
  <c r="F30" i="10" l="1"/>
  <c r="E29" i="10"/>
  <c r="G29" i="10"/>
  <c r="J22" i="10"/>
  <c r="K22" i="10" s="1"/>
  <c r="H23" i="10"/>
  <c r="L21" i="10"/>
  <c r="I22" i="10"/>
  <c r="M22" i="10" s="1"/>
  <c r="F31" i="10" l="1"/>
  <c r="E30" i="10"/>
  <c r="G30" i="10"/>
  <c r="L22" i="10"/>
  <c r="I23" i="10"/>
  <c r="M23" i="10" s="1"/>
  <c r="H24" i="10"/>
  <c r="J23" i="10"/>
  <c r="K23" i="10" s="1"/>
  <c r="F32" i="10" l="1"/>
  <c r="E31" i="10"/>
  <c r="G31" i="10"/>
  <c r="L23" i="10"/>
  <c r="I24" i="10"/>
  <c r="M24" i="10" s="1"/>
  <c r="J24" i="10"/>
  <c r="K24" i="10" s="1"/>
  <c r="H25" i="10"/>
  <c r="F33" i="10" l="1"/>
  <c r="E32" i="10"/>
  <c r="G32" i="10"/>
  <c r="L24" i="10"/>
  <c r="I25" i="10"/>
  <c r="M25" i="10" s="1"/>
  <c r="J25" i="10"/>
  <c r="K25" i="10" s="1"/>
  <c r="H26" i="10"/>
  <c r="F34" i="10" l="1"/>
  <c r="E33" i="10"/>
  <c r="G33" i="10"/>
  <c r="L25" i="10"/>
  <c r="I26" i="10"/>
  <c r="M26" i="10" s="1"/>
  <c r="J26" i="10"/>
  <c r="K26" i="10" s="1"/>
  <c r="H27" i="10"/>
  <c r="F35" i="10" l="1"/>
  <c r="E34" i="10"/>
  <c r="G34" i="10"/>
  <c r="L26" i="10"/>
  <c r="H28" i="10"/>
  <c r="I27" i="10"/>
  <c r="M27" i="10" s="1"/>
  <c r="J27" i="10"/>
  <c r="K27" i="10" s="1"/>
  <c r="F36" i="10" l="1"/>
  <c r="E35" i="10"/>
  <c r="G35" i="10"/>
  <c r="J28" i="10"/>
  <c r="K28" i="10" s="1"/>
  <c r="H29" i="10"/>
  <c r="L27" i="10"/>
  <c r="I28" i="10"/>
  <c r="M28" i="10" s="1"/>
  <c r="F37" i="10" l="1"/>
  <c r="E36" i="10"/>
  <c r="G36" i="10"/>
  <c r="H30" i="10"/>
  <c r="L28" i="10"/>
  <c r="I29" i="10"/>
  <c r="M29" i="10" s="1"/>
  <c r="J29" i="10"/>
  <c r="F38" i="10" l="1"/>
  <c r="E37" i="10"/>
  <c r="G37" i="10"/>
  <c r="J30" i="10"/>
  <c r="K30" i="10" s="1"/>
  <c r="K29" i="10"/>
  <c r="L29" i="10"/>
  <c r="I30" i="10"/>
  <c r="M30" i="10" s="1"/>
  <c r="F39" i="10" l="1"/>
  <c r="E38" i="10"/>
  <c r="G38" i="10"/>
  <c r="J31" i="10"/>
  <c r="K31" i="10" s="1"/>
  <c r="H31" i="10"/>
  <c r="I31" i="10" s="1"/>
  <c r="M31" i="10" s="1"/>
  <c r="L30" i="10"/>
  <c r="F40" i="10" l="1"/>
  <c r="E39" i="10"/>
  <c r="G39" i="10"/>
  <c r="J32" i="10"/>
  <c r="K32" i="10" s="1"/>
  <c r="H32" i="10"/>
  <c r="I32" i="10" s="1"/>
  <c r="M32" i="10" s="1"/>
  <c r="H33" i="10"/>
  <c r="L31" i="10"/>
  <c r="F41" i="10" l="1"/>
  <c r="E40" i="10"/>
  <c r="G40" i="10"/>
  <c r="J33" i="10"/>
  <c r="K33" i="10" s="1"/>
  <c r="H34" i="10"/>
  <c r="L32" i="10"/>
  <c r="I33" i="10"/>
  <c r="M33" i="10" s="1"/>
  <c r="F42" i="10" l="1"/>
  <c r="E41" i="10"/>
  <c r="G41" i="10"/>
  <c r="H35" i="10"/>
  <c r="L33" i="10"/>
  <c r="J34" i="10"/>
  <c r="K34" i="10" s="1"/>
  <c r="I34" i="10"/>
  <c r="M34" i="10" s="1"/>
  <c r="F43" i="10" l="1"/>
  <c r="E42" i="10"/>
  <c r="G42" i="10"/>
  <c r="H36" i="10"/>
  <c r="J35" i="10"/>
  <c r="K35" i="10" s="1"/>
  <c r="L34" i="10"/>
  <c r="I35" i="10"/>
  <c r="M35" i="10" s="1"/>
  <c r="F44" i="10" l="1"/>
  <c r="E43" i="10"/>
  <c r="G43" i="10"/>
  <c r="J36" i="10"/>
  <c r="K36" i="10" s="1"/>
  <c r="H37" i="10"/>
  <c r="I36" i="10"/>
  <c r="M36" i="10" s="1"/>
  <c r="L35" i="10"/>
  <c r="F45" i="10" l="1"/>
  <c r="E44" i="10"/>
  <c r="G44" i="10"/>
  <c r="H38" i="10"/>
  <c r="L36" i="10"/>
  <c r="J37" i="10"/>
  <c r="K37" i="10" s="1"/>
  <c r="I37" i="10"/>
  <c r="M37" i="10" s="1"/>
  <c r="F46" i="10" l="1"/>
  <c r="E45" i="10"/>
  <c r="G45" i="10"/>
  <c r="H39" i="10"/>
  <c r="I38" i="10"/>
  <c r="M38" i="10" s="1"/>
  <c r="L37" i="10"/>
  <c r="J38" i="10"/>
  <c r="K38" i="10" s="1"/>
  <c r="F47" i="10" l="1"/>
  <c r="E46" i="10"/>
  <c r="G46" i="10"/>
  <c r="H40" i="10"/>
  <c r="L38" i="10"/>
  <c r="J39" i="10"/>
  <c r="I39" i="10"/>
  <c r="F48" i="10" l="1"/>
  <c r="E47" i="10"/>
  <c r="G47" i="10"/>
  <c r="J40" i="10"/>
  <c r="K40" i="10" s="1"/>
  <c r="K39" i="10"/>
  <c r="I40" i="10"/>
  <c r="H41" i="10"/>
  <c r="M39" i="10"/>
  <c r="M40" i="10" s="1"/>
  <c r="L39" i="10"/>
  <c r="L40" i="10" s="1"/>
  <c r="F49" i="10" l="1"/>
  <c r="E48" i="10"/>
  <c r="G48" i="10"/>
  <c r="H42" i="10"/>
  <c r="J41" i="10"/>
  <c r="K41" i="10" s="1"/>
  <c r="I41" i="10"/>
  <c r="M41" i="10" s="1"/>
  <c r="F50" i="10" l="1"/>
  <c r="E49" i="10"/>
  <c r="G49" i="10"/>
  <c r="H43" i="10"/>
  <c r="L41" i="10"/>
  <c r="J42" i="10"/>
  <c r="K42" i="10" s="1"/>
  <c r="I42" i="10"/>
  <c r="M42" i="10" s="1"/>
  <c r="F51" i="10" l="1"/>
  <c r="E50" i="10"/>
  <c r="G50" i="10"/>
  <c r="H44" i="10"/>
  <c r="L42" i="10"/>
  <c r="J43" i="10"/>
  <c r="K43" i="10" s="1"/>
  <c r="I43" i="10"/>
  <c r="M43" i="10" s="1"/>
  <c r="F52" i="10" l="1"/>
  <c r="E51" i="10"/>
  <c r="G51" i="10"/>
  <c r="J44" i="10"/>
  <c r="K44" i="10" s="1"/>
  <c r="H45" i="10"/>
  <c r="I44" i="10"/>
  <c r="M44" i="10" s="1"/>
  <c r="L43" i="10"/>
  <c r="F53" i="10" l="1"/>
  <c r="E52" i="10"/>
  <c r="G52" i="10"/>
  <c r="H46" i="10"/>
  <c r="L44" i="10"/>
  <c r="J45" i="10"/>
  <c r="K45" i="10" s="1"/>
  <c r="I45" i="10"/>
  <c r="M45" i="10" s="1"/>
  <c r="F54" i="10" l="1"/>
  <c r="E53" i="10"/>
  <c r="G53" i="10"/>
  <c r="H47" i="10"/>
  <c r="I46" i="10"/>
  <c r="M46" i="10" s="1"/>
  <c r="L45" i="10"/>
  <c r="J46" i="10"/>
  <c r="F55" i="10" l="1"/>
  <c r="E54" i="10"/>
  <c r="G54" i="10"/>
  <c r="J47" i="10"/>
  <c r="K47" i="10" s="1"/>
  <c r="K46" i="10"/>
  <c r="H48" i="10"/>
  <c r="L46" i="10"/>
  <c r="I47" i="10"/>
  <c r="M47" i="10" s="1"/>
  <c r="F56" i="10" l="1"/>
  <c r="E55" i="10"/>
  <c r="G55" i="10"/>
  <c r="H49" i="10"/>
  <c r="J48" i="10"/>
  <c r="K48" i="10" s="1"/>
  <c r="L47" i="10"/>
  <c r="I48" i="10"/>
  <c r="M48" i="10" s="1"/>
  <c r="F57" i="10" l="1"/>
  <c r="E56" i="10"/>
  <c r="G56" i="10"/>
  <c r="H50" i="10"/>
  <c r="J49" i="10"/>
  <c r="K49" i="10" s="1"/>
  <c r="L48" i="10"/>
  <c r="I49" i="10"/>
  <c r="M49" i="10" s="1"/>
  <c r="F58" i="10" l="1"/>
  <c r="E57" i="10"/>
  <c r="G57" i="10"/>
  <c r="H51" i="10"/>
  <c r="L49" i="10"/>
  <c r="J50" i="10"/>
  <c r="K50" i="10" s="1"/>
  <c r="I50" i="10"/>
  <c r="F59" i="10" l="1"/>
  <c r="E58" i="10"/>
  <c r="G58" i="10"/>
  <c r="H52" i="10"/>
  <c r="L50" i="10"/>
  <c r="M50" i="10"/>
  <c r="J51" i="10"/>
  <c r="K51" i="10" s="1"/>
  <c r="I51" i="10"/>
  <c r="F60" i="10" l="1"/>
  <c r="E59" i="10"/>
  <c r="G59" i="10"/>
  <c r="L51" i="10"/>
  <c r="H53" i="10"/>
  <c r="M51" i="10"/>
  <c r="J52" i="10"/>
  <c r="K52" i="10" s="1"/>
  <c r="I52" i="10"/>
  <c r="F61" i="10" l="1"/>
  <c r="E60" i="10"/>
  <c r="G60" i="10"/>
  <c r="L52" i="10"/>
  <c r="H54" i="10"/>
  <c r="M52" i="10"/>
  <c r="J53" i="10"/>
  <c r="K53" i="10" s="1"/>
  <c r="I53" i="10"/>
  <c r="F62" i="10" l="1"/>
  <c r="E61" i="10"/>
  <c r="G61" i="10"/>
  <c r="L53" i="10"/>
  <c r="H55" i="10"/>
  <c r="M53" i="10"/>
  <c r="J54" i="10"/>
  <c r="K54" i="10" s="1"/>
  <c r="I54" i="10"/>
  <c r="F63" i="10" l="1"/>
  <c r="E62" i="10"/>
  <c r="G62" i="10"/>
  <c r="L54" i="10"/>
  <c r="H56" i="10"/>
  <c r="M54" i="10"/>
  <c r="I55" i="10"/>
  <c r="J55" i="10"/>
  <c r="K55" i="10" s="1"/>
  <c r="F64" i="10" l="1"/>
  <c r="E63" i="10"/>
  <c r="G63" i="10"/>
  <c r="L55" i="10"/>
  <c r="H57" i="10"/>
  <c r="M55" i="10"/>
  <c r="J56" i="10"/>
  <c r="K56" i="10" s="1"/>
  <c r="I56" i="10"/>
  <c r="F65" i="10" l="1"/>
  <c r="E64" i="10"/>
  <c r="G64" i="10"/>
  <c r="L56" i="10"/>
  <c r="H58" i="10"/>
  <c r="M56" i="10"/>
  <c r="I57" i="10"/>
  <c r="J57" i="10"/>
  <c r="K57" i="10" s="1"/>
  <c r="F66" i="10" l="1"/>
  <c r="E65" i="10"/>
  <c r="G65" i="10"/>
  <c r="M57" i="10"/>
  <c r="L57" i="10"/>
  <c r="H59" i="10"/>
  <c r="J58" i="10"/>
  <c r="K58" i="10" s="1"/>
  <c r="I58" i="10"/>
  <c r="F67" i="10" l="1"/>
  <c r="E66" i="10"/>
  <c r="G66" i="10"/>
  <c r="L58" i="10"/>
  <c r="H60" i="10"/>
  <c r="M58" i="10"/>
  <c r="J59" i="10"/>
  <c r="K59" i="10" s="1"/>
  <c r="I59" i="10"/>
  <c r="F68" i="10" l="1"/>
  <c r="E67" i="10"/>
  <c r="G67" i="10"/>
  <c r="L59" i="10"/>
  <c r="H61" i="10"/>
  <c r="M59" i="10"/>
  <c r="J60" i="10"/>
  <c r="K60" i="10" s="1"/>
  <c r="I60" i="10"/>
  <c r="F69" i="10" l="1"/>
  <c r="E68" i="10"/>
  <c r="G68" i="10"/>
  <c r="L60" i="10"/>
  <c r="H62" i="10"/>
  <c r="M60" i="10"/>
  <c r="I61" i="10"/>
  <c r="J61" i="10"/>
  <c r="K61" i="10" s="1"/>
  <c r="F70" i="10" l="1"/>
  <c r="E69" i="10"/>
  <c r="G69" i="10"/>
  <c r="I62" i="10"/>
  <c r="L61" i="10"/>
  <c r="H63" i="10"/>
  <c r="M61" i="10"/>
  <c r="J62" i="10"/>
  <c r="K62" i="10" s="1"/>
  <c r="F71" i="10" l="1"/>
  <c r="E70" i="10"/>
  <c r="G70" i="10"/>
  <c r="M62" i="10"/>
  <c r="L62" i="10"/>
  <c r="H64" i="10"/>
  <c r="I63" i="10"/>
  <c r="J63" i="10"/>
  <c r="K63" i="10" s="1"/>
  <c r="F72" i="10" l="1"/>
  <c r="E71" i="10"/>
  <c r="G71" i="10"/>
  <c r="M63" i="10"/>
  <c r="H65" i="10"/>
  <c r="J64" i="10"/>
  <c r="K64" i="10" s="1"/>
  <c r="L63" i="10"/>
  <c r="I64" i="10"/>
  <c r="F73" i="10" l="1"/>
  <c r="E72" i="10"/>
  <c r="G72" i="10"/>
  <c r="M64" i="10"/>
  <c r="H66" i="10"/>
  <c r="L64" i="10"/>
  <c r="J65" i="10"/>
  <c r="K65" i="10" s="1"/>
  <c r="I65" i="10"/>
  <c r="F74" i="10" l="1"/>
  <c r="E73" i="10"/>
  <c r="G73" i="10"/>
  <c r="M65" i="10"/>
  <c r="J66" i="10"/>
  <c r="K66" i="10" s="1"/>
  <c r="L65" i="10"/>
  <c r="I66" i="10"/>
  <c r="F75" i="10" l="1"/>
  <c r="E74" i="10"/>
  <c r="G74" i="10"/>
  <c r="M66" i="10"/>
  <c r="J67" i="10"/>
  <c r="K67" i="10" s="1"/>
  <c r="L66" i="10"/>
  <c r="H67" i="10"/>
  <c r="I67" i="10" s="1"/>
  <c r="C5" i="17" s="1"/>
  <c r="H68" i="10"/>
  <c r="F76" i="10" l="1"/>
  <c r="E75" i="10"/>
  <c r="G75" i="10"/>
  <c r="N5" i="17"/>
  <c r="H5" i="17"/>
  <c r="I5" i="17"/>
  <c r="M67" i="10"/>
  <c r="L67" i="10"/>
  <c r="I68" i="10"/>
  <c r="J68" i="10"/>
  <c r="K68" i="10" s="1"/>
  <c r="F77" i="10" l="1"/>
  <c r="E76" i="10"/>
  <c r="G76" i="10"/>
  <c r="M68" i="10"/>
  <c r="H70" i="10"/>
  <c r="L68" i="10"/>
  <c r="J69" i="10"/>
  <c r="K69" i="10" s="1"/>
  <c r="H69" i="10"/>
  <c r="I69" i="10" s="1"/>
  <c r="F78" i="10" l="1"/>
  <c r="E77" i="10"/>
  <c r="G77" i="10"/>
  <c r="M69" i="10"/>
  <c r="J70" i="10"/>
  <c r="L69" i="10"/>
  <c r="I70" i="10"/>
  <c r="F79" i="10" l="1"/>
  <c r="E78" i="10"/>
  <c r="G78" i="10"/>
  <c r="M70" i="10"/>
  <c r="J71" i="10"/>
  <c r="K71" i="10" s="1"/>
  <c r="K70" i="10"/>
  <c r="H72" i="10"/>
  <c r="L70" i="10"/>
  <c r="H71" i="10"/>
  <c r="I71" i="10" s="1"/>
  <c r="F80" i="10" l="1"/>
  <c r="E79" i="10"/>
  <c r="G79" i="10"/>
  <c r="M71" i="10"/>
  <c r="H73" i="10"/>
  <c r="J72" i="10"/>
  <c r="K72" i="10" s="1"/>
  <c r="I72" i="10"/>
  <c r="L71" i="10"/>
  <c r="F81" i="10" l="1"/>
  <c r="E80" i="10"/>
  <c r="G80" i="10"/>
  <c r="M72" i="10"/>
  <c r="H74" i="10"/>
  <c r="L72" i="10"/>
  <c r="I73" i="10"/>
  <c r="J73" i="10"/>
  <c r="K73" i="10" s="1"/>
  <c r="F82" i="10" l="1"/>
  <c r="E81" i="10"/>
  <c r="G81" i="10"/>
  <c r="M73" i="10"/>
  <c r="H75" i="10"/>
  <c r="J74" i="10"/>
  <c r="K74" i="10" s="1"/>
  <c r="L73" i="10"/>
  <c r="I74" i="10"/>
  <c r="F83" i="10" l="1"/>
  <c r="E82" i="10"/>
  <c r="G82" i="10"/>
  <c r="M74" i="10"/>
  <c r="H76" i="10"/>
  <c r="L74" i="10"/>
  <c r="I75" i="10"/>
  <c r="J75" i="10"/>
  <c r="K75" i="10" s="1"/>
  <c r="F84" i="10" l="1"/>
  <c r="E83" i="10"/>
  <c r="G83" i="10"/>
  <c r="M75" i="10"/>
  <c r="H77" i="10"/>
  <c r="J76" i="10"/>
  <c r="K76" i="10" s="1"/>
  <c r="L75" i="10"/>
  <c r="I76" i="10"/>
  <c r="F85" i="10" l="1"/>
  <c r="E84" i="10"/>
  <c r="G84" i="10"/>
  <c r="M76" i="10"/>
  <c r="H78" i="10"/>
  <c r="L76" i="10"/>
  <c r="I77" i="10"/>
  <c r="J77" i="10"/>
  <c r="K77" i="10" s="1"/>
  <c r="F86" i="10" l="1"/>
  <c r="E85" i="10"/>
  <c r="G85" i="10"/>
  <c r="M77" i="10"/>
  <c r="H79" i="10"/>
  <c r="L77" i="10"/>
  <c r="I78" i="10"/>
  <c r="J78" i="10"/>
  <c r="K78" i="10" s="1"/>
  <c r="F87" i="10" l="1"/>
  <c r="E86" i="10"/>
  <c r="G86" i="10"/>
  <c r="M78" i="10"/>
  <c r="H80" i="10"/>
  <c r="L78" i="10"/>
  <c r="J79" i="10"/>
  <c r="K79" i="10" s="1"/>
  <c r="I79" i="10"/>
  <c r="F88" i="10" l="1"/>
  <c r="E87" i="10"/>
  <c r="G87" i="10"/>
  <c r="H81" i="10"/>
  <c r="L79" i="10"/>
  <c r="M79" i="10"/>
  <c r="J80" i="10"/>
  <c r="K80" i="10" s="1"/>
  <c r="I80" i="10"/>
  <c r="F89" i="10" l="1"/>
  <c r="E88" i="10"/>
  <c r="G88" i="10"/>
  <c r="L80" i="10"/>
  <c r="H82" i="10"/>
  <c r="M80" i="10"/>
  <c r="J81" i="10"/>
  <c r="K81" i="10" s="1"/>
  <c r="I81" i="10"/>
  <c r="F90" i="10" l="1"/>
  <c r="E89" i="10"/>
  <c r="G89" i="10"/>
  <c r="L81" i="10"/>
  <c r="M81" i="10"/>
  <c r="I82" i="10"/>
  <c r="J82" i="10"/>
  <c r="K82" i="10" s="1"/>
  <c r="F91" i="10" l="1"/>
  <c r="E90" i="10"/>
  <c r="G90" i="10"/>
  <c r="L82" i="10"/>
  <c r="H84" i="10"/>
  <c r="M82" i="10"/>
  <c r="J83" i="10"/>
  <c r="K83" i="10" s="1"/>
  <c r="H83" i="10"/>
  <c r="I83" i="10" s="1"/>
  <c r="F92" i="10" l="1"/>
  <c r="E91" i="10"/>
  <c r="G91" i="10"/>
  <c r="H85" i="10"/>
  <c r="M83" i="10"/>
  <c r="J84" i="10"/>
  <c r="K84" i="10" s="1"/>
  <c r="I84" i="10"/>
  <c r="L83" i="10"/>
  <c r="L84" i="10" s="1"/>
  <c r="F93" i="10" l="1"/>
  <c r="E92" i="10"/>
  <c r="G92" i="10"/>
  <c r="M84" i="10"/>
  <c r="J85" i="10"/>
  <c r="K85" i="10" s="1"/>
  <c r="I85" i="10"/>
  <c r="L85" i="10" s="1"/>
  <c r="F94" i="10" l="1"/>
  <c r="E93" i="10"/>
  <c r="G93" i="10"/>
  <c r="J86" i="10"/>
  <c r="K86" i="10" s="1"/>
  <c r="H87" i="10"/>
  <c r="M85" i="10"/>
  <c r="H86" i="10"/>
  <c r="I86" i="10" s="1"/>
  <c r="L86" i="10" s="1"/>
  <c r="F95" i="10" l="1"/>
  <c r="E94" i="10"/>
  <c r="G94" i="10"/>
  <c r="H88" i="10"/>
  <c r="M86" i="10"/>
  <c r="J87" i="10"/>
  <c r="K87" i="10" s="1"/>
  <c r="I87" i="10"/>
  <c r="L87" i="10" s="1"/>
  <c r="F96" i="10" l="1"/>
  <c r="E95" i="10"/>
  <c r="G95" i="10"/>
  <c r="H89" i="10"/>
  <c r="M87" i="10"/>
  <c r="J88" i="10"/>
  <c r="K88" i="10" s="1"/>
  <c r="I88" i="10"/>
  <c r="L88" i="10" s="1"/>
  <c r="F97" i="10" l="1"/>
  <c r="E96" i="10"/>
  <c r="G96" i="10"/>
  <c r="H90" i="10"/>
  <c r="M88" i="10"/>
  <c r="J89" i="10"/>
  <c r="K89" i="10" s="1"/>
  <c r="I89" i="10"/>
  <c r="L89" i="10" s="1"/>
  <c r="F98" i="10" l="1"/>
  <c r="E97" i="10"/>
  <c r="G97" i="10"/>
  <c r="M89" i="10"/>
  <c r="J90" i="10"/>
  <c r="K90" i="10" s="1"/>
  <c r="I90" i="10"/>
  <c r="L90" i="10" s="1"/>
  <c r="F99" i="10" l="1"/>
  <c r="E98" i="10"/>
  <c r="G98" i="10"/>
  <c r="M90" i="10"/>
  <c r="J91" i="10"/>
  <c r="K91" i="10" s="1"/>
  <c r="H91" i="10"/>
  <c r="I91" i="10" s="1"/>
  <c r="F100" i="10" l="1"/>
  <c r="E99" i="10"/>
  <c r="G99" i="10"/>
  <c r="J92" i="10"/>
  <c r="K92" i="10" s="1"/>
  <c r="H93" i="10"/>
  <c r="M91" i="10"/>
  <c r="H92" i="10"/>
  <c r="I92" i="10" s="1"/>
  <c r="L91" i="10"/>
  <c r="F101" i="10" l="1"/>
  <c r="E100" i="10"/>
  <c r="G100" i="10"/>
  <c r="H94" i="10"/>
  <c r="M92" i="10"/>
  <c r="J93" i="10"/>
  <c r="K93" i="10" s="1"/>
  <c r="L92" i="10"/>
  <c r="I93" i="10"/>
  <c r="F102" i="10" l="1"/>
  <c r="E101" i="10"/>
  <c r="G101" i="10"/>
  <c r="H95" i="10"/>
  <c r="M93" i="10"/>
  <c r="I94" i="10"/>
  <c r="L93" i="10"/>
  <c r="J94" i="10"/>
  <c r="K94" i="10" s="1"/>
  <c r="F103" i="10" l="1"/>
  <c r="E102" i="10"/>
  <c r="G102" i="10"/>
  <c r="L94" i="10"/>
  <c r="H96" i="10"/>
  <c r="M94" i="10"/>
  <c r="I95" i="10"/>
  <c r="J95" i="10"/>
  <c r="F104" i="10" l="1"/>
  <c r="E103" i="10"/>
  <c r="G103" i="10"/>
  <c r="M95" i="10"/>
  <c r="J96" i="10"/>
  <c r="K96" i="10" s="1"/>
  <c r="K95" i="10"/>
  <c r="L95" i="10"/>
  <c r="H97" i="10"/>
  <c r="I96" i="10"/>
  <c r="F105" i="10" l="1"/>
  <c r="E104" i="10"/>
  <c r="G104" i="10"/>
  <c r="M96" i="10"/>
  <c r="L96" i="10"/>
  <c r="I97" i="10"/>
  <c r="H98" i="10"/>
  <c r="J97" i="10"/>
  <c r="K97" i="10" s="1"/>
  <c r="F106" i="10" l="1"/>
  <c r="E105" i="10"/>
  <c r="G105" i="10"/>
  <c r="M97" i="10"/>
  <c r="I98" i="10"/>
  <c r="L97" i="10"/>
  <c r="H99" i="10"/>
  <c r="J98" i="10"/>
  <c r="K98" i="10" s="1"/>
  <c r="F107" i="10" l="1"/>
  <c r="E106" i="10"/>
  <c r="G106" i="10"/>
  <c r="M98" i="10"/>
  <c r="L98" i="10"/>
  <c r="I99" i="10"/>
  <c r="H100" i="10"/>
  <c r="J99" i="10"/>
  <c r="K99" i="10" s="1"/>
  <c r="F108" i="10" l="1"/>
  <c r="E107" i="10"/>
  <c r="G107" i="10"/>
  <c r="M99" i="10"/>
  <c r="I100" i="10"/>
  <c r="L99" i="10"/>
  <c r="J100" i="10"/>
  <c r="K100" i="10" s="1"/>
  <c r="F109" i="10" l="1"/>
  <c r="E108" i="10"/>
  <c r="G108" i="10"/>
  <c r="M100" i="10"/>
  <c r="L100" i="10"/>
  <c r="H102" i="10"/>
  <c r="J101" i="10"/>
  <c r="K101" i="10" s="1"/>
  <c r="H101" i="10"/>
  <c r="I101" i="10" s="1"/>
  <c r="F110" i="10" l="1"/>
  <c r="E109" i="10"/>
  <c r="G109" i="10"/>
  <c r="L101" i="10"/>
  <c r="M101" i="10"/>
  <c r="J102" i="10"/>
  <c r="K102" i="10" s="1"/>
  <c r="I102" i="10"/>
  <c r="F111" i="10" l="1"/>
  <c r="E110" i="10"/>
  <c r="G110" i="10"/>
  <c r="L102" i="10"/>
  <c r="J103" i="10"/>
  <c r="K103" i="10" s="1"/>
  <c r="H103" i="10"/>
  <c r="I103" i="10" s="1"/>
  <c r="H104" i="10"/>
  <c r="M102" i="10"/>
  <c r="F112" i="10" l="1"/>
  <c r="E111" i="10"/>
  <c r="G111" i="10"/>
  <c r="L103" i="10"/>
  <c r="I104" i="10"/>
  <c r="H105" i="10"/>
  <c r="M103" i="10"/>
  <c r="J104" i="10"/>
  <c r="K104" i="10" s="1"/>
  <c r="F113" i="10" l="1"/>
  <c r="E112" i="10"/>
  <c r="G112" i="10"/>
  <c r="L104" i="10"/>
  <c r="M104" i="10"/>
  <c r="I105" i="10"/>
  <c r="H106" i="10"/>
  <c r="J105" i="10"/>
  <c r="K105" i="10" s="1"/>
  <c r="F114" i="10" l="1"/>
  <c r="E113" i="10"/>
  <c r="G113" i="10"/>
  <c r="L105" i="10"/>
  <c r="I106" i="10"/>
  <c r="M105" i="10"/>
  <c r="H107" i="10"/>
  <c r="J106" i="10"/>
  <c r="F115" i="10" l="1"/>
  <c r="E114" i="10"/>
  <c r="G114" i="10"/>
  <c r="L106" i="10"/>
  <c r="M106" i="10"/>
  <c r="I107" i="10"/>
  <c r="J107" i="10"/>
  <c r="K107" i="10" s="1"/>
  <c r="K106" i="10"/>
  <c r="H108" i="10"/>
  <c r="F116" i="10" l="1"/>
  <c r="E115" i="10"/>
  <c r="G115" i="10"/>
  <c r="M107" i="10"/>
  <c r="I108" i="10"/>
  <c r="L107" i="10"/>
  <c r="L108" i="10" s="1"/>
  <c r="J108" i="10"/>
  <c r="F117" i="10" l="1"/>
  <c r="E116" i="10"/>
  <c r="G116" i="10"/>
  <c r="M108" i="10"/>
  <c r="J109" i="10"/>
  <c r="K109" i="10" s="1"/>
  <c r="K108" i="10"/>
  <c r="H110" i="10"/>
  <c r="H109" i="10"/>
  <c r="I109" i="10" s="1"/>
  <c r="F118" i="10" l="1"/>
  <c r="E117" i="10"/>
  <c r="G117" i="10"/>
  <c r="M109" i="10"/>
  <c r="H111" i="10"/>
  <c r="J110" i="10"/>
  <c r="K110" i="10" s="1"/>
  <c r="I110" i="10"/>
  <c r="L109" i="10"/>
  <c r="F119" i="10" l="1"/>
  <c r="E118" i="10"/>
  <c r="G118" i="10"/>
  <c r="M110" i="10"/>
  <c r="H112" i="10"/>
  <c r="J111" i="10"/>
  <c r="K111" i="10" s="1"/>
  <c r="I111" i="10"/>
  <c r="L110" i="10"/>
  <c r="F120" i="10" l="1"/>
  <c r="E119" i="10"/>
  <c r="G119" i="10"/>
  <c r="M111" i="10"/>
  <c r="J112" i="10"/>
  <c r="K112" i="10" s="1"/>
  <c r="H113" i="10"/>
  <c r="I112" i="10"/>
  <c r="L111" i="10"/>
  <c r="F121" i="10" l="1"/>
  <c r="E120" i="10"/>
  <c r="G120" i="10"/>
  <c r="M112" i="10"/>
  <c r="J113" i="10"/>
  <c r="K113" i="10" s="1"/>
  <c r="L112" i="10"/>
  <c r="I113" i="10"/>
  <c r="F122" i="10" l="1"/>
  <c r="E121" i="10"/>
  <c r="G121" i="10"/>
  <c r="M113" i="10"/>
  <c r="J114" i="10"/>
  <c r="K114" i="10" s="1"/>
  <c r="H115" i="10"/>
  <c r="H114" i="10"/>
  <c r="I114" i="10" s="1"/>
  <c r="L113" i="10"/>
  <c r="F123" i="10" l="1"/>
  <c r="E122" i="10"/>
  <c r="G122" i="10"/>
  <c r="M114" i="10"/>
  <c r="I115" i="10"/>
  <c r="J115" i="10"/>
  <c r="L114" i="10"/>
  <c r="F124" i="10" l="1"/>
  <c r="E123" i="10"/>
  <c r="G123" i="10"/>
  <c r="M115" i="10"/>
  <c r="J116" i="10"/>
  <c r="K116" i="10" s="1"/>
  <c r="K115" i="10"/>
  <c r="H117" i="10"/>
  <c r="L115" i="10"/>
  <c r="H116" i="10"/>
  <c r="I116" i="10" s="1"/>
  <c r="F125" i="10" l="1"/>
  <c r="E124" i="10"/>
  <c r="G124" i="10"/>
  <c r="L116" i="10"/>
  <c r="H118" i="10"/>
  <c r="M116" i="10"/>
  <c r="J117" i="10"/>
  <c r="K117" i="10" s="1"/>
  <c r="I117" i="10"/>
  <c r="F126" i="10" l="1"/>
  <c r="E125" i="10"/>
  <c r="G125" i="10"/>
  <c r="L117" i="10"/>
  <c r="H119" i="10"/>
  <c r="M117" i="10"/>
  <c r="I118" i="10"/>
  <c r="J118" i="10"/>
  <c r="K118" i="10" s="1"/>
  <c r="F127" i="10" l="1"/>
  <c r="E126" i="10"/>
  <c r="G126" i="10"/>
  <c r="L118" i="10"/>
  <c r="H120" i="10"/>
  <c r="M118" i="10"/>
  <c r="J119" i="10"/>
  <c r="K119" i="10" s="1"/>
  <c r="I119" i="10"/>
  <c r="F128" i="10" l="1"/>
  <c r="E127" i="10"/>
  <c r="G127" i="10"/>
  <c r="M119" i="10"/>
  <c r="H121" i="10"/>
  <c r="L119" i="10"/>
  <c r="I120" i="10"/>
  <c r="J120" i="10"/>
  <c r="K120" i="10" s="1"/>
  <c r="F129" i="10" l="1"/>
  <c r="E128" i="10"/>
  <c r="G128" i="10"/>
  <c r="M120" i="10"/>
  <c r="L120" i="10"/>
  <c r="I121" i="10"/>
  <c r="H122" i="10"/>
  <c r="I122" i="10" s="1"/>
  <c r="J121" i="10"/>
  <c r="F130" i="10" l="1"/>
  <c r="E129" i="10"/>
  <c r="G129" i="10"/>
  <c r="M121" i="10"/>
  <c r="M122" i="10" s="1"/>
  <c r="L121" i="10"/>
  <c r="L122" i="10" s="1"/>
  <c r="J122" i="10"/>
  <c r="K122" i="10" s="1"/>
  <c r="K121" i="10"/>
  <c r="H123" i="10"/>
  <c r="I123" i="10" s="1"/>
  <c r="F131" i="10" l="1"/>
  <c r="E130" i="10"/>
  <c r="G130" i="10"/>
  <c r="M123" i="10"/>
  <c r="J123" i="10"/>
  <c r="L123" i="10"/>
  <c r="F132" i="10" l="1"/>
  <c r="E131" i="10"/>
  <c r="G131" i="10"/>
  <c r="J124" i="10"/>
  <c r="K124" i="10" s="1"/>
  <c r="K123" i="10"/>
  <c r="H125" i="10"/>
  <c r="H124" i="10"/>
  <c r="I124" i="10" s="1"/>
  <c r="M124" i="10" s="1"/>
  <c r="F133" i="10" l="1"/>
  <c r="E132" i="10"/>
  <c r="G132" i="10"/>
  <c r="H126" i="10"/>
  <c r="L124" i="10"/>
  <c r="J125" i="10"/>
  <c r="K125" i="10" s="1"/>
  <c r="I125" i="10"/>
  <c r="M125" i="10" s="1"/>
  <c r="F134" i="10" l="1"/>
  <c r="E133" i="10"/>
  <c r="G133" i="10"/>
  <c r="L125" i="10"/>
  <c r="I126" i="10"/>
  <c r="M126" i="10" s="1"/>
  <c r="J126" i="10"/>
  <c r="K126" i="10" s="1"/>
  <c r="F135" i="10" l="1"/>
  <c r="E134" i="10"/>
  <c r="G134" i="10"/>
  <c r="L126" i="10"/>
  <c r="H128" i="10"/>
  <c r="J127" i="10"/>
  <c r="K127" i="10" s="1"/>
  <c r="H127" i="10"/>
  <c r="I127" i="10" s="1"/>
  <c r="M127" i="10" s="1"/>
  <c r="F136" i="10" l="1"/>
  <c r="E135" i="10"/>
  <c r="G135" i="10"/>
  <c r="H129" i="10"/>
  <c r="J128" i="10"/>
  <c r="K128" i="10" s="1"/>
  <c r="L127" i="10"/>
  <c r="I128" i="10"/>
  <c r="M128" i="10" s="1"/>
  <c r="F137" i="10" l="1"/>
  <c r="E136" i="10"/>
  <c r="G136" i="10"/>
  <c r="H130" i="10"/>
  <c r="J129" i="10"/>
  <c r="K129" i="10" s="1"/>
  <c r="I129" i="10"/>
  <c r="M129" i="10" s="1"/>
  <c r="L128" i="10"/>
  <c r="F138" i="10" l="1"/>
  <c r="E137" i="10"/>
  <c r="G137" i="10"/>
  <c r="H131" i="10"/>
  <c r="J130" i="10"/>
  <c r="K130" i="10" s="1"/>
  <c r="L129" i="10"/>
  <c r="I130" i="10"/>
  <c r="M130" i="10" s="1"/>
  <c r="F139" i="10" l="1"/>
  <c r="E138" i="10"/>
  <c r="G138" i="10"/>
  <c r="J131" i="10"/>
  <c r="K131" i="10" s="1"/>
  <c r="L130" i="10"/>
  <c r="I131" i="10"/>
  <c r="M131" i="10" s="1"/>
  <c r="F140" i="10" l="1"/>
  <c r="E139" i="10"/>
  <c r="G139" i="10"/>
  <c r="J132" i="10"/>
  <c r="K132" i="10" s="1"/>
  <c r="H132" i="10"/>
  <c r="I132" i="10" s="1"/>
  <c r="M132" i="10" s="1"/>
  <c r="L131" i="10"/>
  <c r="F141" i="10" l="1"/>
  <c r="E140" i="10"/>
  <c r="G140" i="10"/>
  <c r="H134" i="10"/>
  <c r="L132" i="10"/>
  <c r="J133" i="10"/>
  <c r="K133" i="10" s="1"/>
  <c r="H133" i="10"/>
  <c r="I133" i="10" s="1"/>
  <c r="C6" i="17" s="1"/>
  <c r="N6" i="17" l="1"/>
  <c r="H6" i="17"/>
  <c r="I6" i="17"/>
  <c r="F142" i="10"/>
  <c r="E141" i="10"/>
  <c r="G141" i="10"/>
  <c r="M133" i="10"/>
  <c r="H135" i="10"/>
  <c r="J134" i="10"/>
  <c r="K134" i="10" s="1"/>
  <c r="I134" i="10"/>
  <c r="L133" i="10"/>
  <c r="M134" i="10" l="1"/>
  <c r="F143" i="10"/>
  <c r="E142" i="10"/>
  <c r="G142" i="10"/>
  <c r="H136" i="10"/>
  <c r="J135" i="10"/>
  <c r="K135" i="10" s="1"/>
  <c r="L134" i="10"/>
  <c r="I135" i="10"/>
  <c r="M135" i="10" l="1"/>
  <c r="F144" i="10"/>
  <c r="E143" i="10"/>
  <c r="G143" i="10"/>
  <c r="H137" i="10"/>
  <c r="L135" i="10"/>
  <c r="I136" i="10"/>
  <c r="M136" i="10" s="1"/>
  <c r="J136" i="10"/>
  <c r="K136" i="10" s="1"/>
  <c r="F145" i="10" l="1"/>
  <c r="E144" i="10"/>
  <c r="G144" i="10"/>
  <c r="J137" i="10"/>
  <c r="K137" i="10" s="1"/>
  <c r="L136" i="10"/>
  <c r="I137" i="10"/>
  <c r="M137" i="10" s="1"/>
  <c r="F146" i="10" l="1"/>
  <c r="E145" i="10"/>
  <c r="G145" i="10"/>
  <c r="J138" i="10"/>
  <c r="K138" i="10" s="1"/>
  <c r="H138" i="10"/>
  <c r="L137" i="10"/>
  <c r="I138" i="10"/>
  <c r="M138" i="10" s="1"/>
  <c r="F147" i="10" l="1"/>
  <c r="E146" i="10"/>
  <c r="G146" i="10"/>
  <c r="J139" i="10"/>
  <c r="K139" i="10" s="1"/>
  <c r="H140" i="10"/>
  <c r="H139" i="10"/>
  <c r="I139" i="10" s="1"/>
  <c r="L138" i="10"/>
  <c r="F148" i="10" l="1"/>
  <c r="E147" i="10"/>
  <c r="G147" i="10"/>
  <c r="L139" i="10"/>
  <c r="M139" i="10"/>
  <c r="J140" i="10"/>
  <c r="I140" i="10"/>
  <c r="F149" i="10" l="1"/>
  <c r="E148" i="10"/>
  <c r="G148" i="10"/>
  <c r="L140" i="10"/>
  <c r="J141" i="10"/>
  <c r="K141" i="10" s="1"/>
  <c r="K140" i="10"/>
  <c r="H142" i="10"/>
  <c r="M140" i="10"/>
  <c r="H141" i="10"/>
  <c r="I141" i="10" s="1"/>
  <c r="L141" i="10" s="1"/>
  <c r="F150" i="10" l="1"/>
  <c r="E149" i="10"/>
  <c r="G149" i="10"/>
  <c r="M141" i="10"/>
  <c r="J142" i="10"/>
  <c r="K142" i="10" s="1"/>
  <c r="I142" i="10"/>
  <c r="L142" i="10" s="1"/>
  <c r="F151" i="10" l="1"/>
  <c r="E150" i="10"/>
  <c r="G150" i="10"/>
  <c r="J143" i="10"/>
  <c r="K143" i="10" s="1"/>
  <c r="H144" i="10"/>
  <c r="M142" i="10"/>
  <c r="H143" i="10"/>
  <c r="I143" i="10" s="1"/>
  <c r="L143" i="10" s="1"/>
  <c r="F152" i="10" l="1"/>
  <c r="E151" i="10"/>
  <c r="G151" i="10"/>
  <c r="H145" i="10"/>
  <c r="I144" i="10"/>
  <c r="L144" i="10" s="1"/>
  <c r="M143" i="10"/>
  <c r="J144" i="10"/>
  <c r="K144" i="10" s="1"/>
  <c r="F153" i="10" l="1"/>
  <c r="E152" i="10"/>
  <c r="G152" i="10"/>
  <c r="M144" i="10"/>
  <c r="I145" i="10"/>
  <c r="M145" i="10" s="1"/>
  <c r="H146" i="10"/>
  <c r="J145" i="10"/>
  <c r="K145" i="10" s="1"/>
  <c r="F154" i="10" l="1"/>
  <c r="E153" i="10"/>
  <c r="G153" i="10"/>
  <c r="L145" i="10"/>
  <c r="I146" i="10"/>
  <c r="M146" i="10" s="1"/>
  <c r="J146" i="10"/>
  <c r="F155" i="10" l="1"/>
  <c r="E154" i="10"/>
  <c r="G154" i="10"/>
  <c r="L146" i="10"/>
  <c r="J147" i="10"/>
  <c r="K147" i="10" s="1"/>
  <c r="K146" i="10"/>
  <c r="H148" i="10"/>
  <c r="H147" i="10"/>
  <c r="I147" i="10" s="1"/>
  <c r="M147" i="10" s="1"/>
  <c r="F156" i="10" l="1"/>
  <c r="E155" i="10"/>
  <c r="G155" i="10"/>
  <c r="L147" i="10"/>
  <c r="I148" i="10"/>
  <c r="H149" i="10"/>
  <c r="J148" i="10"/>
  <c r="K148" i="10" s="1"/>
  <c r="F157" i="10" l="1"/>
  <c r="E156" i="10"/>
  <c r="G156" i="10"/>
  <c r="L148" i="10"/>
  <c r="I149" i="10"/>
  <c r="M148" i="10"/>
  <c r="H150" i="10"/>
  <c r="J149" i="10"/>
  <c r="K149" i="10" s="1"/>
  <c r="F158" i="10" l="1"/>
  <c r="E157" i="10"/>
  <c r="G157" i="10"/>
  <c r="M149" i="10"/>
  <c r="J150" i="10"/>
  <c r="K150" i="10" s="1"/>
  <c r="L149" i="10"/>
  <c r="I150" i="10"/>
  <c r="H151" i="10"/>
  <c r="F159" i="10" l="1"/>
  <c r="E158" i="10"/>
  <c r="G158" i="10"/>
  <c r="I151" i="10"/>
  <c r="J151" i="10"/>
  <c r="K151" i="10" s="1"/>
  <c r="M150" i="10"/>
  <c r="L150" i="10"/>
  <c r="F160" i="10" l="1"/>
  <c r="E159" i="10"/>
  <c r="G159" i="10"/>
  <c r="M151" i="10"/>
  <c r="L151" i="10"/>
  <c r="J152" i="10"/>
  <c r="K152" i="10" s="1"/>
  <c r="H152" i="10"/>
  <c r="I152" i="10" s="1"/>
  <c r="F161" i="10" l="1"/>
  <c r="E160" i="10"/>
  <c r="G160" i="10"/>
  <c r="M152" i="10"/>
  <c r="J153" i="10"/>
  <c r="K153" i="10" s="1"/>
  <c r="L152" i="10"/>
  <c r="H154" i="10"/>
  <c r="H153" i="10"/>
  <c r="I153" i="10" s="1"/>
  <c r="F162" i="10" l="1"/>
  <c r="E161" i="10"/>
  <c r="G161" i="10"/>
  <c r="M153" i="10"/>
  <c r="L153" i="10"/>
  <c r="I154" i="10"/>
  <c r="H155" i="10"/>
  <c r="J154" i="10"/>
  <c r="F163" i="10" l="1"/>
  <c r="E162" i="10"/>
  <c r="G162" i="10"/>
  <c r="M154" i="10"/>
  <c r="I155" i="10"/>
  <c r="L154" i="10"/>
  <c r="J155" i="10"/>
  <c r="K155" i="10" s="1"/>
  <c r="K154" i="10"/>
  <c r="H156" i="10"/>
  <c r="F164" i="10" l="1"/>
  <c r="E163" i="10"/>
  <c r="G163" i="10"/>
  <c r="M155" i="10"/>
  <c r="L155" i="10"/>
  <c r="I156" i="10"/>
  <c r="J156" i="10"/>
  <c r="K156" i="10" s="1"/>
  <c r="H157" i="10"/>
  <c r="F165" i="10" l="1"/>
  <c r="E164" i="10"/>
  <c r="G164" i="10"/>
  <c r="M156" i="10"/>
  <c r="L156" i="10"/>
  <c r="I157" i="10"/>
  <c r="H158" i="10"/>
  <c r="J157" i="10"/>
  <c r="K157" i="10" s="1"/>
  <c r="F166" i="10" l="1"/>
  <c r="E165" i="10"/>
  <c r="G165" i="10"/>
  <c r="M157" i="10"/>
  <c r="L157" i="10"/>
  <c r="I158" i="10"/>
  <c r="J158" i="10"/>
  <c r="K158" i="10" s="1"/>
  <c r="H159" i="10"/>
  <c r="F167" i="10" l="1"/>
  <c r="E166" i="10"/>
  <c r="G166" i="10"/>
  <c r="M158" i="10"/>
  <c r="L158" i="10"/>
  <c r="I159" i="10"/>
  <c r="J159" i="10"/>
  <c r="K159" i="10" s="1"/>
  <c r="H160" i="10"/>
  <c r="F168" i="10" l="1"/>
  <c r="E167" i="10"/>
  <c r="G167" i="10"/>
  <c r="M159" i="10"/>
  <c r="J160" i="10"/>
  <c r="K160" i="10" s="1"/>
  <c r="L159" i="10"/>
  <c r="I160" i="10"/>
  <c r="H161" i="10"/>
  <c r="F169" i="10" l="1"/>
  <c r="E168" i="10"/>
  <c r="G168" i="10"/>
  <c r="M160" i="10"/>
  <c r="I161" i="10"/>
  <c r="L160" i="10"/>
  <c r="H162" i="10"/>
  <c r="J161" i="10"/>
  <c r="K161" i="10" s="1"/>
  <c r="F170" i="10" l="1"/>
  <c r="E169" i="10"/>
  <c r="G169" i="10"/>
  <c r="L161" i="10"/>
  <c r="M161" i="10"/>
  <c r="H163" i="10"/>
  <c r="J162" i="10"/>
  <c r="K162" i="10" s="1"/>
  <c r="I162" i="10"/>
  <c r="F171" i="10" l="1"/>
  <c r="E170" i="10"/>
  <c r="G170" i="10"/>
  <c r="L162" i="10"/>
  <c r="M162" i="10"/>
  <c r="H164" i="10"/>
  <c r="I163" i="10"/>
  <c r="J163" i="10"/>
  <c r="F172" i="10" l="1"/>
  <c r="E171" i="10"/>
  <c r="G171" i="10"/>
  <c r="M163" i="10"/>
  <c r="J164" i="10"/>
  <c r="K164" i="10" s="1"/>
  <c r="K163" i="10"/>
  <c r="H165" i="10"/>
  <c r="I164" i="10"/>
  <c r="L163" i="10"/>
  <c r="F173" i="10" l="1"/>
  <c r="E172" i="10"/>
  <c r="G172" i="10"/>
  <c r="M164" i="10"/>
  <c r="J165" i="10"/>
  <c r="K165" i="10" s="1"/>
  <c r="L164" i="10"/>
  <c r="I165" i="10"/>
  <c r="F174" i="10" l="1"/>
  <c r="E173" i="10"/>
  <c r="G173" i="10"/>
  <c r="M165" i="10"/>
  <c r="H167" i="10"/>
  <c r="L165" i="10"/>
  <c r="H166" i="10"/>
  <c r="I166" i="10" s="1"/>
  <c r="J166" i="10"/>
  <c r="K166" i="10" s="1"/>
  <c r="F175" i="10" l="1"/>
  <c r="E174" i="10"/>
  <c r="G174" i="10"/>
  <c r="M166" i="10"/>
  <c r="H168" i="10"/>
  <c r="I167" i="10"/>
  <c r="L166" i="10"/>
  <c r="J167" i="10"/>
  <c r="K167" i="10" s="1"/>
  <c r="F176" i="10" l="1"/>
  <c r="E175" i="10"/>
  <c r="G175" i="10"/>
  <c r="M167" i="10"/>
  <c r="I168" i="10"/>
  <c r="L167" i="10"/>
  <c r="L168" i="10" s="1"/>
  <c r="J168" i="10"/>
  <c r="K168" i="10" s="1"/>
  <c r="F177" i="10" l="1"/>
  <c r="E176" i="10"/>
  <c r="G176" i="10"/>
  <c r="M168" i="10"/>
  <c r="H170" i="10"/>
  <c r="J169" i="10"/>
  <c r="K169" i="10" s="1"/>
  <c r="H169" i="10"/>
  <c r="I169" i="10" s="1"/>
  <c r="F178" i="10" l="1"/>
  <c r="E177" i="10"/>
  <c r="G177" i="10"/>
  <c r="M169" i="10"/>
  <c r="H171" i="10"/>
  <c r="I170" i="10"/>
  <c r="L169" i="10"/>
  <c r="J170" i="10"/>
  <c r="K170" i="10" s="1"/>
  <c r="F179" i="10" l="1"/>
  <c r="E178" i="10"/>
  <c r="G178" i="10"/>
  <c r="M170" i="10"/>
  <c r="L170" i="10"/>
  <c r="J171" i="10"/>
  <c r="K171" i="10" s="1"/>
  <c r="I171" i="10"/>
  <c r="F180" i="10" l="1"/>
  <c r="E179" i="10"/>
  <c r="G179" i="10"/>
  <c r="L171" i="10"/>
  <c r="H173" i="10"/>
  <c r="M171" i="10"/>
  <c r="J172" i="10"/>
  <c r="K172" i="10" s="1"/>
  <c r="H172" i="10"/>
  <c r="I172" i="10" s="1"/>
  <c r="F181" i="10" l="1"/>
  <c r="E180" i="10"/>
  <c r="G180" i="10"/>
  <c r="H174" i="10"/>
  <c r="M172" i="10"/>
  <c r="J173" i="10"/>
  <c r="K173" i="10" s="1"/>
  <c r="I173" i="10"/>
  <c r="L172" i="10"/>
  <c r="F182" i="10" l="1"/>
  <c r="E181" i="10"/>
  <c r="G181" i="10"/>
  <c r="H175" i="10"/>
  <c r="M173" i="10"/>
  <c r="L173" i="10"/>
  <c r="J174" i="10"/>
  <c r="K174" i="10" s="1"/>
  <c r="I174" i="10"/>
  <c r="F183" i="10" l="1"/>
  <c r="E182" i="10"/>
  <c r="G182" i="10"/>
  <c r="H176" i="10"/>
  <c r="M174" i="10"/>
  <c r="I175" i="10"/>
  <c r="L174" i="10"/>
  <c r="L175" i="10" s="1"/>
  <c r="J175" i="10"/>
  <c r="K175" i="10" s="1"/>
  <c r="F184" i="10" l="1"/>
  <c r="E183" i="10"/>
  <c r="G183" i="10"/>
  <c r="I176" i="10"/>
  <c r="L176" i="10" s="1"/>
  <c r="H177" i="10"/>
  <c r="M175" i="10"/>
  <c r="J176" i="10"/>
  <c r="K176" i="10" s="1"/>
  <c r="F185" i="10" l="1"/>
  <c r="E184" i="10"/>
  <c r="G184" i="10"/>
  <c r="I177" i="10"/>
  <c r="M176" i="10"/>
  <c r="H178" i="10"/>
  <c r="J177" i="10"/>
  <c r="K177" i="10" s="1"/>
  <c r="F186" i="10" l="1"/>
  <c r="E185" i="10"/>
  <c r="G185" i="10"/>
  <c r="M177" i="10"/>
  <c r="I178" i="10"/>
  <c r="L177" i="10"/>
  <c r="H179" i="10"/>
  <c r="J178" i="10"/>
  <c r="K178" i="10" s="1"/>
  <c r="F187" i="10" l="1"/>
  <c r="E186" i="10"/>
  <c r="G186" i="10"/>
  <c r="L178" i="10"/>
  <c r="M178" i="10"/>
  <c r="I179" i="10"/>
  <c r="H180" i="10"/>
  <c r="J179" i="10"/>
  <c r="K179" i="10" s="1"/>
  <c r="F188" i="10" l="1"/>
  <c r="E187" i="10"/>
  <c r="G187" i="10"/>
  <c r="L179" i="10"/>
  <c r="M179" i="10"/>
  <c r="H181" i="10"/>
  <c r="I180" i="10"/>
  <c r="J180" i="10"/>
  <c r="K180" i="10" s="1"/>
  <c r="F189" i="10" l="1"/>
  <c r="E188" i="10"/>
  <c r="G188" i="10"/>
  <c r="M180" i="10"/>
  <c r="H182" i="10"/>
  <c r="L180" i="10"/>
  <c r="I181" i="10"/>
  <c r="J181" i="10"/>
  <c r="K181" i="10" s="1"/>
  <c r="F190" i="10" l="1"/>
  <c r="E189" i="10"/>
  <c r="G189" i="10"/>
  <c r="M181" i="10"/>
  <c r="I182" i="10"/>
  <c r="H183" i="10"/>
  <c r="L181" i="10"/>
  <c r="J182" i="10"/>
  <c r="K182" i="10" s="1"/>
  <c r="F191" i="10" l="1"/>
  <c r="E190" i="10"/>
  <c r="G190" i="10"/>
  <c r="M182" i="10"/>
  <c r="I183" i="10"/>
  <c r="L182" i="10"/>
  <c r="H184" i="10"/>
  <c r="J183" i="10"/>
  <c r="K183" i="10" s="1"/>
  <c r="F192" i="10" l="1"/>
  <c r="E191" i="10"/>
  <c r="G191" i="10"/>
  <c r="M183" i="10"/>
  <c r="L183" i="10"/>
  <c r="I184" i="10"/>
  <c r="H185" i="10"/>
  <c r="J184" i="10"/>
  <c r="K184" i="10" s="1"/>
  <c r="F193" i="10" l="1"/>
  <c r="E192" i="10"/>
  <c r="G192" i="10"/>
  <c r="M184" i="10"/>
  <c r="I185" i="10"/>
  <c r="L184" i="10"/>
  <c r="J185" i="10"/>
  <c r="F194" i="10" l="1"/>
  <c r="E193" i="10"/>
  <c r="G193" i="10"/>
  <c r="M185" i="10"/>
  <c r="L185" i="10"/>
  <c r="J186" i="10"/>
  <c r="K186" i="10" s="1"/>
  <c r="K185" i="10"/>
  <c r="H187" i="10"/>
  <c r="H186" i="10"/>
  <c r="I186" i="10" s="1"/>
  <c r="F195" i="10" l="1"/>
  <c r="E194" i="10"/>
  <c r="G194" i="10"/>
  <c r="M186" i="10"/>
  <c r="H188" i="10"/>
  <c r="L186" i="10"/>
  <c r="I187" i="10"/>
  <c r="J187" i="10"/>
  <c r="K187" i="10" s="1"/>
  <c r="F196" i="10" l="1"/>
  <c r="E195" i="10"/>
  <c r="G195" i="10"/>
  <c r="M187" i="10"/>
  <c r="H189" i="10"/>
  <c r="L187" i="10"/>
  <c r="J188" i="10"/>
  <c r="K188" i="10" s="1"/>
  <c r="I188" i="10"/>
  <c r="F197" i="10" l="1"/>
  <c r="E196" i="10"/>
  <c r="G196" i="10"/>
  <c r="M188" i="10"/>
  <c r="L188" i="10"/>
  <c r="I189" i="10"/>
  <c r="J189" i="10"/>
  <c r="K189" i="10" s="1"/>
  <c r="F198" i="10" l="1"/>
  <c r="E197" i="10"/>
  <c r="G197" i="10"/>
  <c r="M189" i="10"/>
  <c r="L189" i="10"/>
  <c r="J190" i="10"/>
  <c r="H190" i="10"/>
  <c r="I190" i="10" s="1"/>
  <c r="F199" i="10" l="1"/>
  <c r="E198" i="10"/>
  <c r="G198" i="10"/>
  <c r="M190" i="10"/>
  <c r="J191" i="10"/>
  <c r="K191" i="10" s="1"/>
  <c r="K190" i="10"/>
  <c r="H191" i="10"/>
  <c r="L190" i="10"/>
  <c r="I191" i="10"/>
  <c r="F200" i="10" l="1"/>
  <c r="E199" i="10"/>
  <c r="G199" i="10"/>
  <c r="M191" i="10"/>
  <c r="J192" i="10"/>
  <c r="K192" i="10" s="1"/>
  <c r="H193" i="10"/>
  <c r="H192" i="10"/>
  <c r="I192" i="10" s="1"/>
  <c r="L191" i="10"/>
  <c r="F201" i="10" l="1"/>
  <c r="E200" i="10"/>
  <c r="G200" i="10"/>
  <c r="M192" i="10"/>
  <c r="H194" i="10"/>
  <c r="I193" i="10"/>
  <c r="L192" i="10"/>
  <c r="L193" i="10" s="1"/>
  <c r="J193" i="10"/>
  <c r="K193" i="10" s="1"/>
  <c r="F202" i="10" l="1"/>
  <c r="E201" i="10"/>
  <c r="G201" i="10"/>
  <c r="M193" i="10"/>
  <c r="J194" i="10"/>
  <c r="K194" i="10" s="1"/>
  <c r="I194" i="10"/>
  <c r="F203" i="10" l="1"/>
  <c r="E202" i="10"/>
  <c r="G202" i="10"/>
  <c r="M194" i="10"/>
  <c r="L194" i="10"/>
  <c r="J195" i="10"/>
  <c r="K195" i="10" s="1"/>
  <c r="H196" i="10"/>
  <c r="H195" i="10"/>
  <c r="I195" i="10" s="1"/>
  <c r="F204" i="10" l="1"/>
  <c r="E203" i="10"/>
  <c r="G203" i="10"/>
  <c r="M195" i="10"/>
  <c r="L195" i="10"/>
  <c r="H197" i="10"/>
  <c r="I196" i="10"/>
  <c r="J196" i="10"/>
  <c r="K196" i="10" s="1"/>
  <c r="F205" i="10" l="1"/>
  <c r="E204" i="10"/>
  <c r="G204" i="10"/>
  <c r="M196" i="10"/>
  <c r="L196" i="10"/>
  <c r="I197" i="10"/>
  <c r="J197" i="10"/>
  <c r="K197" i="10" s="1"/>
  <c r="H198" i="10"/>
  <c r="F206" i="10" l="1"/>
  <c r="E205" i="10"/>
  <c r="G205" i="10"/>
  <c r="L197" i="10"/>
  <c r="M197" i="10"/>
  <c r="H199" i="10"/>
  <c r="I198" i="10"/>
  <c r="J198" i="10"/>
  <c r="K198" i="10" s="1"/>
  <c r="F207" i="10" l="1"/>
  <c r="E206" i="10"/>
  <c r="G206" i="10"/>
  <c r="M198" i="10"/>
  <c r="H200" i="10"/>
  <c r="L198" i="10"/>
  <c r="J199" i="10"/>
  <c r="K199" i="10" s="1"/>
  <c r="I199" i="10"/>
  <c r="C7" i="17" s="1"/>
  <c r="F208" i="10" l="1"/>
  <c r="E207" i="10"/>
  <c r="G207" i="10"/>
  <c r="H7" i="17"/>
  <c r="N7" i="17"/>
  <c r="I7" i="17"/>
  <c r="L199" i="10"/>
  <c r="H201" i="10"/>
  <c r="M199" i="10"/>
  <c r="J200" i="10"/>
  <c r="K200" i="10" s="1"/>
  <c r="I200" i="10"/>
  <c r="F209" i="10" l="1"/>
  <c r="E208" i="10"/>
  <c r="G208" i="10"/>
  <c r="L200" i="10"/>
  <c r="H202" i="10"/>
  <c r="M200" i="10"/>
  <c r="I201" i="10"/>
  <c r="J201" i="10"/>
  <c r="K201" i="10" s="1"/>
  <c r="F210" i="10" l="1"/>
  <c r="E209" i="10"/>
  <c r="G209" i="10"/>
  <c r="L201" i="10"/>
  <c r="H203" i="10"/>
  <c r="I202" i="10"/>
  <c r="M201" i="10"/>
  <c r="M202" i="10" s="1"/>
  <c r="J202" i="10"/>
  <c r="K202" i="10" s="1"/>
  <c r="F211" i="10" l="1"/>
  <c r="E210" i="10"/>
  <c r="G210" i="10"/>
  <c r="L202" i="10"/>
  <c r="I203" i="10"/>
  <c r="M203" i="10" s="1"/>
  <c r="H204" i="10"/>
  <c r="J203" i="10"/>
  <c r="K203" i="10" s="1"/>
  <c r="F212" i="10" l="1"/>
  <c r="E211" i="10"/>
  <c r="G211" i="10"/>
  <c r="L203" i="10"/>
  <c r="H205" i="10"/>
  <c r="J204" i="10"/>
  <c r="K204" i="10" s="1"/>
  <c r="I204" i="10"/>
  <c r="M204" i="10" s="1"/>
  <c r="F213" i="10" l="1"/>
  <c r="E212" i="10"/>
  <c r="G212" i="10"/>
  <c r="L204" i="10"/>
  <c r="H206" i="10"/>
  <c r="I205" i="10"/>
  <c r="M205" i="10" s="1"/>
  <c r="J205" i="10"/>
  <c r="K205" i="10" s="1"/>
  <c r="F214" i="10" l="1"/>
  <c r="E213" i="10"/>
  <c r="G213" i="10"/>
  <c r="H207" i="10"/>
  <c r="L205" i="10"/>
  <c r="I206" i="10"/>
  <c r="M206" i="10" s="1"/>
  <c r="J206" i="10"/>
  <c r="K206" i="10" s="1"/>
  <c r="F215" i="10" l="1"/>
  <c r="E214" i="10"/>
  <c r="G214" i="10"/>
  <c r="L206" i="10"/>
  <c r="I207" i="10"/>
  <c r="M207" i="10" s="1"/>
  <c r="H208" i="10"/>
  <c r="J207" i="10"/>
  <c r="K207" i="10" s="1"/>
  <c r="F216" i="10" l="1"/>
  <c r="E215" i="10"/>
  <c r="G215" i="10"/>
  <c r="L207" i="10"/>
  <c r="I208" i="10"/>
  <c r="M208" i="10"/>
  <c r="J208" i="10"/>
  <c r="K208" i="10" s="1"/>
  <c r="F217" i="10" l="1"/>
  <c r="E216" i="10"/>
  <c r="G216" i="10"/>
  <c r="L208" i="10"/>
  <c r="H210" i="10"/>
  <c r="H209" i="10"/>
  <c r="I209" i="10" s="1"/>
  <c r="M209" i="10" s="1"/>
  <c r="J209" i="10"/>
  <c r="K209" i="10" s="1"/>
  <c r="F218" i="10" l="1"/>
  <c r="E217" i="10"/>
  <c r="G217" i="10"/>
  <c r="H211" i="10"/>
  <c r="J210" i="10"/>
  <c r="K210" i="10" s="1"/>
  <c r="I210" i="10"/>
  <c r="M210" i="10" s="1"/>
  <c r="L209" i="10"/>
  <c r="F219" i="10" l="1"/>
  <c r="E218" i="10"/>
  <c r="G218" i="10"/>
  <c r="H212" i="10"/>
  <c r="L210" i="10"/>
  <c r="I211" i="10"/>
  <c r="M211" i="10" s="1"/>
  <c r="J211" i="10"/>
  <c r="K211" i="10" s="1"/>
  <c r="F220" i="10" l="1"/>
  <c r="E219" i="10"/>
  <c r="G219" i="10"/>
  <c r="I212" i="10"/>
  <c r="M212" i="10" s="1"/>
  <c r="H213" i="10"/>
  <c r="L211" i="10"/>
  <c r="J212" i="10"/>
  <c r="K212" i="10" s="1"/>
  <c r="F221" i="10" l="1"/>
  <c r="E220" i="10"/>
  <c r="G220" i="10"/>
  <c r="L212" i="10"/>
  <c r="I213" i="10"/>
  <c r="M213" i="10" s="1"/>
  <c r="H214" i="10"/>
  <c r="J213" i="10"/>
  <c r="K213" i="10" s="1"/>
  <c r="F222" i="10" l="1"/>
  <c r="E221" i="10"/>
  <c r="G221" i="10"/>
  <c r="L213" i="10"/>
  <c r="I214" i="10"/>
  <c r="M214" i="10" s="1"/>
  <c r="H215" i="10"/>
  <c r="J214" i="10"/>
  <c r="K214" i="10" s="1"/>
  <c r="F223" i="10" l="1"/>
  <c r="E222" i="10"/>
  <c r="G222" i="10"/>
  <c r="I215" i="10"/>
  <c r="L214" i="10"/>
  <c r="L215" i="10" s="1"/>
  <c r="M215" i="10"/>
  <c r="H216" i="10"/>
  <c r="I216" i="10" s="1"/>
  <c r="J215" i="10"/>
  <c r="K215" i="10" s="1"/>
  <c r="F224" i="10" l="1"/>
  <c r="E223" i="10"/>
  <c r="G223" i="10"/>
  <c r="M216" i="10"/>
  <c r="H217" i="10"/>
  <c r="I217" i="10" s="1"/>
  <c r="J216" i="10"/>
  <c r="K216" i="10" s="1"/>
  <c r="L216" i="10"/>
  <c r="F225" i="10" l="1"/>
  <c r="E224" i="10"/>
  <c r="G224" i="10"/>
  <c r="M217" i="10"/>
  <c r="H218" i="10"/>
  <c r="J217" i="10"/>
  <c r="K217" i="10" s="1"/>
  <c r="L217" i="10"/>
  <c r="F226" i="10" l="1"/>
  <c r="E225" i="10"/>
  <c r="G225" i="10"/>
  <c r="I218" i="10"/>
  <c r="M218" i="10" s="1"/>
  <c r="J218" i="10"/>
  <c r="K218" i="10" s="1"/>
  <c r="H219" i="10"/>
  <c r="F227" i="10" l="1"/>
  <c r="E226" i="10"/>
  <c r="G226" i="10"/>
  <c r="L218" i="10"/>
  <c r="H220" i="10"/>
  <c r="J219" i="10"/>
  <c r="K219" i="10" s="1"/>
  <c r="I219" i="10"/>
  <c r="M219" i="10" s="1"/>
  <c r="F228" i="10" l="1"/>
  <c r="E227" i="10"/>
  <c r="G227" i="10"/>
  <c r="H221" i="10"/>
  <c r="J220" i="10"/>
  <c r="K220" i="10" s="1"/>
  <c r="I220" i="10"/>
  <c r="M220" i="10" s="1"/>
  <c r="L219" i="10"/>
  <c r="F229" i="10" l="1"/>
  <c r="E228" i="10"/>
  <c r="G228" i="10"/>
  <c r="H222" i="10"/>
  <c r="J221" i="10"/>
  <c r="K221" i="10" s="1"/>
  <c r="I221" i="10"/>
  <c r="M221" i="10" s="1"/>
  <c r="L220" i="10"/>
  <c r="F230" i="10" l="1"/>
  <c r="E229" i="10"/>
  <c r="G229" i="10"/>
  <c r="H223" i="10"/>
  <c r="I222" i="10"/>
  <c r="M222" i="10" s="1"/>
  <c r="L221" i="10"/>
  <c r="J222" i="10"/>
  <c r="K222" i="10" s="1"/>
  <c r="F231" i="10" l="1"/>
  <c r="E230" i="10"/>
  <c r="G230" i="10"/>
  <c r="H224" i="10"/>
  <c r="J223" i="10"/>
  <c r="K223" i="10" s="1"/>
  <c r="L222" i="10"/>
  <c r="I223" i="10"/>
  <c r="M223" i="10" s="1"/>
  <c r="F232" i="10" l="1"/>
  <c r="E231" i="10"/>
  <c r="G231" i="10"/>
  <c r="H225" i="10"/>
  <c r="I224" i="10"/>
  <c r="M224" i="10" s="1"/>
  <c r="L223" i="10"/>
  <c r="J224" i="10"/>
  <c r="K224" i="10" s="1"/>
  <c r="F233" i="10" l="1"/>
  <c r="E232" i="10"/>
  <c r="G232" i="10"/>
  <c r="L224" i="10"/>
  <c r="I225" i="10"/>
  <c r="M225" i="10" s="1"/>
  <c r="H226" i="10"/>
  <c r="J225" i="10"/>
  <c r="K225" i="10" s="1"/>
  <c r="F234" i="10" l="1"/>
  <c r="E233" i="10"/>
  <c r="G233" i="10"/>
  <c r="L225" i="10"/>
  <c r="H227" i="10"/>
  <c r="I226" i="10"/>
  <c r="M226" i="10" s="1"/>
  <c r="J226" i="10"/>
  <c r="K226" i="10" s="1"/>
  <c r="F235" i="10" l="1"/>
  <c r="E234" i="10"/>
  <c r="G234" i="10"/>
  <c r="L226" i="10"/>
  <c r="I227" i="10"/>
  <c r="H228" i="10"/>
  <c r="J227" i="10"/>
  <c r="K227" i="10" s="1"/>
  <c r="F236" i="10" l="1"/>
  <c r="E235" i="10"/>
  <c r="G235" i="10"/>
  <c r="L227" i="10"/>
  <c r="M227" i="10"/>
  <c r="J228" i="10"/>
  <c r="K228" i="10" s="1"/>
  <c r="H229" i="10"/>
  <c r="I228" i="10"/>
  <c r="F237" i="10" l="1"/>
  <c r="E236" i="10"/>
  <c r="G236" i="10"/>
  <c r="L228" i="10"/>
  <c r="M228" i="10"/>
  <c r="I229" i="10"/>
  <c r="H230" i="10"/>
  <c r="J229" i="10"/>
  <c r="K229" i="10" s="1"/>
  <c r="F238" i="10" l="1"/>
  <c r="E237" i="10"/>
  <c r="G237" i="10"/>
  <c r="L229" i="10"/>
  <c r="M229" i="10"/>
  <c r="I230" i="10"/>
  <c r="H231" i="10"/>
  <c r="J230" i="10"/>
  <c r="K230" i="10" s="1"/>
  <c r="F239" i="10" l="1"/>
  <c r="E238" i="10"/>
  <c r="G238" i="10"/>
  <c r="I231" i="10"/>
  <c r="L230" i="10"/>
  <c r="M230" i="10"/>
  <c r="H232" i="10"/>
  <c r="J231" i="10"/>
  <c r="F240" i="10" l="1"/>
  <c r="E239" i="10"/>
  <c r="G239" i="10"/>
  <c r="I232" i="10"/>
  <c r="L231" i="10"/>
  <c r="M231" i="10"/>
  <c r="J232" i="10"/>
  <c r="K232" i="10" s="1"/>
  <c r="K231" i="10"/>
  <c r="H233" i="10"/>
  <c r="F241" i="10" l="1"/>
  <c r="E240" i="10"/>
  <c r="G240" i="10"/>
  <c r="L232" i="10"/>
  <c r="M232" i="10"/>
  <c r="H234" i="10"/>
  <c r="J233" i="10"/>
  <c r="K233" i="10" s="1"/>
  <c r="I233" i="10"/>
  <c r="F242" i="10" l="1"/>
  <c r="E241" i="10"/>
  <c r="G241" i="10"/>
  <c r="H235" i="10"/>
  <c r="L233" i="10"/>
  <c r="M233" i="10"/>
  <c r="J234" i="10"/>
  <c r="K234" i="10" s="1"/>
  <c r="I234" i="10"/>
  <c r="F243" i="10" l="1"/>
  <c r="E242" i="10"/>
  <c r="G242" i="10"/>
  <c r="L234" i="10"/>
  <c r="H236" i="10"/>
  <c r="M234" i="10"/>
  <c r="I235" i="10"/>
  <c r="J235" i="10"/>
  <c r="K235" i="10" s="1"/>
  <c r="F244" i="10" l="1"/>
  <c r="E243" i="10"/>
  <c r="G243" i="10"/>
  <c r="L235" i="10"/>
  <c r="H237" i="10"/>
  <c r="I236" i="10"/>
  <c r="M235" i="10"/>
  <c r="M236" i="10" s="1"/>
  <c r="J236" i="10"/>
  <c r="K236" i="10" s="1"/>
  <c r="F245" i="10" l="1"/>
  <c r="E244" i="10"/>
  <c r="G244" i="10"/>
  <c r="L236" i="10"/>
  <c r="I237" i="10"/>
  <c r="H238" i="10"/>
  <c r="J237" i="10"/>
  <c r="K237" i="10" s="1"/>
  <c r="F246" i="10" l="1"/>
  <c r="E245" i="10"/>
  <c r="G245" i="10"/>
  <c r="L237" i="10"/>
  <c r="M237" i="10"/>
  <c r="I238" i="10"/>
  <c r="H239" i="10"/>
  <c r="J238" i="10"/>
  <c r="K238" i="10" s="1"/>
  <c r="F247" i="10" l="1"/>
  <c r="E246" i="10"/>
  <c r="G246" i="10"/>
  <c r="I239" i="10"/>
  <c r="L238" i="10"/>
  <c r="L239" i="10" s="1"/>
  <c r="M238" i="10"/>
  <c r="M239" i="10" s="1"/>
  <c r="J239" i="10"/>
  <c r="K239" i="10" s="1"/>
  <c r="H240" i="10"/>
  <c r="I240" i="10" s="1"/>
  <c r="F248" i="10" l="1"/>
  <c r="E247" i="10"/>
  <c r="G247" i="10"/>
  <c r="H241" i="10"/>
  <c r="I241" i="10" s="1"/>
  <c r="M240" i="10"/>
  <c r="J240" i="10"/>
  <c r="K240" i="10" s="1"/>
  <c r="L240" i="10"/>
  <c r="F249" i="10" l="1"/>
  <c r="E248" i="10"/>
  <c r="G248" i="10"/>
  <c r="M241" i="10"/>
  <c r="J241" i="10"/>
  <c r="K241" i="10" s="1"/>
  <c r="H242" i="10"/>
  <c r="I242" i="10" s="1"/>
  <c r="L241" i="10"/>
  <c r="F250" i="10" l="1"/>
  <c r="E249" i="10"/>
  <c r="G249" i="10"/>
  <c r="M242" i="10"/>
  <c r="H243" i="10"/>
  <c r="I243" i="10" s="1"/>
  <c r="J242" i="10"/>
  <c r="K242" i="10" s="1"/>
  <c r="L242" i="10"/>
  <c r="F251" i="10" l="1"/>
  <c r="E250" i="10"/>
  <c r="G250" i="10"/>
  <c r="M243" i="10"/>
  <c r="H244" i="10"/>
  <c r="I244" i="10" s="1"/>
  <c r="J243" i="10"/>
  <c r="K243" i="10" s="1"/>
  <c r="L243" i="10"/>
  <c r="F252" i="10" l="1"/>
  <c r="E251" i="10"/>
  <c r="G251" i="10"/>
  <c r="M244" i="10"/>
  <c r="J244" i="10"/>
  <c r="K244" i="10" s="1"/>
  <c r="L244" i="10"/>
  <c r="F253" i="10" l="1"/>
  <c r="E252" i="10"/>
  <c r="G252" i="10"/>
  <c r="H246" i="10"/>
  <c r="J245" i="10"/>
  <c r="K245" i="10" s="1"/>
  <c r="H245" i="10"/>
  <c r="I245" i="10" s="1"/>
  <c r="M245" i="10" s="1"/>
  <c r="F254" i="10" l="1"/>
  <c r="E253" i="10"/>
  <c r="G253" i="10"/>
  <c r="H247" i="10"/>
  <c r="L245" i="10"/>
  <c r="I246" i="10"/>
  <c r="M246" i="10" s="1"/>
  <c r="J246" i="10"/>
  <c r="K246" i="10" s="1"/>
  <c r="F255" i="10" l="1"/>
  <c r="E254" i="10"/>
  <c r="G254" i="10"/>
  <c r="H248" i="10"/>
  <c r="I247" i="10"/>
  <c r="M247" i="10" s="1"/>
  <c r="L246" i="10"/>
  <c r="J247" i="10"/>
  <c r="K247" i="10" s="1"/>
  <c r="F256" i="10" l="1"/>
  <c r="E255" i="10"/>
  <c r="G255" i="10"/>
  <c r="H249" i="10"/>
  <c r="J248" i="10"/>
  <c r="K248" i="10" s="1"/>
  <c r="L247" i="10"/>
  <c r="I248" i="10"/>
  <c r="M248" i="10" s="1"/>
  <c r="F257" i="10" l="1"/>
  <c r="E256" i="10"/>
  <c r="G256" i="10"/>
  <c r="L248" i="10"/>
  <c r="J249" i="10"/>
  <c r="K249" i="10" s="1"/>
  <c r="I249" i="10"/>
  <c r="M249" i="10" s="1"/>
  <c r="F258" i="10" l="1"/>
  <c r="E257" i="10"/>
  <c r="G257" i="10"/>
  <c r="L249" i="10"/>
  <c r="J250" i="10"/>
  <c r="K250" i="10" s="1"/>
  <c r="H250" i="10"/>
  <c r="I250" i="10" s="1"/>
  <c r="M250" i="10" s="1"/>
  <c r="H251" i="10"/>
  <c r="F259" i="10" l="1"/>
  <c r="E258" i="10"/>
  <c r="G258" i="10"/>
  <c r="I251" i="10"/>
  <c r="M251" i="10" s="1"/>
  <c r="L250" i="10"/>
  <c r="J251" i="10"/>
  <c r="K251" i="10" s="1"/>
  <c r="H252" i="10"/>
  <c r="F260" i="10" l="1"/>
  <c r="E259" i="10"/>
  <c r="G259" i="10"/>
  <c r="I252" i="10"/>
  <c r="M252" i="10" s="1"/>
  <c r="L251" i="10"/>
  <c r="H253" i="10"/>
  <c r="J252" i="10"/>
  <c r="K252" i="10" s="1"/>
  <c r="F261" i="10" l="1"/>
  <c r="E260" i="10"/>
  <c r="G260" i="10"/>
  <c r="I253" i="10"/>
  <c r="M253" i="10" s="1"/>
  <c r="L252" i="10"/>
  <c r="H254" i="10"/>
  <c r="J253" i="10"/>
  <c r="K253" i="10" s="1"/>
  <c r="F262" i="10" l="1"/>
  <c r="E261" i="10"/>
  <c r="G261" i="10"/>
  <c r="L253" i="10"/>
  <c r="I254" i="10"/>
  <c r="M254" i="10" s="1"/>
  <c r="H255" i="10"/>
  <c r="J254" i="10"/>
  <c r="K254" i="10" s="1"/>
  <c r="F263" i="10" l="1"/>
  <c r="E262" i="10"/>
  <c r="G262" i="10"/>
  <c r="L254" i="10"/>
  <c r="H256" i="10"/>
  <c r="I255" i="10"/>
  <c r="M255" i="10" s="1"/>
  <c r="J255" i="10"/>
  <c r="K255" i="10" s="1"/>
  <c r="F264" i="10" l="1"/>
  <c r="E263" i="10"/>
  <c r="G263" i="10"/>
  <c r="L255" i="10"/>
  <c r="H257" i="10"/>
  <c r="J256" i="10"/>
  <c r="K256" i="10" s="1"/>
  <c r="I256" i="10"/>
  <c r="M256" i="10" s="1"/>
  <c r="F265" i="10" l="1"/>
  <c r="E264" i="10"/>
  <c r="G264" i="10"/>
  <c r="H258" i="10"/>
  <c r="J257" i="10"/>
  <c r="K257" i="10" s="1"/>
  <c r="I257" i="10"/>
  <c r="M257" i="10" s="1"/>
  <c r="L256" i="10"/>
  <c r="F266" i="10" l="1"/>
  <c r="E265" i="10"/>
  <c r="G265" i="10"/>
  <c r="H259" i="10"/>
  <c r="J258" i="10"/>
  <c r="K258" i="10" s="1"/>
  <c r="L257" i="10"/>
  <c r="I258" i="10"/>
  <c r="F267" i="10" l="1"/>
  <c r="E266" i="10"/>
  <c r="G266" i="10"/>
  <c r="L258" i="10"/>
  <c r="H260" i="10"/>
  <c r="M258" i="10"/>
  <c r="J259" i="10"/>
  <c r="K259" i="10" s="1"/>
  <c r="I259" i="10"/>
  <c r="F268" i="10" l="1"/>
  <c r="E267" i="10"/>
  <c r="G267" i="10"/>
  <c r="M259" i="10"/>
  <c r="J260" i="10"/>
  <c r="K260" i="10" s="1"/>
  <c r="L259" i="10"/>
  <c r="I260" i="10"/>
  <c r="F269" i="10" l="1"/>
  <c r="E268" i="10"/>
  <c r="G268" i="10"/>
  <c r="H262" i="10"/>
  <c r="M260" i="10"/>
  <c r="J261" i="10"/>
  <c r="K261" i="10" s="1"/>
  <c r="H261" i="10"/>
  <c r="I261" i="10" s="1"/>
  <c r="L260" i="10"/>
  <c r="L261" i="10" s="1"/>
  <c r="F270" i="10" l="1"/>
  <c r="E269" i="10"/>
  <c r="G269" i="10"/>
  <c r="I262" i="10"/>
  <c r="L262" i="10" s="1"/>
  <c r="H263" i="10"/>
  <c r="M261" i="10"/>
  <c r="J262" i="10"/>
  <c r="K262" i="10" s="1"/>
  <c r="F271" i="10" l="1"/>
  <c r="E270" i="10"/>
  <c r="G270" i="10"/>
  <c r="I263" i="10"/>
  <c r="M262" i="10"/>
  <c r="H264" i="10"/>
  <c r="J263" i="10"/>
  <c r="F272" i="10" l="1"/>
  <c r="E271" i="10"/>
  <c r="G271" i="10"/>
  <c r="M263" i="10"/>
  <c r="L263" i="10"/>
  <c r="I264" i="10"/>
  <c r="J264" i="10"/>
  <c r="K264" i="10" s="1"/>
  <c r="K263" i="10"/>
  <c r="J265" i="10"/>
  <c r="K265" i="10" s="1"/>
  <c r="F273" i="10" l="1"/>
  <c r="E272" i="10"/>
  <c r="G272" i="10"/>
  <c r="L264" i="10"/>
  <c r="M264" i="10"/>
  <c r="H266" i="10"/>
  <c r="H265" i="10"/>
  <c r="I265" i="10" s="1"/>
  <c r="C8" i="17" s="1"/>
  <c r="F274" i="10" l="1"/>
  <c r="E273" i="10"/>
  <c r="G273" i="10"/>
  <c r="H8" i="17"/>
  <c r="N8" i="17"/>
  <c r="I8" i="17"/>
  <c r="M265" i="10"/>
  <c r="L265" i="10"/>
  <c r="I266" i="10"/>
  <c r="H267" i="10"/>
  <c r="J266" i="10"/>
  <c r="K266" i="10" s="1"/>
  <c r="F275" i="10" l="1"/>
  <c r="E274" i="10"/>
  <c r="G274" i="10"/>
  <c r="M266" i="10"/>
  <c r="L266" i="10"/>
  <c r="I267" i="10"/>
  <c r="M267" i="10" s="1"/>
  <c r="H268" i="10"/>
  <c r="J267" i="10"/>
  <c r="K267" i="10" s="1"/>
  <c r="F276" i="10" l="1"/>
  <c r="E275" i="10"/>
  <c r="G275" i="10"/>
  <c r="I268" i="10"/>
  <c r="M268" i="10" s="1"/>
  <c r="L267" i="10"/>
  <c r="H269" i="10"/>
  <c r="J268" i="10"/>
  <c r="K268" i="10" s="1"/>
  <c r="F277" i="10" l="1"/>
  <c r="E276" i="10"/>
  <c r="G276" i="10"/>
  <c r="L268" i="10"/>
  <c r="H270" i="10"/>
  <c r="J269" i="10"/>
  <c r="K269" i="10" s="1"/>
  <c r="I269" i="10"/>
  <c r="M269" i="10" s="1"/>
  <c r="F278" i="10" l="1"/>
  <c r="E277" i="10"/>
  <c r="G277" i="10"/>
  <c r="L269" i="10"/>
  <c r="H271" i="10"/>
  <c r="I270" i="10"/>
  <c r="M270" i="10" s="1"/>
  <c r="J270" i="10"/>
  <c r="K270" i="10" s="1"/>
  <c r="F279" i="10" l="1"/>
  <c r="E278" i="10"/>
  <c r="G278" i="10"/>
  <c r="L270" i="10"/>
  <c r="I271" i="10"/>
  <c r="M271" i="10" s="1"/>
  <c r="J271" i="10"/>
  <c r="K271" i="10" s="1"/>
  <c r="F280" i="10" l="1"/>
  <c r="E279" i="10"/>
  <c r="G279" i="10"/>
  <c r="L271" i="10"/>
  <c r="J272" i="10"/>
  <c r="K272" i="10" s="1"/>
  <c r="H272" i="10"/>
  <c r="I272" i="10" s="1"/>
  <c r="M272" i="10" s="1"/>
  <c r="H273" i="10"/>
  <c r="F281" i="10" l="1"/>
  <c r="E280" i="10"/>
  <c r="G280" i="10"/>
  <c r="J273" i="10"/>
  <c r="K273" i="10" s="1"/>
  <c r="L272" i="10"/>
  <c r="I273" i="10"/>
  <c r="M273" i="10" s="1"/>
  <c r="H274" i="10"/>
  <c r="F282" i="10" l="1"/>
  <c r="E281" i="10"/>
  <c r="G281" i="10"/>
  <c r="I274" i="10"/>
  <c r="M274" i="10" s="1"/>
  <c r="L273" i="10"/>
  <c r="J274" i="10"/>
  <c r="K274" i="10" s="1"/>
  <c r="H275" i="10"/>
  <c r="F283" i="10" l="1"/>
  <c r="E282" i="10"/>
  <c r="G282" i="10"/>
  <c r="L274" i="10"/>
  <c r="H276" i="10"/>
  <c r="I275" i="10"/>
  <c r="M275" i="10" s="1"/>
  <c r="J275" i="10"/>
  <c r="K275" i="10" s="1"/>
  <c r="F284" i="10" l="1"/>
  <c r="E283" i="10"/>
  <c r="G283" i="10"/>
  <c r="H277" i="10"/>
  <c r="L275" i="10"/>
  <c r="I276" i="10"/>
  <c r="M276" i="10" s="1"/>
  <c r="J276" i="10"/>
  <c r="K276" i="10" s="1"/>
  <c r="F285" i="10" l="1"/>
  <c r="E284" i="10"/>
  <c r="G284" i="10"/>
  <c r="H278" i="10"/>
  <c r="J277" i="10"/>
  <c r="K277" i="10" s="1"/>
  <c r="L276" i="10"/>
  <c r="I277" i="10"/>
  <c r="M277" i="10" s="1"/>
  <c r="F286" i="10" l="1"/>
  <c r="E285" i="10"/>
  <c r="G285" i="10"/>
  <c r="H279" i="10"/>
  <c r="J278" i="10"/>
  <c r="K278" i="10" s="1"/>
  <c r="I278" i="10"/>
  <c r="M278" i="10" s="1"/>
  <c r="L277" i="10"/>
  <c r="F287" i="10" l="1"/>
  <c r="E286" i="10"/>
  <c r="G286" i="10"/>
  <c r="I279" i="10"/>
  <c r="M279" i="10" s="1"/>
  <c r="H280" i="10"/>
  <c r="L278" i="10"/>
  <c r="J279" i="10"/>
  <c r="K279" i="10" s="1"/>
  <c r="F288" i="10" l="1"/>
  <c r="E287" i="10"/>
  <c r="G287" i="10"/>
  <c r="L279" i="10"/>
  <c r="I280" i="10"/>
  <c r="M280" i="10" s="1"/>
  <c r="H281" i="10"/>
  <c r="J280" i="10"/>
  <c r="K280" i="10" s="1"/>
  <c r="F289" i="10" l="1"/>
  <c r="E288" i="10"/>
  <c r="G288" i="10"/>
  <c r="L280" i="10"/>
  <c r="H282" i="10"/>
  <c r="I281" i="10"/>
  <c r="J281" i="10"/>
  <c r="K281" i="10" s="1"/>
  <c r="F290" i="10" l="1"/>
  <c r="E289" i="10"/>
  <c r="G289" i="10"/>
  <c r="H283" i="10"/>
  <c r="L281" i="10"/>
  <c r="M281" i="10"/>
  <c r="I282" i="10"/>
  <c r="J282" i="10"/>
  <c r="K282" i="10" s="1"/>
  <c r="F291" i="10" l="1"/>
  <c r="E290" i="10"/>
  <c r="G290" i="10"/>
  <c r="L282" i="10"/>
  <c r="H284" i="10"/>
  <c r="M282" i="10"/>
  <c r="J283" i="10"/>
  <c r="K283" i="10" s="1"/>
  <c r="I283" i="10"/>
  <c r="F292" i="10" l="1"/>
  <c r="E291" i="10"/>
  <c r="G291" i="10"/>
  <c r="M283" i="10"/>
  <c r="J284" i="10"/>
  <c r="K284" i="10" s="1"/>
  <c r="L283" i="10"/>
  <c r="I284" i="10"/>
  <c r="F293" i="10" l="1"/>
  <c r="E292" i="10"/>
  <c r="G292" i="10"/>
  <c r="J285" i="10"/>
  <c r="K285" i="10" s="1"/>
  <c r="H286" i="10"/>
  <c r="M284" i="10"/>
  <c r="L284" i="10"/>
  <c r="H285" i="10"/>
  <c r="I285" i="10" s="1"/>
  <c r="F294" i="10" l="1"/>
  <c r="E293" i="10"/>
  <c r="G293" i="10"/>
  <c r="H287" i="10"/>
  <c r="M285" i="10"/>
  <c r="L285" i="10"/>
  <c r="I286" i="10"/>
  <c r="J286" i="10"/>
  <c r="K286" i="10" s="1"/>
  <c r="F295" i="10" l="1"/>
  <c r="E294" i="10"/>
  <c r="G294" i="10"/>
  <c r="J287" i="10"/>
  <c r="K287" i="10" s="1"/>
  <c r="H288" i="10"/>
  <c r="M286" i="10"/>
  <c r="I287" i="10"/>
  <c r="L286" i="10"/>
  <c r="F296" i="10" l="1"/>
  <c r="E295" i="10"/>
  <c r="G295" i="10"/>
  <c r="M287" i="10"/>
  <c r="I288" i="10"/>
  <c r="L287" i="10"/>
  <c r="J288" i="10"/>
  <c r="K288" i="10" s="1"/>
  <c r="F297" i="10" l="1"/>
  <c r="E296" i="10"/>
  <c r="G296" i="10"/>
  <c r="L288" i="10"/>
  <c r="M288" i="10"/>
  <c r="J289" i="10"/>
  <c r="K289" i="10" s="1"/>
  <c r="H289" i="10"/>
  <c r="I289" i="10" s="1"/>
  <c r="F298" i="10" l="1"/>
  <c r="E297" i="10"/>
  <c r="G297" i="10"/>
  <c r="J290" i="10"/>
  <c r="K290" i="10" s="1"/>
  <c r="M289" i="10"/>
  <c r="H290" i="10"/>
  <c r="L289" i="10"/>
  <c r="I290" i="10"/>
  <c r="F299" i="10" l="1"/>
  <c r="E298" i="10"/>
  <c r="G298" i="10"/>
  <c r="M290" i="10"/>
  <c r="J291" i="10"/>
  <c r="K291" i="10" s="1"/>
  <c r="H292" i="10"/>
  <c r="L290" i="10"/>
  <c r="H291" i="10"/>
  <c r="I291" i="10" s="1"/>
  <c r="M291" i="10" s="1"/>
  <c r="F300" i="10" l="1"/>
  <c r="E299" i="10"/>
  <c r="G299" i="10"/>
  <c r="I292" i="10"/>
  <c r="M292" i="10" s="1"/>
  <c r="L291" i="10"/>
  <c r="J292" i="10"/>
  <c r="K292" i="10" s="1"/>
  <c r="F301" i="10" l="1"/>
  <c r="E300" i="10"/>
  <c r="G300" i="10"/>
  <c r="H294" i="10"/>
  <c r="J293" i="10"/>
  <c r="K293" i="10" s="1"/>
  <c r="L292" i="10"/>
  <c r="H293" i="10"/>
  <c r="I293" i="10" s="1"/>
  <c r="M293" i="10" s="1"/>
  <c r="F302" i="10" l="1"/>
  <c r="E301" i="10"/>
  <c r="G301" i="10"/>
  <c r="J294" i="10"/>
  <c r="K294" i="10" s="1"/>
  <c r="L293" i="10"/>
  <c r="I294" i="10"/>
  <c r="M294" i="10" s="1"/>
  <c r="F303" i="10" l="1"/>
  <c r="E302" i="10"/>
  <c r="G302" i="10"/>
  <c r="J295" i="10"/>
  <c r="K295" i="10" s="1"/>
  <c r="H296" i="10"/>
  <c r="H295" i="10"/>
  <c r="I295" i="10" s="1"/>
  <c r="M295" i="10" s="1"/>
  <c r="L294" i="10"/>
  <c r="F304" i="10" l="1"/>
  <c r="E303" i="10"/>
  <c r="G303" i="10"/>
  <c r="L295" i="10"/>
  <c r="H298" i="10"/>
  <c r="H297" i="10"/>
  <c r="J296" i="10"/>
  <c r="K296" i="10" s="1"/>
  <c r="I296" i="10"/>
  <c r="M296" i="10" s="1"/>
  <c r="F305" i="10" l="1"/>
  <c r="E304" i="10"/>
  <c r="G304" i="10"/>
  <c r="L296" i="10"/>
  <c r="H299" i="10"/>
  <c r="I297" i="10"/>
  <c r="J297" i="10"/>
  <c r="F306" i="10" l="1"/>
  <c r="E305" i="10"/>
  <c r="G305" i="10"/>
  <c r="L297" i="10"/>
  <c r="J298" i="10"/>
  <c r="K297" i="10"/>
  <c r="M297" i="10"/>
  <c r="I298" i="10"/>
  <c r="I299" i="10" s="1"/>
  <c r="H300" i="10"/>
  <c r="F307" i="10" l="1"/>
  <c r="E306" i="10"/>
  <c r="G306" i="10"/>
  <c r="M298" i="10"/>
  <c r="M299" i="10" s="1"/>
  <c r="J299" i="10"/>
  <c r="K299" i="10" s="1"/>
  <c r="K298" i="10"/>
  <c r="H301" i="10"/>
  <c r="I300" i="10"/>
  <c r="L298" i="10"/>
  <c r="L299" i="10" s="1"/>
  <c r="F308" i="10" l="1"/>
  <c r="E307" i="10"/>
  <c r="G307" i="10"/>
  <c r="I301" i="10"/>
  <c r="J300" i="10"/>
  <c r="L300" i="10"/>
  <c r="M300" i="10"/>
  <c r="H302" i="10"/>
  <c r="F309" i="10" l="1"/>
  <c r="E308" i="10"/>
  <c r="G308" i="10"/>
  <c r="L301" i="10"/>
  <c r="M301" i="10"/>
  <c r="J301" i="10"/>
  <c r="K301" i="10" s="1"/>
  <c r="K300" i="10"/>
  <c r="H303" i="10"/>
  <c r="I302" i="10"/>
  <c r="F310" i="10" l="1"/>
  <c r="E309" i="10"/>
  <c r="G309" i="10"/>
  <c r="I303" i="10"/>
  <c r="J302" i="10"/>
  <c r="J303" i="10" s="1"/>
  <c r="K303" i="10" s="1"/>
  <c r="L302" i="10"/>
  <c r="M302" i="10"/>
  <c r="H304" i="10"/>
  <c r="F311" i="10" l="1"/>
  <c r="E310" i="10"/>
  <c r="G310" i="10"/>
  <c r="L303" i="10"/>
  <c r="M303" i="10"/>
  <c r="K302" i="10"/>
  <c r="H305" i="10"/>
  <c r="I304" i="10"/>
  <c r="J304" i="10"/>
  <c r="F312" i="10" l="1"/>
  <c r="E311" i="10"/>
  <c r="G311" i="10"/>
  <c r="I305" i="10"/>
  <c r="L304" i="10"/>
  <c r="J305" i="10"/>
  <c r="K305" i="10" s="1"/>
  <c r="K304" i="10"/>
  <c r="M304" i="10"/>
  <c r="H306" i="10"/>
  <c r="F313" i="10" l="1"/>
  <c r="E312" i="10"/>
  <c r="G312" i="10"/>
  <c r="M305" i="10"/>
  <c r="L305" i="10"/>
  <c r="H307" i="10"/>
  <c r="I306" i="10"/>
  <c r="J306" i="10"/>
  <c r="F314" i="10" l="1"/>
  <c r="E313" i="10"/>
  <c r="G313" i="10"/>
  <c r="L306" i="10"/>
  <c r="I307" i="10"/>
  <c r="J307" i="10"/>
  <c r="K307" i="10" s="1"/>
  <c r="K306" i="10"/>
  <c r="M306" i="10"/>
  <c r="H308" i="10"/>
  <c r="F315" i="10" l="1"/>
  <c r="E314" i="10"/>
  <c r="G314" i="10"/>
  <c r="L307" i="10"/>
  <c r="M307" i="10"/>
  <c r="I308" i="10"/>
  <c r="H309" i="10"/>
  <c r="J308" i="10"/>
  <c r="F316" i="10" l="1"/>
  <c r="E315" i="10"/>
  <c r="G315" i="10"/>
  <c r="L308" i="10"/>
  <c r="M308" i="10"/>
  <c r="J309" i="10"/>
  <c r="K309" i="10" s="1"/>
  <c r="K308" i="10"/>
  <c r="H310" i="10"/>
  <c r="I309" i="10"/>
  <c r="F317" i="10" l="1"/>
  <c r="E316" i="10"/>
  <c r="G316" i="10"/>
  <c r="I310" i="10"/>
  <c r="J310" i="10"/>
  <c r="K310" i="10" s="1"/>
  <c r="M309" i="10"/>
  <c r="L309" i="10"/>
  <c r="H311" i="10"/>
  <c r="F318" i="10" l="1"/>
  <c r="E317" i="10"/>
  <c r="G317" i="10"/>
  <c r="I311" i="10"/>
  <c r="M310" i="10"/>
  <c r="L310" i="10"/>
  <c r="J311" i="10"/>
  <c r="K311" i="10" s="1"/>
  <c r="H312" i="10"/>
  <c r="F319" i="10" l="1"/>
  <c r="E318" i="10"/>
  <c r="G318" i="10"/>
  <c r="L311" i="10"/>
  <c r="M311" i="10"/>
  <c r="J312" i="10"/>
  <c r="K312" i="10" s="1"/>
  <c r="H313" i="10"/>
  <c r="I312" i="10"/>
  <c r="F320" i="10" l="1"/>
  <c r="E319" i="10"/>
  <c r="G319" i="10"/>
  <c r="I313" i="10"/>
  <c r="M312" i="10"/>
  <c r="H314" i="10"/>
  <c r="L312" i="10"/>
  <c r="J313" i="10"/>
  <c r="F321" i="10" l="1"/>
  <c r="E320" i="10"/>
  <c r="G320" i="10"/>
  <c r="L313" i="10"/>
  <c r="M313" i="10"/>
  <c r="J314" i="10"/>
  <c r="K314" i="10" s="1"/>
  <c r="K313" i="10"/>
  <c r="H315" i="10"/>
  <c r="I314" i="10"/>
  <c r="F322" i="10" l="1"/>
  <c r="E321" i="10"/>
  <c r="G321" i="10"/>
  <c r="I315" i="10"/>
  <c r="J315" i="10"/>
  <c r="K315" i="10" s="1"/>
  <c r="M314" i="10"/>
  <c r="H316" i="10"/>
  <c r="L314" i="10"/>
  <c r="F323" i="10" l="1"/>
  <c r="E322" i="10"/>
  <c r="G322" i="10"/>
  <c r="L315" i="10"/>
  <c r="M315" i="10"/>
  <c r="I316" i="10"/>
  <c r="H317" i="10"/>
  <c r="J316" i="10"/>
  <c r="F324" i="10" l="1"/>
  <c r="E323" i="10"/>
  <c r="G323" i="10"/>
  <c r="L316" i="10"/>
  <c r="M316" i="10"/>
  <c r="J317" i="10"/>
  <c r="K317" i="10" s="1"/>
  <c r="K316" i="10"/>
  <c r="H318" i="10"/>
  <c r="I317" i="10"/>
  <c r="F325" i="10" l="1"/>
  <c r="E324" i="10"/>
  <c r="G324" i="10"/>
  <c r="I318" i="10"/>
  <c r="M317" i="10"/>
  <c r="L317" i="10"/>
  <c r="H319" i="10"/>
  <c r="J318" i="10"/>
  <c r="F326" i="10" l="1"/>
  <c r="E325" i="10"/>
  <c r="G325" i="10"/>
  <c r="L318" i="10"/>
  <c r="M318" i="10"/>
  <c r="J319" i="10"/>
  <c r="K319" i="10" s="1"/>
  <c r="K318" i="10"/>
  <c r="H320" i="10"/>
  <c r="I319" i="10"/>
  <c r="F327" i="10" l="1"/>
  <c r="E326" i="10"/>
  <c r="G326" i="10"/>
  <c r="I320" i="10"/>
  <c r="M319" i="10"/>
  <c r="L319" i="10"/>
  <c r="H321" i="10"/>
  <c r="J320" i="10"/>
  <c r="F328" i="10" l="1"/>
  <c r="E327" i="10"/>
  <c r="G327" i="10"/>
  <c r="L320" i="10"/>
  <c r="M320" i="10"/>
  <c r="J321" i="10"/>
  <c r="K321" i="10" s="1"/>
  <c r="K320" i="10"/>
  <c r="H322" i="10"/>
  <c r="I321" i="10"/>
  <c r="F329" i="10" l="1"/>
  <c r="E328" i="10"/>
  <c r="G328" i="10"/>
  <c r="L321" i="10"/>
  <c r="I322" i="10"/>
  <c r="M321" i="10"/>
  <c r="H323" i="10"/>
  <c r="J322" i="10"/>
  <c r="F330" i="10" l="1"/>
  <c r="E329" i="10"/>
  <c r="G329" i="10"/>
  <c r="L322" i="10"/>
  <c r="M322" i="10"/>
  <c r="J323" i="10"/>
  <c r="K323" i="10" s="1"/>
  <c r="K322" i="10"/>
  <c r="H324" i="10"/>
  <c r="I323" i="10"/>
  <c r="F331" i="10" l="1"/>
  <c r="E330" i="10"/>
  <c r="G330" i="10"/>
  <c r="I324" i="10"/>
  <c r="M323" i="10"/>
  <c r="H325" i="10"/>
  <c r="L323" i="10"/>
  <c r="J324" i="10"/>
  <c r="F332" i="10" l="1"/>
  <c r="E331" i="10"/>
  <c r="G331" i="10"/>
  <c r="L324" i="10"/>
  <c r="M324" i="10"/>
  <c r="J325" i="10"/>
  <c r="K325" i="10" s="1"/>
  <c r="K324" i="10"/>
  <c r="H326" i="10"/>
  <c r="I325" i="10"/>
  <c r="F333" i="10" l="1"/>
  <c r="E332" i="10"/>
  <c r="G332" i="10"/>
  <c r="I326" i="10"/>
  <c r="M325" i="10"/>
  <c r="H327" i="10"/>
  <c r="J326" i="10"/>
  <c r="L325" i="10"/>
  <c r="F334" i="10" l="1"/>
  <c r="E333" i="10"/>
  <c r="G333" i="10"/>
  <c r="L326" i="10"/>
  <c r="M326" i="10"/>
  <c r="J327" i="10"/>
  <c r="K327" i="10" s="1"/>
  <c r="K326" i="10"/>
  <c r="I327" i="10"/>
  <c r="H328" i="10"/>
  <c r="F335" i="10" l="1"/>
  <c r="E334" i="10"/>
  <c r="G334" i="10"/>
  <c r="L327" i="10"/>
  <c r="M327" i="10"/>
  <c r="I328" i="10"/>
  <c r="H329" i="10"/>
  <c r="J328" i="10"/>
  <c r="F336" i="10" l="1"/>
  <c r="E335" i="10"/>
  <c r="G335" i="10"/>
  <c r="M328" i="10"/>
  <c r="L328" i="10"/>
  <c r="J329" i="10"/>
  <c r="K329" i="10" s="1"/>
  <c r="K328" i="10"/>
  <c r="H330" i="10"/>
  <c r="I329" i="10"/>
  <c r="F337" i="10" l="1"/>
  <c r="E336" i="10"/>
  <c r="G336" i="10"/>
  <c r="I330" i="10"/>
  <c r="L329" i="10"/>
  <c r="M329" i="10"/>
  <c r="H331" i="10"/>
  <c r="J330" i="10"/>
  <c r="F338" i="10" l="1"/>
  <c r="E337" i="10"/>
  <c r="G337" i="10"/>
  <c r="M330" i="10"/>
  <c r="L330" i="10"/>
  <c r="I331" i="10"/>
  <c r="C9" i="17" s="1"/>
  <c r="J331" i="10"/>
  <c r="K331" i="10" s="1"/>
  <c r="K330" i="10"/>
  <c r="H332" i="10"/>
  <c r="N9" i="17" l="1"/>
  <c r="H9" i="17"/>
  <c r="I9" i="17"/>
  <c r="F339" i="10"/>
  <c r="E338" i="10"/>
  <c r="G338" i="10"/>
  <c r="M331" i="10"/>
  <c r="L331" i="10"/>
  <c r="I332" i="10"/>
  <c r="H333" i="10"/>
  <c r="J332" i="10"/>
  <c r="F340" i="10" l="1"/>
  <c r="E339" i="10"/>
  <c r="G339" i="10"/>
  <c r="L332" i="10"/>
  <c r="M332" i="10"/>
  <c r="J333" i="10"/>
  <c r="K333" i="10" s="1"/>
  <c r="K332" i="10"/>
  <c r="I333" i="10"/>
  <c r="H334" i="10"/>
  <c r="F341" i="10" l="1"/>
  <c r="E340" i="10"/>
  <c r="G340" i="10"/>
  <c r="L333" i="10"/>
  <c r="M333" i="10"/>
  <c r="H335" i="10"/>
  <c r="J334" i="10"/>
  <c r="I334" i="10"/>
  <c r="F342" i="10" l="1"/>
  <c r="E341" i="10"/>
  <c r="G341" i="10"/>
  <c r="I335" i="10"/>
  <c r="J335" i="10"/>
  <c r="K335" i="10" s="1"/>
  <c r="K334" i="10"/>
  <c r="M334" i="10"/>
  <c r="H336" i="10"/>
  <c r="L334" i="10"/>
  <c r="F343" i="10" l="1"/>
  <c r="E342" i="10"/>
  <c r="G342" i="10"/>
  <c r="L335" i="10"/>
  <c r="M335" i="10"/>
  <c r="H337" i="10"/>
  <c r="J336" i="10"/>
  <c r="I336" i="10"/>
  <c r="F344" i="10" l="1"/>
  <c r="E343" i="10"/>
  <c r="G343" i="10"/>
  <c r="I337" i="10"/>
  <c r="J337" i="10"/>
  <c r="K337" i="10" s="1"/>
  <c r="K336" i="10"/>
  <c r="M336" i="10"/>
  <c r="H338" i="10"/>
  <c r="L336" i="10"/>
  <c r="F345" i="10" l="1"/>
  <c r="E344" i="10"/>
  <c r="G344" i="10"/>
  <c r="L337" i="10"/>
  <c r="I338" i="10"/>
  <c r="M337" i="10"/>
  <c r="M338" i="10" s="1"/>
  <c r="H339" i="10"/>
  <c r="J338" i="10"/>
  <c r="F346" i="10" l="1"/>
  <c r="E345" i="10"/>
  <c r="G345" i="10"/>
  <c r="L338" i="10"/>
  <c r="J339" i="10"/>
  <c r="K339" i="10" s="1"/>
  <c r="K338" i="10"/>
  <c r="I339" i="10"/>
  <c r="H340" i="10"/>
  <c r="F347" i="10" l="1"/>
  <c r="E346" i="10"/>
  <c r="G346" i="10"/>
  <c r="I340" i="10"/>
  <c r="L339" i="10"/>
  <c r="M339" i="10"/>
  <c r="H341" i="10"/>
  <c r="J340" i="10"/>
  <c r="F348" i="10" l="1"/>
  <c r="E347" i="10"/>
  <c r="G347" i="10"/>
  <c r="M340" i="10"/>
  <c r="L340" i="10"/>
  <c r="I341" i="10"/>
  <c r="J341" i="10"/>
  <c r="K341" i="10" s="1"/>
  <c r="K340" i="10"/>
  <c r="H342" i="10"/>
  <c r="F349" i="10" l="1"/>
  <c r="E348" i="10"/>
  <c r="G348" i="10"/>
  <c r="M341" i="10"/>
  <c r="L341" i="10"/>
  <c r="J342" i="10"/>
  <c r="K342" i="10" s="1"/>
  <c r="H343" i="10"/>
  <c r="I342" i="10"/>
  <c r="F350" i="10" l="1"/>
  <c r="E349" i="10"/>
  <c r="G349" i="10"/>
  <c r="I343" i="10"/>
  <c r="M342" i="10"/>
  <c r="H344" i="10"/>
  <c r="J343" i="10"/>
  <c r="L342" i="10"/>
  <c r="F351" i="10" l="1"/>
  <c r="E350" i="10"/>
  <c r="G350" i="10"/>
  <c r="L343" i="10"/>
  <c r="M343" i="10"/>
  <c r="J344" i="10"/>
  <c r="K344" i="10" s="1"/>
  <c r="K343" i="10"/>
  <c r="H345" i="10"/>
  <c r="I344" i="10"/>
  <c r="F352" i="10" l="1"/>
  <c r="E351" i="10"/>
  <c r="G351" i="10"/>
  <c r="I345" i="10"/>
  <c r="M344" i="10"/>
  <c r="H346" i="10"/>
  <c r="L344" i="10"/>
  <c r="J345" i="10"/>
  <c r="F353" i="10" l="1"/>
  <c r="E352" i="10"/>
  <c r="G352" i="10"/>
  <c r="L345" i="10"/>
  <c r="M345" i="10"/>
  <c r="J346" i="10"/>
  <c r="K346" i="10" s="1"/>
  <c r="K345" i="10"/>
  <c r="H347" i="10"/>
  <c r="I346" i="10"/>
  <c r="F354" i="10" l="1"/>
  <c r="E353" i="10"/>
  <c r="G353" i="10"/>
  <c r="I347" i="10"/>
  <c r="M346" i="10"/>
  <c r="L346" i="10"/>
  <c r="H348" i="10"/>
  <c r="J347" i="10"/>
  <c r="F355" i="10" l="1"/>
  <c r="E354" i="10"/>
  <c r="G354" i="10"/>
  <c r="L347" i="10"/>
  <c r="M347" i="10"/>
  <c r="J348" i="10"/>
  <c r="K348" i="10" s="1"/>
  <c r="K347" i="10"/>
  <c r="H349" i="10"/>
  <c r="I348" i="10"/>
  <c r="F356" i="10" l="1"/>
  <c r="E355" i="10"/>
  <c r="G355" i="10"/>
  <c r="I349" i="10"/>
  <c r="L348" i="10"/>
  <c r="M348" i="10"/>
  <c r="H350" i="10"/>
  <c r="J349" i="10"/>
  <c r="F357" i="10" l="1"/>
  <c r="E356" i="10"/>
  <c r="G356" i="10"/>
  <c r="M349" i="10"/>
  <c r="L349" i="10"/>
  <c r="I350" i="10"/>
  <c r="J350" i="10"/>
  <c r="K350" i="10" s="1"/>
  <c r="K349" i="10"/>
  <c r="H351" i="10"/>
  <c r="F358" i="10" l="1"/>
  <c r="E357" i="10"/>
  <c r="G357" i="10"/>
  <c r="M350" i="10"/>
  <c r="L350" i="10"/>
  <c r="H352" i="10"/>
  <c r="I351" i="10"/>
  <c r="J351" i="10"/>
  <c r="F359" i="10" l="1"/>
  <c r="E358" i="10"/>
  <c r="G358" i="10"/>
  <c r="I352" i="10"/>
  <c r="J352" i="10"/>
  <c r="K352" i="10" s="1"/>
  <c r="K351" i="10"/>
  <c r="M351" i="10"/>
  <c r="H353" i="10"/>
  <c r="L351" i="10"/>
  <c r="F360" i="10" l="1"/>
  <c r="E359" i="10"/>
  <c r="G359" i="10"/>
  <c r="L352" i="10"/>
  <c r="M352" i="10"/>
  <c r="I353" i="10"/>
  <c r="H354" i="10"/>
  <c r="J353" i="10"/>
  <c r="F361" i="10" l="1"/>
  <c r="E360" i="10"/>
  <c r="G360" i="10"/>
  <c r="L353" i="10"/>
  <c r="M353" i="10"/>
  <c r="J354" i="10"/>
  <c r="K354" i="10" s="1"/>
  <c r="K353" i="10"/>
  <c r="H355" i="10"/>
  <c r="I354" i="10"/>
  <c r="F362" i="10" l="1"/>
  <c r="E361" i="10"/>
  <c r="G361" i="10"/>
  <c r="I355" i="10"/>
  <c r="M354" i="10"/>
  <c r="L354" i="10"/>
  <c r="H356" i="10"/>
  <c r="J355" i="10"/>
  <c r="F363" i="10" l="1"/>
  <c r="E362" i="10"/>
  <c r="G362" i="10"/>
  <c r="M355" i="10"/>
  <c r="L355" i="10"/>
  <c r="J356" i="10"/>
  <c r="K356" i="10" s="1"/>
  <c r="K355" i="10"/>
  <c r="H357" i="10"/>
  <c r="I356" i="10"/>
  <c r="F364" i="10" l="1"/>
  <c r="E363" i="10"/>
  <c r="G363" i="10"/>
  <c r="I357" i="10"/>
  <c r="L356" i="10"/>
  <c r="M356" i="10"/>
  <c r="H358" i="10"/>
  <c r="J357" i="10"/>
  <c r="F365" i="10" l="1"/>
  <c r="E364" i="10"/>
  <c r="G364" i="10"/>
  <c r="M357" i="10"/>
  <c r="L357" i="10"/>
  <c r="J358" i="10"/>
  <c r="K358" i="10" s="1"/>
  <c r="K357" i="10"/>
  <c r="I358" i="10"/>
  <c r="H359" i="10"/>
  <c r="F366" i="10" l="1"/>
  <c r="E365" i="10"/>
  <c r="G365" i="10"/>
  <c r="M358" i="10"/>
  <c r="L358" i="10"/>
  <c r="H360" i="10"/>
  <c r="J359" i="10"/>
  <c r="I359" i="10"/>
  <c r="F367" i="10" l="1"/>
  <c r="E366" i="10"/>
  <c r="G366" i="10"/>
  <c r="I360" i="10"/>
  <c r="J360" i="10"/>
  <c r="K360" i="10" s="1"/>
  <c r="K359" i="10"/>
  <c r="M359" i="10"/>
  <c r="H361" i="10"/>
  <c r="L359" i="10"/>
  <c r="F368" i="10" l="1"/>
  <c r="E367" i="10"/>
  <c r="G367" i="10"/>
  <c r="L360" i="10"/>
  <c r="J361" i="10"/>
  <c r="K361" i="10" s="1"/>
  <c r="M360" i="10"/>
  <c r="H362" i="10"/>
  <c r="I361" i="10"/>
  <c r="F369" i="10" l="1"/>
  <c r="E368" i="10"/>
  <c r="G368" i="10"/>
  <c r="I362" i="10"/>
  <c r="M361" i="10"/>
  <c r="L361" i="10"/>
  <c r="H363" i="10"/>
  <c r="J362" i="10"/>
  <c r="F370" i="10" l="1"/>
  <c r="E369" i="10"/>
  <c r="G369" i="10"/>
  <c r="L362" i="10"/>
  <c r="M362" i="10"/>
  <c r="I363" i="10"/>
  <c r="J363" i="10"/>
  <c r="K363" i="10" s="1"/>
  <c r="K362" i="10"/>
  <c r="H364" i="10"/>
  <c r="F371" i="10" l="1"/>
  <c r="E370" i="10"/>
  <c r="G370" i="10"/>
  <c r="M363" i="10"/>
  <c r="L363" i="10"/>
  <c r="J364" i="10"/>
  <c r="K364" i="10" s="1"/>
  <c r="H365" i="10"/>
  <c r="I364" i="10"/>
  <c r="F372" i="10" l="1"/>
  <c r="E371" i="10"/>
  <c r="G371" i="10"/>
  <c r="I365" i="10"/>
  <c r="J365" i="10"/>
  <c r="K365" i="10" s="1"/>
  <c r="M364" i="10"/>
  <c r="H366" i="10"/>
  <c r="L364" i="10"/>
  <c r="F373" i="10" l="1"/>
  <c r="E372" i="10"/>
  <c r="G372" i="10"/>
  <c r="L365" i="10"/>
  <c r="M365" i="10"/>
  <c r="I366" i="10"/>
  <c r="H367" i="10"/>
  <c r="J366" i="10"/>
  <c r="F374" i="10" l="1"/>
  <c r="E373" i="10"/>
  <c r="G373" i="10"/>
  <c r="L366" i="10"/>
  <c r="M366" i="10"/>
  <c r="J367" i="10"/>
  <c r="K367" i="10" s="1"/>
  <c r="K366" i="10"/>
  <c r="H368" i="10"/>
  <c r="I367" i="10"/>
  <c r="F375" i="10" l="1"/>
  <c r="E374" i="10"/>
  <c r="G374" i="10"/>
  <c r="L367" i="10"/>
  <c r="I368" i="10"/>
  <c r="J368" i="10"/>
  <c r="K368" i="10" s="1"/>
  <c r="M367" i="10"/>
  <c r="M368" i="10" s="1"/>
  <c r="H369" i="10"/>
  <c r="F376" i="10" l="1"/>
  <c r="E375" i="10"/>
  <c r="G375" i="10"/>
  <c r="L368" i="10"/>
  <c r="J369" i="10"/>
  <c r="K369" i="10" s="1"/>
  <c r="H370" i="10"/>
  <c r="I369" i="10"/>
  <c r="M369" i="10" s="1"/>
  <c r="F377" i="10" l="1"/>
  <c r="E376" i="10"/>
  <c r="G376" i="10"/>
  <c r="H371" i="10"/>
  <c r="I370" i="10"/>
  <c r="L369" i="10"/>
  <c r="L370" i="10" s="1"/>
  <c r="J370" i="10"/>
  <c r="F378" i="10" l="1"/>
  <c r="E377" i="10"/>
  <c r="G377" i="10"/>
  <c r="I371" i="10"/>
  <c r="L371" i="10" s="1"/>
  <c r="M370" i="10"/>
  <c r="J371" i="10"/>
  <c r="K371" i="10" s="1"/>
  <c r="K370" i="10"/>
  <c r="H372" i="10"/>
  <c r="F379" i="10" l="1"/>
  <c r="E378" i="10"/>
  <c r="G378" i="10"/>
  <c r="M371" i="10"/>
  <c r="H373" i="10"/>
  <c r="I372" i="10"/>
  <c r="L372" i="10" s="1"/>
  <c r="J372" i="10"/>
  <c r="F380" i="10" l="1"/>
  <c r="E379" i="10"/>
  <c r="G379" i="10"/>
  <c r="I373" i="10"/>
  <c r="L373" i="10" s="1"/>
  <c r="M372" i="10"/>
  <c r="J373" i="10"/>
  <c r="K373" i="10" s="1"/>
  <c r="K372" i="10"/>
  <c r="H374" i="10"/>
  <c r="F381" i="10" l="1"/>
  <c r="E380" i="10"/>
  <c r="G380" i="10"/>
  <c r="M373" i="10"/>
  <c r="H375" i="10"/>
  <c r="I374" i="10"/>
  <c r="L374" i="10" s="1"/>
  <c r="J374" i="10"/>
  <c r="F382" i="10" l="1"/>
  <c r="E381" i="10"/>
  <c r="G381" i="10"/>
  <c r="I375" i="10"/>
  <c r="L375" i="10" s="1"/>
  <c r="M374" i="10"/>
  <c r="J375" i="10"/>
  <c r="K375" i="10" s="1"/>
  <c r="K374" i="10"/>
  <c r="H376" i="10"/>
  <c r="F383" i="10" l="1"/>
  <c r="E382" i="10"/>
  <c r="G382" i="10"/>
  <c r="M375" i="10"/>
  <c r="J376" i="10"/>
  <c r="K376" i="10" s="1"/>
  <c r="I376" i="10"/>
  <c r="H377" i="10"/>
  <c r="F384" i="10" l="1"/>
  <c r="E383" i="10"/>
  <c r="G383" i="10"/>
  <c r="M376" i="10"/>
  <c r="L376" i="10"/>
  <c r="H378" i="10"/>
  <c r="I377" i="10"/>
  <c r="J377" i="10"/>
  <c r="F385" i="10" l="1"/>
  <c r="E384" i="10"/>
  <c r="G384" i="10"/>
  <c r="I378" i="10"/>
  <c r="M377" i="10"/>
  <c r="J378" i="10"/>
  <c r="K378" i="10" s="1"/>
  <c r="K377" i="10"/>
  <c r="H379" i="10"/>
  <c r="L377" i="10"/>
  <c r="F386" i="10" l="1"/>
  <c r="E385" i="10"/>
  <c r="G385" i="10"/>
  <c r="L378" i="10"/>
  <c r="I379" i="10"/>
  <c r="M378" i="10"/>
  <c r="H380" i="10"/>
  <c r="J379" i="10"/>
  <c r="F387" i="10" l="1"/>
  <c r="E386" i="10"/>
  <c r="G386" i="10"/>
  <c r="L379" i="10"/>
  <c r="M379" i="10"/>
  <c r="J380" i="10"/>
  <c r="K380" i="10" s="1"/>
  <c r="K379" i="10"/>
  <c r="H381" i="10"/>
  <c r="I380" i="10"/>
  <c r="F388" i="10" l="1"/>
  <c r="E387" i="10"/>
  <c r="G387" i="10"/>
  <c r="I381" i="10"/>
  <c r="L380" i="10"/>
  <c r="M380" i="10"/>
  <c r="H382" i="10"/>
  <c r="J381" i="10"/>
  <c r="F389" i="10" l="1"/>
  <c r="E388" i="10"/>
  <c r="G388" i="10"/>
  <c r="M381" i="10"/>
  <c r="L381" i="10"/>
  <c r="J382" i="10"/>
  <c r="K382" i="10" s="1"/>
  <c r="K381" i="10"/>
  <c r="H383" i="10"/>
  <c r="I382" i="10"/>
  <c r="F390" i="10" l="1"/>
  <c r="E389" i="10"/>
  <c r="G389" i="10"/>
  <c r="I383" i="10"/>
  <c r="M382" i="10"/>
  <c r="L382" i="10"/>
  <c r="H384" i="10"/>
  <c r="J383" i="10"/>
  <c r="F391" i="10" l="1"/>
  <c r="E390" i="10"/>
  <c r="G390" i="10"/>
  <c r="M383" i="10"/>
  <c r="L383" i="10"/>
  <c r="J384" i="10"/>
  <c r="K384" i="10" s="1"/>
  <c r="K383" i="10"/>
  <c r="H385" i="10"/>
  <c r="I384" i="10"/>
  <c r="F392" i="10" l="1"/>
  <c r="E391" i="10"/>
  <c r="G391" i="10"/>
  <c r="I385" i="10"/>
  <c r="L384" i="10"/>
  <c r="M384" i="10"/>
  <c r="H386" i="10"/>
  <c r="J385" i="10"/>
  <c r="F393" i="10" l="1"/>
  <c r="E392" i="10"/>
  <c r="G392" i="10"/>
  <c r="I386" i="10"/>
  <c r="M385" i="10"/>
  <c r="L385" i="10"/>
  <c r="J386" i="10"/>
  <c r="K386" i="10" s="1"/>
  <c r="K385" i="10"/>
  <c r="H387" i="10"/>
  <c r="F394" i="10" l="1"/>
  <c r="E393" i="10"/>
  <c r="G393" i="10"/>
  <c r="L386" i="10"/>
  <c r="M386" i="10"/>
  <c r="I387" i="10"/>
  <c r="H388" i="10"/>
  <c r="J387" i="10"/>
  <c r="F395" i="10" l="1"/>
  <c r="E394" i="10"/>
  <c r="G394" i="10"/>
  <c r="M387" i="10"/>
  <c r="L387" i="10"/>
  <c r="I388" i="10"/>
  <c r="J388" i="10"/>
  <c r="K388" i="10" s="1"/>
  <c r="K387" i="10"/>
  <c r="H389" i="10"/>
  <c r="F396" i="10" l="1"/>
  <c r="E395" i="10"/>
  <c r="G395" i="10"/>
  <c r="M388" i="10"/>
  <c r="L388" i="10"/>
  <c r="J389" i="10"/>
  <c r="K389" i="10" s="1"/>
  <c r="H390" i="10"/>
  <c r="I389" i="10"/>
  <c r="F397" i="10" l="1"/>
  <c r="E396" i="10"/>
  <c r="G396" i="10"/>
  <c r="I390" i="10"/>
  <c r="M389" i="10"/>
  <c r="H391" i="10"/>
  <c r="L389" i="10"/>
  <c r="J390" i="10"/>
  <c r="F398" i="10" l="1"/>
  <c r="E397" i="10"/>
  <c r="G397" i="10"/>
  <c r="L390" i="10"/>
  <c r="M390" i="10"/>
  <c r="J391" i="10"/>
  <c r="K391" i="10" s="1"/>
  <c r="K390" i="10"/>
  <c r="H392" i="10"/>
  <c r="I391" i="10"/>
  <c r="F399" i="10" l="1"/>
  <c r="E398" i="10"/>
  <c r="G398" i="10"/>
  <c r="M391" i="10"/>
  <c r="I392" i="10"/>
  <c r="H393" i="10"/>
  <c r="L391" i="10"/>
  <c r="J392" i="10"/>
  <c r="F400" i="10" l="1"/>
  <c r="E399" i="10"/>
  <c r="G399" i="10"/>
  <c r="M392" i="10"/>
  <c r="L392" i="10"/>
  <c r="J393" i="10"/>
  <c r="K393" i="10" s="1"/>
  <c r="K392" i="10"/>
  <c r="H394" i="10"/>
  <c r="I393" i="10"/>
  <c r="F401" i="10" l="1"/>
  <c r="E400" i="10"/>
  <c r="G400" i="10"/>
  <c r="I394" i="10"/>
  <c r="M393" i="10"/>
  <c r="H395" i="10"/>
  <c r="L393" i="10"/>
  <c r="J394" i="10"/>
  <c r="F402" i="10" l="1"/>
  <c r="E401" i="10"/>
  <c r="G401" i="10"/>
  <c r="L394" i="10"/>
  <c r="M394" i="10"/>
  <c r="J395" i="10"/>
  <c r="K395" i="10" s="1"/>
  <c r="K394" i="10"/>
  <c r="H396" i="10"/>
  <c r="I395" i="10"/>
  <c r="F403" i="10" l="1"/>
  <c r="E402" i="10"/>
  <c r="G402" i="10"/>
  <c r="I396" i="10"/>
  <c r="M395" i="10"/>
  <c r="H397" i="10"/>
  <c r="J396" i="10"/>
  <c r="L395" i="10"/>
  <c r="F404" i="10" l="1"/>
  <c r="E403" i="10"/>
  <c r="G403" i="10"/>
  <c r="L396" i="10"/>
  <c r="M396" i="10"/>
  <c r="J397" i="10"/>
  <c r="K397" i="10" s="1"/>
  <c r="K396" i="10"/>
  <c r="H398" i="10"/>
  <c r="I397" i="10"/>
  <c r="F405" i="10" l="1"/>
  <c r="E404" i="10"/>
  <c r="G404" i="10"/>
  <c r="I398" i="10"/>
  <c r="M397" i="10"/>
  <c r="L397" i="10"/>
  <c r="H399" i="10"/>
  <c r="J398" i="10"/>
  <c r="F406" i="10" l="1"/>
  <c r="E405" i="10"/>
  <c r="G405" i="10"/>
  <c r="M398" i="10"/>
  <c r="L398" i="10"/>
  <c r="J399" i="10"/>
  <c r="K399" i="10" s="1"/>
  <c r="K398" i="10"/>
  <c r="H400" i="10"/>
  <c r="I399" i="10"/>
  <c r="F407" i="10" l="1"/>
  <c r="E406" i="10"/>
  <c r="G406" i="10"/>
  <c r="L399" i="10"/>
  <c r="I400" i="10"/>
  <c r="M399" i="10"/>
  <c r="H401" i="10"/>
  <c r="J400" i="10"/>
  <c r="F408" i="10" l="1"/>
  <c r="E407" i="10"/>
  <c r="G407" i="10"/>
  <c r="L400" i="10"/>
  <c r="M400" i="10"/>
  <c r="J401" i="10"/>
  <c r="K401" i="10" s="1"/>
  <c r="K400" i="10"/>
  <c r="H402" i="10"/>
  <c r="I401" i="10"/>
  <c r="F409" i="10" l="1"/>
  <c r="E408" i="10"/>
  <c r="G408" i="10"/>
  <c r="M401" i="10"/>
  <c r="H403" i="10"/>
  <c r="I402" i="10"/>
  <c r="C10" i="17" s="1"/>
  <c r="L401" i="10"/>
  <c r="L402" i="10" s="1"/>
  <c r="J402" i="10"/>
  <c r="F410" i="10" l="1"/>
  <c r="E409" i="10"/>
  <c r="G409" i="10"/>
  <c r="N10" i="17"/>
  <c r="H10" i="17"/>
  <c r="I10" i="17"/>
  <c r="M402" i="10"/>
  <c r="I403" i="10"/>
  <c r="J403" i="10"/>
  <c r="K403" i="10" s="1"/>
  <c r="K402" i="10"/>
  <c r="H404" i="10"/>
  <c r="F411" i="10" l="1"/>
  <c r="E410" i="10"/>
  <c r="G410" i="10"/>
  <c r="M403" i="10"/>
  <c r="L403" i="10"/>
  <c r="H405" i="10"/>
  <c r="I404" i="10"/>
  <c r="J404" i="10"/>
  <c r="F412" i="10" l="1"/>
  <c r="E411" i="10"/>
  <c r="G411" i="10"/>
  <c r="L404" i="10"/>
  <c r="I405" i="10"/>
  <c r="J405" i="10"/>
  <c r="K405" i="10" s="1"/>
  <c r="K404" i="10"/>
  <c r="M404" i="10"/>
  <c r="H406" i="10"/>
  <c r="F413" i="10" l="1"/>
  <c r="E412" i="10"/>
  <c r="G412" i="10"/>
  <c r="L405" i="10"/>
  <c r="M405" i="10"/>
  <c r="I406" i="10"/>
  <c r="H407" i="10"/>
  <c r="J406" i="10"/>
  <c r="F414" i="10" l="1"/>
  <c r="E413" i="10"/>
  <c r="G413" i="10"/>
  <c r="L406" i="10"/>
  <c r="M406" i="10"/>
  <c r="J407" i="10"/>
  <c r="K407" i="10" s="1"/>
  <c r="K406" i="10"/>
  <c r="H408" i="10"/>
  <c r="I407" i="10"/>
  <c r="F415" i="10" l="1"/>
  <c r="E414" i="10"/>
  <c r="G414" i="10"/>
  <c r="I408" i="10"/>
  <c r="M407" i="10"/>
  <c r="H409" i="10"/>
  <c r="L407" i="10"/>
  <c r="J408" i="10"/>
  <c r="F416" i="10" l="1"/>
  <c r="E415" i="10"/>
  <c r="G415" i="10"/>
  <c r="L408" i="10"/>
  <c r="M408" i="10"/>
  <c r="J409" i="10"/>
  <c r="K409" i="10" s="1"/>
  <c r="K408" i="10"/>
  <c r="H410" i="10"/>
  <c r="I409" i="10"/>
  <c r="F417" i="10" l="1"/>
  <c r="E416" i="10"/>
  <c r="G416" i="10"/>
  <c r="I410" i="10"/>
  <c r="M409" i="10"/>
  <c r="H411" i="10"/>
  <c r="L409" i="10"/>
  <c r="J410" i="10"/>
  <c r="F418" i="10" l="1"/>
  <c r="E417" i="10"/>
  <c r="G417" i="10"/>
  <c r="L410" i="10"/>
  <c r="M410" i="10"/>
  <c r="J411" i="10"/>
  <c r="K411" i="10" s="1"/>
  <c r="K410" i="10"/>
  <c r="H412" i="10"/>
  <c r="I411" i="10"/>
  <c r="F419" i="10" l="1"/>
  <c r="E418" i="10"/>
  <c r="G418" i="10"/>
  <c r="I412" i="10"/>
  <c r="M411" i="10"/>
  <c r="H413" i="10"/>
  <c r="J412" i="10"/>
  <c r="L411" i="10"/>
  <c r="F420" i="10" l="1"/>
  <c r="E419" i="10"/>
  <c r="G419" i="10"/>
  <c r="L412" i="10"/>
  <c r="M412" i="10"/>
  <c r="J413" i="10"/>
  <c r="K413" i="10" s="1"/>
  <c r="K412" i="10"/>
  <c r="I413" i="10"/>
  <c r="H414" i="10"/>
  <c r="F421" i="10" l="1"/>
  <c r="E420" i="10"/>
  <c r="G420" i="10"/>
  <c r="L413" i="10"/>
  <c r="M413" i="10"/>
  <c r="I414" i="10"/>
  <c r="H415" i="10"/>
  <c r="J414" i="10"/>
  <c r="F422" i="10" l="1"/>
  <c r="E421" i="10"/>
  <c r="G421" i="10"/>
  <c r="L414" i="10"/>
  <c r="J415" i="10"/>
  <c r="K415" i="10" s="1"/>
  <c r="K414" i="10"/>
  <c r="M414" i="10"/>
  <c r="H416" i="10"/>
  <c r="I415" i="10"/>
  <c r="F423" i="10" l="1"/>
  <c r="E422" i="10"/>
  <c r="G422" i="10"/>
  <c r="L415" i="10"/>
  <c r="I416" i="10"/>
  <c r="M415" i="10"/>
  <c r="H417" i="10"/>
  <c r="J416" i="10"/>
  <c r="F424" i="10" l="1"/>
  <c r="E423" i="10"/>
  <c r="G423" i="10"/>
  <c r="L416" i="10"/>
  <c r="M416" i="10"/>
  <c r="I417" i="10"/>
  <c r="J417" i="10"/>
  <c r="K417" i="10" s="1"/>
  <c r="K416" i="10"/>
  <c r="H418" i="10"/>
  <c r="F425" i="10" l="1"/>
  <c r="E424" i="10"/>
  <c r="G424" i="10"/>
  <c r="M417" i="10"/>
  <c r="L417" i="10"/>
  <c r="J418" i="10"/>
  <c r="K418" i="10" s="1"/>
  <c r="H419" i="10"/>
  <c r="I418" i="10"/>
  <c r="F426" i="10" l="1"/>
  <c r="E425" i="10"/>
  <c r="G425" i="10"/>
  <c r="I419" i="10"/>
  <c r="M418" i="10"/>
  <c r="L418" i="10"/>
  <c r="H420" i="10"/>
  <c r="J419" i="10"/>
  <c r="F427" i="10" l="1"/>
  <c r="E426" i="10"/>
  <c r="G426" i="10"/>
  <c r="L419" i="10"/>
  <c r="M419" i="10"/>
  <c r="J420" i="10"/>
  <c r="K420" i="10" s="1"/>
  <c r="K419" i="10"/>
  <c r="H421" i="10"/>
  <c r="I420" i="10"/>
  <c r="F428" i="10" l="1"/>
  <c r="E427" i="10"/>
  <c r="G427" i="10"/>
  <c r="I421" i="10"/>
  <c r="L420" i="10"/>
  <c r="M420" i="10"/>
  <c r="H422" i="10"/>
  <c r="J421" i="10"/>
  <c r="F429" i="10" l="1"/>
  <c r="E428" i="10"/>
  <c r="G428" i="10"/>
  <c r="M421" i="10"/>
  <c r="L421" i="10"/>
  <c r="J422" i="10"/>
  <c r="K422" i="10" s="1"/>
  <c r="K421" i="10"/>
  <c r="H423" i="10"/>
  <c r="I422" i="10"/>
  <c r="F430" i="10" l="1"/>
  <c r="E429" i="10"/>
  <c r="G429" i="10"/>
  <c r="M422" i="10"/>
  <c r="I423" i="10"/>
  <c r="L422" i="10"/>
  <c r="H424" i="10"/>
  <c r="J423" i="10"/>
  <c r="F431" i="10" l="1"/>
  <c r="E430" i="10"/>
  <c r="G430" i="10"/>
  <c r="M423" i="10"/>
  <c r="L423" i="10"/>
  <c r="J424" i="10"/>
  <c r="K424" i="10" s="1"/>
  <c r="K423" i="10"/>
  <c r="H425" i="10"/>
  <c r="I424" i="10"/>
  <c r="F432" i="10" l="1"/>
  <c r="E431" i="10"/>
  <c r="G431" i="10"/>
  <c r="I425" i="10"/>
  <c r="L424" i="10"/>
  <c r="M424" i="10"/>
  <c r="H426" i="10"/>
  <c r="J425" i="10"/>
  <c r="F433" i="10" l="1"/>
  <c r="E432" i="10"/>
  <c r="G432" i="10"/>
  <c r="M425" i="10"/>
  <c r="L425" i="10"/>
  <c r="J426" i="10"/>
  <c r="K426" i="10" s="1"/>
  <c r="K425" i="10"/>
  <c r="H427" i="10"/>
  <c r="I426" i="10"/>
  <c r="F434" i="10" l="1"/>
  <c r="E433" i="10"/>
  <c r="G433" i="10"/>
  <c r="I427" i="10"/>
  <c r="J427" i="10"/>
  <c r="K427" i="10" s="1"/>
  <c r="M426" i="10"/>
  <c r="L426" i="10"/>
  <c r="H428" i="10"/>
  <c r="F435" i="10" l="1"/>
  <c r="E434" i="10"/>
  <c r="G434" i="10"/>
  <c r="L427" i="10"/>
  <c r="M427" i="10"/>
  <c r="H429" i="10"/>
  <c r="J428" i="10"/>
  <c r="I428" i="10"/>
  <c r="F436" i="10" l="1"/>
  <c r="E435" i="10"/>
  <c r="G435" i="10"/>
  <c r="I429" i="10"/>
  <c r="J429" i="10"/>
  <c r="K429" i="10" s="1"/>
  <c r="K428" i="10"/>
  <c r="M428" i="10"/>
  <c r="L428" i="10"/>
  <c r="H430" i="10"/>
  <c r="F437" i="10" l="1"/>
  <c r="E436" i="10"/>
  <c r="G436" i="10"/>
  <c r="L429" i="10"/>
  <c r="M429" i="10"/>
  <c r="J430" i="10"/>
  <c r="K430" i="10" s="1"/>
  <c r="H431" i="10"/>
  <c r="I430" i="10"/>
  <c r="F438" i="10" l="1"/>
  <c r="E437" i="10"/>
  <c r="G437" i="10"/>
  <c r="I431" i="10"/>
  <c r="M430" i="10"/>
  <c r="L430" i="10"/>
  <c r="H432" i="10"/>
  <c r="J431" i="10"/>
  <c r="F439" i="10" l="1"/>
  <c r="E438" i="10"/>
  <c r="G438" i="10"/>
  <c r="M431" i="10"/>
  <c r="L431" i="10"/>
  <c r="J432" i="10"/>
  <c r="K432" i="10" s="1"/>
  <c r="K431" i="10"/>
  <c r="H433" i="10"/>
  <c r="I432" i="10"/>
  <c r="F440" i="10" l="1"/>
  <c r="E439" i="10"/>
  <c r="G439" i="10"/>
  <c r="I433" i="10"/>
  <c r="L432" i="10"/>
  <c r="M432" i="10"/>
  <c r="H434" i="10"/>
  <c r="J433" i="10"/>
  <c r="F441" i="10" l="1"/>
  <c r="E440" i="10"/>
  <c r="G440" i="10"/>
  <c r="L433" i="10"/>
  <c r="M433" i="10"/>
  <c r="J434" i="10"/>
  <c r="K434" i="10" s="1"/>
  <c r="K433" i="10"/>
  <c r="H435" i="10"/>
  <c r="I434" i="10"/>
  <c r="F442" i="10" l="1"/>
  <c r="E441" i="10"/>
  <c r="G441" i="10"/>
  <c r="M434" i="10"/>
  <c r="H436" i="10"/>
  <c r="I435" i="10"/>
  <c r="L434" i="10"/>
  <c r="J435" i="10"/>
  <c r="F443" i="10" l="1"/>
  <c r="E442" i="10"/>
  <c r="G442" i="10"/>
  <c r="L435" i="10"/>
  <c r="I436" i="10"/>
  <c r="J436" i="10"/>
  <c r="K436" i="10" s="1"/>
  <c r="K435" i="10"/>
  <c r="M435" i="10"/>
  <c r="H437" i="10"/>
  <c r="F444" i="10" l="1"/>
  <c r="E443" i="10"/>
  <c r="G443" i="10"/>
  <c r="L436" i="10"/>
  <c r="M436" i="10"/>
  <c r="H438" i="10"/>
  <c r="I437" i="10"/>
  <c r="J437" i="10"/>
  <c r="F445" i="10" l="1"/>
  <c r="E444" i="10"/>
  <c r="G444" i="10"/>
  <c r="L437" i="10"/>
  <c r="I438" i="10"/>
  <c r="J438" i="10"/>
  <c r="K438" i="10" s="1"/>
  <c r="K437" i="10"/>
  <c r="M437" i="10"/>
  <c r="H439" i="10"/>
  <c r="F446" i="10" l="1"/>
  <c r="E445" i="10"/>
  <c r="G445" i="10"/>
  <c r="L438" i="10"/>
  <c r="M438" i="10"/>
  <c r="I439" i="10"/>
  <c r="H440" i="10"/>
  <c r="J439" i="10"/>
  <c r="F447" i="10" l="1"/>
  <c r="E446" i="10"/>
  <c r="G446" i="10"/>
  <c r="M439" i="10"/>
  <c r="L439" i="10"/>
  <c r="I440" i="10"/>
  <c r="J440" i="10"/>
  <c r="K440" i="10" s="1"/>
  <c r="K439" i="10"/>
  <c r="H441" i="10"/>
  <c r="F448" i="10" l="1"/>
  <c r="E447" i="10"/>
  <c r="G447" i="10"/>
  <c r="M440" i="10"/>
  <c r="L440" i="10"/>
  <c r="J441" i="10"/>
  <c r="K441" i="10" s="1"/>
  <c r="H442" i="10"/>
  <c r="I441" i="10"/>
  <c r="F449" i="10" l="1"/>
  <c r="E448" i="10"/>
  <c r="G448" i="10"/>
  <c r="L441" i="10"/>
  <c r="I442" i="10"/>
  <c r="M441" i="10"/>
  <c r="H443" i="10"/>
  <c r="J442" i="10"/>
  <c r="F450" i="10" l="1"/>
  <c r="E449" i="10"/>
  <c r="G449" i="10"/>
  <c r="L442" i="10"/>
  <c r="M442" i="10"/>
  <c r="J443" i="10"/>
  <c r="K443" i="10" s="1"/>
  <c r="K442" i="10"/>
  <c r="H444" i="10"/>
  <c r="I443" i="10"/>
  <c r="F451" i="10" l="1"/>
  <c r="E450" i="10"/>
  <c r="G450" i="10"/>
  <c r="M443" i="10"/>
  <c r="H445" i="10"/>
  <c r="I444" i="10"/>
  <c r="L443" i="10"/>
  <c r="J444" i="10"/>
  <c r="F452" i="10" l="1"/>
  <c r="E451" i="10"/>
  <c r="G451" i="10"/>
  <c r="L444" i="10"/>
  <c r="I445" i="10"/>
  <c r="J445" i="10"/>
  <c r="K445" i="10" s="1"/>
  <c r="K444" i="10"/>
  <c r="M444" i="10"/>
  <c r="H446" i="10"/>
  <c r="L445" i="10" l="1"/>
  <c r="F453" i="10"/>
  <c r="E452" i="10"/>
  <c r="G452" i="10"/>
  <c r="M445" i="10"/>
  <c r="J446" i="10"/>
  <c r="K446" i="10" s="1"/>
  <c r="I446" i="10"/>
  <c r="H447" i="10"/>
  <c r="L446" i="10" l="1"/>
  <c r="F454" i="10"/>
  <c r="E453" i="10"/>
  <c r="G453" i="10"/>
  <c r="M446" i="10"/>
  <c r="H448" i="10"/>
  <c r="I447" i="10"/>
  <c r="J447" i="10"/>
  <c r="F455" i="10" l="1"/>
  <c r="E454" i="10"/>
  <c r="G454" i="10"/>
  <c r="I448" i="10"/>
  <c r="J448" i="10"/>
  <c r="K448" i="10" s="1"/>
  <c r="K447" i="10"/>
  <c r="M447" i="10"/>
  <c r="H449" i="10"/>
  <c r="L447" i="10"/>
  <c r="F456" i="10" l="1"/>
  <c r="E455" i="10"/>
  <c r="G455" i="10"/>
  <c r="L448" i="10"/>
  <c r="M448" i="10"/>
  <c r="I449" i="10"/>
  <c r="H450" i="10"/>
  <c r="J449" i="10"/>
  <c r="F457" i="10" l="1"/>
  <c r="E456" i="10"/>
  <c r="G456" i="10"/>
  <c r="L449" i="10"/>
  <c r="I450" i="10"/>
  <c r="M449" i="10"/>
  <c r="J450" i="10"/>
  <c r="K450" i="10" s="1"/>
  <c r="K449" i="10"/>
  <c r="H451" i="10"/>
  <c r="F458" i="10" l="1"/>
  <c r="E457" i="10"/>
  <c r="G457" i="10"/>
  <c r="L450" i="10"/>
  <c r="M450" i="10"/>
  <c r="I451" i="10"/>
  <c r="H452" i="10"/>
  <c r="J451" i="10"/>
  <c r="F459" i="10" l="1"/>
  <c r="E458" i="10"/>
  <c r="G458" i="10"/>
  <c r="L451" i="10"/>
  <c r="M451" i="10"/>
  <c r="J452" i="10"/>
  <c r="K452" i="10" s="1"/>
  <c r="K451" i="10"/>
  <c r="H453" i="10"/>
  <c r="I452" i="10"/>
  <c r="F460" i="10" l="1"/>
  <c r="E459" i="10"/>
  <c r="G459" i="10"/>
  <c r="I453" i="10"/>
  <c r="M452" i="10"/>
  <c r="J453" i="10"/>
  <c r="K453" i="10" s="1"/>
  <c r="L452" i="10"/>
  <c r="H454" i="10"/>
  <c r="F461" i="10" l="1"/>
  <c r="E460" i="10"/>
  <c r="G460" i="10"/>
  <c r="L453" i="10"/>
  <c r="M453" i="10"/>
  <c r="H455" i="10"/>
  <c r="I454" i="10"/>
  <c r="J454" i="10"/>
  <c r="F462" i="10" l="1"/>
  <c r="E461" i="10"/>
  <c r="G461" i="10"/>
  <c r="I455" i="10"/>
  <c r="L454" i="10"/>
  <c r="J455" i="10"/>
  <c r="K455" i="10" s="1"/>
  <c r="K454" i="10"/>
  <c r="M454" i="10"/>
  <c r="H456" i="10"/>
  <c r="F463" i="10" l="1"/>
  <c r="E462" i="10"/>
  <c r="G462" i="10"/>
  <c r="M455" i="10"/>
  <c r="L455" i="10"/>
  <c r="H457" i="10"/>
  <c r="I456" i="10"/>
  <c r="J456" i="10"/>
  <c r="F464" i="10" l="1"/>
  <c r="E463" i="10"/>
  <c r="G463" i="10"/>
  <c r="L456" i="10"/>
  <c r="I457" i="10"/>
  <c r="J457" i="10"/>
  <c r="K457" i="10" s="1"/>
  <c r="K456" i="10"/>
  <c r="M456" i="10"/>
  <c r="H458" i="10"/>
  <c r="F465" i="10" l="1"/>
  <c r="E464" i="10"/>
  <c r="G464" i="10"/>
  <c r="L457" i="10"/>
  <c r="M457" i="10"/>
  <c r="H459" i="10"/>
  <c r="I458" i="10"/>
  <c r="J458" i="10"/>
  <c r="F466" i="10" l="1"/>
  <c r="E465" i="10"/>
  <c r="G465" i="10"/>
  <c r="L458" i="10"/>
  <c r="I459" i="10"/>
  <c r="J459" i="10"/>
  <c r="K459" i="10" s="1"/>
  <c r="K458" i="10"/>
  <c r="M458" i="10"/>
  <c r="H460" i="10"/>
  <c r="F467" i="10" l="1"/>
  <c r="E466" i="10"/>
  <c r="G466" i="10"/>
  <c r="L459" i="10"/>
  <c r="M459" i="10"/>
  <c r="H461" i="10"/>
  <c r="I460" i="10"/>
  <c r="J460" i="10"/>
  <c r="E467" i="10" l="1"/>
  <c r="F468" i="10"/>
  <c r="G467" i="10"/>
  <c r="H467" i="10" s="1"/>
  <c r="L460" i="10"/>
  <c r="I461" i="10"/>
  <c r="J461" i="10"/>
  <c r="K461" i="10" s="1"/>
  <c r="K460" i="10"/>
  <c r="M460" i="10"/>
  <c r="H462" i="10"/>
  <c r="E468" i="10" l="1"/>
  <c r="F469" i="10"/>
  <c r="G468" i="10"/>
  <c r="H468" i="10" s="1"/>
  <c r="L461" i="10"/>
  <c r="M461" i="10"/>
  <c r="I462" i="10"/>
  <c r="H463" i="10"/>
  <c r="J462" i="10"/>
  <c r="E469" i="10" l="1"/>
  <c r="F470" i="10"/>
  <c r="G469" i="10"/>
  <c r="H469" i="10" s="1"/>
  <c r="M462" i="10"/>
  <c r="L462" i="10"/>
  <c r="I463" i="10"/>
  <c r="J463" i="10"/>
  <c r="K463" i="10" s="1"/>
  <c r="K462" i="10"/>
  <c r="H464" i="10"/>
  <c r="E470" i="10" l="1"/>
  <c r="G470" i="10"/>
  <c r="H470" i="10" s="1"/>
  <c r="F471" i="10"/>
  <c r="L463" i="10"/>
  <c r="M463" i="10"/>
  <c r="J464" i="10"/>
  <c r="K464" i="10" s="1"/>
  <c r="H465" i="10"/>
  <c r="I464" i="10"/>
  <c r="G471" i="10" l="1"/>
  <c r="H471" i="10" s="1"/>
  <c r="E471" i="10"/>
  <c r="F472" i="10"/>
  <c r="L464" i="10"/>
  <c r="I465" i="10"/>
  <c r="M464" i="10"/>
  <c r="H466" i="10"/>
  <c r="J465" i="10"/>
  <c r="G472" i="10" l="1"/>
  <c r="H472" i="10" s="1"/>
  <c r="E472" i="10"/>
  <c r="F473" i="10"/>
  <c r="J466" i="10"/>
  <c r="J467" i="10" s="1"/>
  <c r="M465" i="10"/>
  <c r="I466" i="10"/>
  <c r="I467" i="10" s="1"/>
  <c r="I468" i="10" s="1"/>
  <c r="I469" i="10" s="1"/>
  <c r="I470" i="10" s="1"/>
  <c r="I471" i="10" s="1"/>
  <c r="I472" i="10" s="1"/>
  <c r="L465" i="10"/>
  <c r="K465" i="10"/>
  <c r="G473" i="10" l="1"/>
  <c r="H473" i="10" s="1"/>
  <c r="E473" i="10"/>
  <c r="F474" i="10"/>
  <c r="L466" i="10"/>
  <c r="L467" i="10" s="1"/>
  <c r="L468" i="10" s="1"/>
  <c r="L469" i="10" s="1"/>
  <c r="L470" i="10" s="1"/>
  <c r="L471" i="10" s="1"/>
  <c r="L472" i="10" s="1"/>
  <c r="K466" i="10"/>
  <c r="J468" i="10"/>
  <c r="K467" i="10"/>
  <c r="M466" i="10"/>
  <c r="M467" i="10" s="1"/>
  <c r="M468" i="10" s="1"/>
  <c r="M469" i="10" s="1"/>
  <c r="M470" i="10" s="1"/>
  <c r="M471" i="10" s="1"/>
  <c r="M472" i="10" s="1"/>
  <c r="I473" i="10" l="1"/>
  <c r="L473" i="10" s="1"/>
  <c r="G474" i="10"/>
  <c r="H474" i="10" s="1"/>
  <c r="E474" i="10"/>
  <c r="F475" i="10"/>
  <c r="J469" i="10"/>
  <c r="K468" i="10"/>
  <c r="M473" i="10" l="1"/>
  <c r="G475" i="10"/>
  <c r="H475" i="10" s="1"/>
  <c r="E475" i="10"/>
  <c r="F476" i="10"/>
  <c r="I474" i="10"/>
  <c r="J470" i="10"/>
  <c r="K469" i="10"/>
  <c r="G476" i="10" l="1"/>
  <c r="H476" i="10" s="1"/>
  <c r="E476" i="10"/>
  <c r="F477" i="10"/>
  <c r="I475" i="10"/>
  <c r="M474" i="10"/>
  <c r="M475" i="10" s="1"/>
  <c r="L474" i="10"/>
  <c r="L475" i="10" s="1"/>
  <c r="J471" i="10"/>
  <c r="K470" i="10"/>
  <c r="G477" i="10" l="1"/>
  <c r="H477" i="10" s="1"/>
  <c r="E477" i="10"/>
  <c r="F478" i="10"/>
  <c r="C11" i="17"/>
  <c r="I476" i="10"/>
  <c r="I477" i="10" s="1"/>
  <c r="J472" i="10"/>
  <c r="K471" i="10"/>
  <c r="L476" i="10" l="1"/>
  <c r="L477" i="10" s="1"/>
  <c r="M476" i="10"/>
  <c r="M477" i="10" s="1"/>
  <c r="N11" i="17"/>
  <c r="O4" i="17" s="1"/>
  <c r="H11" i="17"/>
  <c r="J4" i="17" s="1"/>
  <c r="I11" i="17"/>
  <c r="G478" i="10"/>
  <c r="H478" i="10" s="1"/>
  <c r="E478" i="10"/>
  <c r="F479" i="10"/>
  <c r="J473" i="10"/>
  <c r="K472" i="10"/>
  <c r="G479" i="10" l="1"/>
  <c r="H479" i="10" s="1"/>
  <c r="E479" i="10"/>
  <c r="F480" i="10"/>
  <c r="M4" i="17"/>
  <c r="K4" i="17"/>
  <c r="L4" i="17" s="1"/>
  <c r="I478" i="10"/>
  <c r="M478" i="10" s="1"/>
  <c r="J474" i="10"/>
  <c r="K473" i="10"/>
  <c r="I479" i="10" l="1"/>
  <c r="L478" i="10"/>
  <c r="G480" i="10"/>
  <c r="H480" i="10" s="1"/>
  <c r="E480" i="10"/>
  <c r="F481" i="10"/>
  <c r="J475" i="10"/>
  <c r="K474" i="10"/>
  <c r="I480" i="10" l="1"/>
  <c r="G481" i="10"/>
  <c r="H481" i="10" s="1"/>
  <c r="E481" i="10"/>
  <c r="F482" i="10"/>
  <c r="M479" i="10"/>
  <c r="M480" i="10" s="1"/>
  <c r="L479" i="10"/>
  <c r="L480" i="10" s="1"/>
  <c r="J476" i="10"/>
  <c r="K475" i="10"/>
  <c r="I481" i="10" l="1"/>
  <c r="M481" i="10" s="1"/>
  <c r="L481" i="10"/>
  <c r="G482" i="10"/>
  <c r="H482" i="10" s="1"/>
  <c r="I482" i="10" s="1"/>
  <c r="E482" i="10"/>
  <c r="J477" i="10"/>
  <c r="K476" i="10"/>
  <c r="L482" i="10" l="1"/>
  <c r="M482" i="10"/>
  <c r="J478" i="10"/>
  <c r="K477" i="10"/>
  <c r="J479" i="10" l="1"/>
  <c r="K478" i="10"/>
  <c r="J480" i="10" l="1"/>
  <c r="K479" i="10"/>
  <c r="J481" i="10" l="1"/>
  <c r="K480" i="10"/>
  <c r="J482" i="10" l="1"/>
  <c r="K482" i="10" s="1"/>
  <c r="K481" i="10"/>
  <c r="D44" i="20" l="1"/>
  <c r="G44" i="20"/>
  <c r="J44" i="20" s="1"/>
  <c r="H44" i="20" l="1"/>
  <c r="G45" i="20"/>
  <c r="J45" i="20" s="1"/>
  <c r="D45" i="20"/>
  <c r="H45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T3" authorId="0" shapeId="0" xr:uid="{EF325942-4075-4D43-9D34-C6889241665B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Biomassa final batch</t>
        </r>
      </text>
    </comment>
    <comment ref="T7" authorId="0" shapeId="0" xr:uid="{554AE1A3-76B4-4E4D-8A4A-F6E440757F1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Concentració metanol pur (792 g/l) entre dos perquè s'entrarà el mateix cabal de sals del medi, per tant la concentració real que entrarà serà de 396 g/l</t>
        </r>
      </text>
    </comment>
    <comment ref="T16" authorId="0" shapeId="0" xr:uid="{74F6D136-E019-42AC-8417-AA65956C739B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Cabal inicial total, realment s'ha de dividir entre dos per saber el cabal de metanol i sals per separat</t>
        </r>
      </text>
    </comment>
  </commentList>
</comments>
</file>

<file path=xl/sharedStrings.xml><?xml version="1.0" encoding="utf-8"?>
<sst xmlns="http://schemas.openxmlformats.org/spreadsheetml/2006/main" count="1535" uniqueCount="372">
  <si>
    <t>Filter number</t>
  </si>
  <si>
    <t>Sample</t>
  </si>
  <si>
    <t>Sample volume (ml)</t>
  </si>
  <si>
    <t>M20.2</t>
  </si>
  <si>
    <t>M21.2</t>
  </si>
  <si>
    <t>M20.3</t>
  </si>
  <si>
    <t>M21.3</t>
  </si>
  <si>
    <t>M20.4</t>
  </si>
  <si>
    <t>M21.4</t>
  </si>
  <si>
    <t>M20.5</t>
  </si>
  <si>
    <t>M21.5</t>
  </si>
  <si>
    <t>M20.6</t>
  </si>
  <si>
    <t>M21.6</t>
  </si>
  <si>
    <t>M20.7</t>
  </si>
  <si>
    <t>M21.7</t>
  </si>
  <si>
    <t>M20.8</t>
  </si>
  <si>
    <t>M21.8</t>
  </si>
  <si>
    <t>Time (h)</t>
  </si>
  <si>
    <t>Dilution</t>
  </si>
  <si>
    <t>Average DO600</t>
  </si>
  <si>
    <t>SD [X]</t>
  </si>
  <si>
    <t>Raw DO600</t>
  </si>
  <si>
    <t>Reactor V (ml)</t>
  </si>
  <si>
    <t>[3-HP] (g/L)</t>
  </si>
  <si>
    <t>Vo</t>
  </si>
  <si>
    <t>Base</t>
  </si>
  <si>
    <t>NH3 15 %</t>
  </si>
  <si>
    <t>1 vvm</t>
  </si>
  <si>
    <t>Bioreactor:</t>
  </si>
  <si>
    <t xml:space="preserve">pH </t>
  </si>
  <si>
    <t>Genophys</t>
  </si>
  <si>
    <t>T</t>
  </si>
  <si>
    <t>Gli 40 g L</t>
  </si>
  <si>
    <r>
      <t>m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feeding</t>
    </r>
  </si>
  <si>
    <t>rpm</t>
  </si>
  <si>
    <t>MetOH 792 gL</t>
  </si>
  <si>
    <r>
      <t>F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feeding</t>
    </r>
  </si>
  <si>
    <t>ρ feeding</t>
  </si>
  <si>
    <t>Fermentation name:</t>
  </si>
  <si>
    <t>Strains:</t>
  </si>
  <si>
    <t>DASGIP Parallel Bioreactor System</t>
  </si>
  <si>
    <t>Feeding time (h)</t>
  </si>
  <si>
    <t>Reactor volume (ml)</t>
  </si>
  <si>
    <t>Fermentation time (h)</t>
  </si>
  <si>
    <t>mu set point</t>
  </si>
  <si>
    <r>
      <t>h</t>
    </r>
    <r>
      <rPr>
        <vertAlign val="superscript"/>
        <sz val="10"/>
        <rFont val="Calibri"/>
        <family val="2"/>
      </rPr>
      <t>-1</t>
    </r>
  </si>
  <si>
    <r>
      <t>X</t>
    </r>
    <r>
      <rPr>
        <b/>
        <vertAlign val="subscript"/>
        <sz val="10"/>
        <rFont val="Calibri"/>
        <family val="2"/>
      </rPr>
      <t>0</t>
    </r>
  </si>
  <si>
    <t>g/L</t>
  </si>
  <si>
    <r>
      <t>V</t>
    </r>
    <r>
      <rPr>
        <b/>
        <vertAlign val="subscript"/>
        <sz val="10"/>
        <rFont val="Calibri"/>
        <family val="2"/>
      </rPr>
      <t>0</t>
    </r>
  </si>
  <si>
    <t>L</t>
  </si>
  <si>
    <r>
      <t>Y*</t>
    </r>
    <r>
      <rPr>
        <b/>
        <vertAlign val="subscript"/>
        <sz val="10"/>
        <rFont val="Calibri"/>
        <family val="2"/>
      </rPr>
      <t>XS</t>
    </r>
  </si>
  <si>
    <r>
      <t>S</t>
    </r>
    <r>
      <rPr>
        <b/>
        <vertAlign val="subscript"/>
        <sz val="10"/>
        <rFont val="Calibri"/>
        <family val="2"/>
      </rPr>
      <t>0</t>
    </r>
  </si>
  <si>
    <t>p feeding</t>
  </si>
  <si>
    <t>p sals</t>
  </si>
  <si>
    <t>ρ brou</t>
  </si>
  <si>
    <t>p metoh</t>
  </si>
  <si>
    <t>ρ base</t>
  </si>
  <si>
    <r>
      <t>ρ H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0</t>
    </r>
  </si>
  <si>
    <r>
      <t>X</t>
    </r>
    <r>
      <rPr>
        <b/>
        <vertAlign val="subscript"/>
        <sz val="10"/>
        <rFont val="Calibri"/>
        <family val="2"/>
      </rPr>
      <t>0</t>
    </r>
    <r>
      <rPr>
        <b/>
        <sz val="10"/>
        <rFont val="Calibri"/>
        <family val="2"/>
      </rPr>
      <t xml:space="preserve"> real</t>
    </r>
  </si>
  <si>
    <r>
      <t>Y*</t>
    </r>
    <r>
      <rPr>
        <b/>
        <vertAlign val="subscript"/>
        <sz val="10"/>
        <rFont val="Calibri"/>
        <family val="2"/>
      </rPr>
      <t>O2/X</t>
    </r>
  </si>
  <si>
    <r>
      <t>Y*</t>
    </r>
    <r>
      <rPr>
        <b/>
        <vertAlign val="subscript"/>
        <sz val="10"/>
        <rFont val="Calibri"/>
        <family val="2"/>
      </rPr>
      <t>CO2/X</t>
    </r>
  </si>
  <si>
    <t>Factor a</t>
  </si>
  <si>
    <t>cabal cada</t>
  </si>
  <si>
    <t xml:space="preserve">F0 </t>
  </si>
  <si>
    <t>F0 real</t>
  </si>
  <si>
    <t xml:space="preserve">FW0 </t>
  </si>
  <si>
    <r>
      <t>Y</t>
    </r>
    <r>
      <rPr>
        <b/>
        <vertAlign val="subscript"/>
        <sz val="10"/>
        <rFont val="Calibri"/>
        <family val="2"/>
      </rPr>
      <t>O2</t>
    </r>
  </si>
  <si>
    <r>
      <t>m</t>
    </r>
    <r>
      <rPr>
        <b/>
        <vertAlign val="subscript"/>
        <sz val="10"/>
        <rFont val="Calibri"/>
        <family val="2"/>
      </rPr>
      <t>O2</t>
    </r>
  </si>
  <si>
    <t>mol/g·min</t>
  </si>
  <si>
    <r>
      <t>Y</t>
    </r>
    <r>
      <rPr>
        <b/>
        <vertAlign val="subscript"/>
        <sz val="10"/>
        <rFont val="Calibri"/>
        <family val="2"/>
      </rPr>
      <t>CO2/X</t>
    </r>
  </si>
  <si>
    <r>
      <t>m</t>
    </r>
    <r>
      <rPr>
        <b/>
        <vertAlign val="subscript"/>
        <sz val="10"/>
        <rFont val="Calibri"/>
        <family val="2"/>
      </rPr>
      <t>CO2</t>
    </r>
  </si>
  <si>
    <t>M20.1</t>
  </si>
  <si>
    <t>M21.1</t>
  </si>
  <si>
    <t>M4</t>
  </si>
  <si>
    <t>M5</t>
  </si>
  <si>
    <t>M6</t>
  </si>
  <si>
    <t>M7</t>
  </si>
  <si>
    <t>M8</t>
  </si>
  <si>
    <t>100 (10+10)</t>
  </si>
  <si>
    <t>200 (20+10)</t>
  </si>
  <si>
    <t>Sample volume (ul)</t>
  </si>
  <si>
    <t>CDW (ml)</t>
  </si>
  <si>
    <t>HPLC (ml)</t>
  </si>
  <si>
    <t>DO (ml)</t>
  </si>
  <si>
    <t>Total (ml)</t>
  </si>
  <si>
    <t>ml/h</t>
  </si>
  <si>
    <t>MetOH added (ml)</t>
  </si>
  <si>
    <t>Date</t>
  </si>
  <si>
    <t>Time</t>
  </si>
  <si>
    <t>Samples</t>
  </si>
  <si>
    <t>Weight 1 (mg)</t>
  </si>
  <si>
    <t>Weight 2 (mg)</t>
  </si>
  <si>
    <t>Fed-batch time (h)</t>
  </si>
  <si>
    <t>M1</t>
  </si>
  <si>
    <t>Salts+vit added (ml)</t>
  </si>
  <si>
    <t>M3</t>
  </si>
  <si>
    <t>M2</t>
  </si>
  <si>
    <t>400-1000</t>
  </si>
  <si>
    <t>M20.1R</t>
  </si>
  <si>
    <t>M21.1R</t>
  </si>
  <si>
    <t>M20.5R</t>
  </si>
  <si>
    <t>M21.5R</t>
  </si>
  <si>
    <t>M20.8R</t>
  </si>
  <si>
    <t>M21.8R</t>
  </si>
  <si>
    <t>M20.2R</t>
  </si>
  <si>
    <t>M21.2R</t>
  </si>
  <si>
    <t>M20.3R</t>
  </si>
  <si>
    <t>M21.3R</t>
  </si>
  <si>
    <t>M20.4R</t>
  </si>
  <si>
    <t>M21.4R</t>
  </si>
  <si>
    <t>M20.6R</t>
  </si>
  <si>
    <t>M21.6R</t>
  </si>
  <si>
    <t>M20.7R</t>
  </si>
  <si>
    <t>M21.7R</t>
  </si>
  <si>
    <r>
      <t>Pichia pastoris CBS7435 PpC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20, 20R and PpC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21 and 21R</t>
    </r>
  </si>
  <si>
    <t>FB3HPVivaldi #4</t>
  </si>
  <si>
    <r>
      <t>PpC</t>
    </r>
    <r>
      <rPr>
        <b/>
        <sz val="11"/>
        <color theme="1"/>
        <rFont val="Calibri"/>
        <family val="2"/>
      </rPr>
      <t>β20 #8</t>
    </r>
  </si>
  <si>
    <r>
      <t>PpC</t>
    </r>
    <r>
      <rPr>
        <b/>
        <sz val="11"/>
        <color theme="1"/>
        <rFont val="Calibri"/>
        <family val="2"/>
      </rPr>
      <t>β21 #13</t>
    </r>
  </si>
  <si>
    <t>Inj.</t>
  </si>
  <si>
    <t>Injection Name</t>
  </si>
  <si>
    <t>Type</t>
  </si>
  <si>
    <t>Ret.Time</t>
  </si>
  <si>
    <t>Amount</t>
  </si>
  <si>
    <t>Rel.Area</t>
  </si>
  <si>
    <t>Area</t>
  </si>
  <si>
    <t>Height</t>
  </si>
  <si>
    <t>Width (50%)</t>
  </si>
  <si>
    <t>Asym.</t>
  </si>
  <si>
    <t>Resol.</t>
  </si>
  <si>
    <t>Plates</t>
  </si>
  <si>
    <t>No.</t>
  </si>
  <si>
    <t>Selected Peak:</t>
  </si>
  <si>
    <t>min</t>
  </si>
  <si>
    <t>g/l</t>
  </si>
  <si>
    <t>%</t>
  </si>
  <si>
    <t>mV*min</t>
  </si>
  <si>
    <t>mV</t>
  </si>
  <si>
    <t>EP</t>
  </si>
  <si>
    <t>IR_1</t>
  </si>
  <si>
    <t>3HP</t>
  </si>
  <si>
    <t>MetOH 5 g/L</t>
  </si>
  <si>
    <t>Check Standard</t>
  </si>
  <si>
    <t>n.a.</t>
  </si>
  <si>
    <t>3HP 5 g/L</t>
  </si>
  <si>
    <t>BMB*</t>
  </si>
  <si>
    <t>Unknown</t>
  </si>
  <si>
    <t>Maximum</t>
  </si>
  <si>
    <t>Average</t>
  </si>
  <si>
    <t>Minimum</t>
  </si>
  <si>
    <t>Standard Deviation</t>
  </si>
  <si>
    <t>Relative Standard Deviation</t>
  </si>
  <si>
    <t>Gly</t>
  </si>
  <si>
    <t>mAU*min</t>
  </si>
  <si>
    <t>mAU</t>
  </si>
  <si>
    <t>UV_VIS_1</t>
  </si>
  <si>
    <r>
      <t>PpC</t>
    </r>
    <r>
      <rPr>
        <b/>
        <sz val="11"/>
        <rFont val="Calibri"/>
        <family val="2"/>
      </rPr>
      <t>β20</t>
    </r>
    <r>
      <rPr>
        <b/>
        <sz val="11"/>
        <rFont val="Calibri"/>
        <family val="2"/>
        <scheme val="minor"/>
      </rPr>
      <t xml:space="preserve"> #1</t>
    </r>
  </si>
  <si>
    <r>
      <t>PpC</t>
    </r>
    <r>
      <rPr>
        <b/>
        <sz val="11"/>
        <rFont val="Calibri"/>
        <family val="2"/>
      </rPr>
      <t>β20</t>
    </r>
    <r>
      <rPr>
        <b/>
        <sz val="11"/>
        <rFont val="Calibri"/>
        <family val="2"/>
        <scheme val="minor"/>
      </rPr>
      <t xml:space="preserve"> #2</t>
    </r>
  </si>
  <si>
    <t>R1</t>
  </si>
  <si>
    <t>R2</t>
  </si>
  <si>
    <t>R3</t>
  </si>
  <si>
    <t>R4</t>
  </si>
  <si>
    <t>DO600 #1</t>
  </si>
  <si>
    <t>DO600 #2</t>
  </si>
  <si>
    <t>DO600 #3</t>
  </si>
  <si>
    <r>
      <t>PpC</t>
    </r>
    <r>
      <rPr>
        <b/>
        <sz val="11"/>
        <rFont val="Calibri"/>
        <family val="2"/>
      </rPr>
      <t>β20 Average and SD</t>
    </r>
  </si>
  <si>
    <t>Total biomass (g)</t>
  </si>
  <si>
    <t>Total 3-HP (g)</t>
  </si>
  <si>
    <t>[Glycerol] (g/L)</t>
  </si>
  <si>
    <r>
      <t>PpC</t>
    </r>
    <r>
      <rPr>
        <b/>
        <sz val="11"/>
        <rFont val="Calibri"/>
        <family val="2"/>
      </rPr>
      <t>β21 Average and SD</t>
    </r>
  </si>
  <si>
    <t>DCW</t>
  </si>
  <si>
    <t>Total MeOH added (g)</t>
  </si>
  <si>
    <t>µ (h-1)</t>
  </si>
  <si>
    <t>PpCβ20 #8</t>
  </si>
  <si>
    <t>PpCβ21 #13</t>
  </si>
  <si>
    <t>Discarted</t>
  </si>
  <si>
    <t>[3-HP] (g l-1)</t>
  </si>
  <si>
    <t>[Biomass] (g l-1)</t>
  </si>
  <si>
    <t>Total methanol added (g l-1)</t>
  </si>
  <si>
    <t>[Glycerol] (g l-1)</t>
  </si>
  <si>
    <r>
      <t>[Biomass] (g l</t>
    </r>
    <r>
      <rPr>
        <b/>
        <sz val="8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</si>
  <si>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[Glycerol] (g l</t>
    </r>
    <r>
      <rPr>
        <b/>
        <sz val="8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</si>
  <si>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SD</t>
  </si>
  <si>
    <t>Total</t>
  </si>
  <si>
    <t>F</t>
  </si>
  <si>
    <t>Variable X 1</t>
  </si>
  <si>
    <t>Slope</t>
  </si>
  <si>
    <t>Sampling volume (ml)</t>
  </si>
  <si>
    <t>Measured end volume (ml)</t>
  </si>
  <si>
    <t>Calculated end volume (ml)</t>
  </si>
  <si>
    <t>Average DCW</t>
  </si>
  <si>
    <t>Average DO</t>
  </si>
  <si>
    <t>Regression</t>
  </si>
  <si>
    <t>Starting date</t>
  </si>
  <si>
    <t>Starting date of feeding</t>
  </si>
  <si>
    <r>
      <t xml:space="preserve">Working conditions        </t>
    </r>
    <r>
      <rPr>
        <sz val="11"/>
        <color theme="1"/>
        <rFont val="Calibri"/>
        <family val="2"/>
      </rPr>
      <t>µ  0.03 h</t>
    </r>
    <r>
      <rPr>
        <vertAlign val="superscript"/>
        <sz val="11"/>
        <color theme="1"/>
        <rFont val="Calibri"/>
        <family val="2"/>
      </rPr>
      <t>-1</t>
    </r>
  </si>
  <si>
    <t>0.5 L</t>
  </si>
  <si>
    <t>Media</t>
  </si>
  <si>
    <t>C-source Batch</t>
  </si>
  <si>
    <t>C-source FB</t>
  </si>
  <si>
    <t>Ql air Batch</t>
  </si>
  <si>
    <t>AverageDCW</t>
  </si>
  <si>
    <t>Discarted values</t>
  </si>
  <si>
    <t>[X] (g l-1)</t>
  </si>
  <si>
    <t>Average [X] (g l-1)</t>
  </si>
  <si>
    <t>Yx/s (g g-1)</t>
  </si>
  <si>
    <t>Y3HP/s (g g-1)</t>
  </si>
  <si>
    <t>Y3HP/s (Cmol Cmol-1)</t>
  </si>
  <si>
    <t>Y3HP/x (g g-1)</t>
  </si>
  <si>
    <t>ln(XV XoVo-1)</t>
  </si>
  <si>
    <t>SD [3-HP]</t>
  </si>
  <si>
    <t>SD [Glycerol]</t>
  </si>
  <si>
    <t>SD [Biomass]</t>
  </si>
  <si>
    <t>PpCβ21 #1</t>
  </si>
  <si>
    <t>PpCβ21 #2</t>
  </si>
  <si>
    <t>MetOH flow rate (ml h-1)</t>
  </si>
  <si>
    <t>Salts+vit flow rate (ml h-1)</t>
  </si>
  <si>
    <t>Total MetOH added (g l-1)</t>
  </si>
  <si>
    <t>Estimated [biomass] (g l-1)</t>
  </si>
  <si>
    <t>Fed-batch start</t>
  </si>
  <si>
    <t>3HP 1 g/L</t>
  </si>
  <si>
    <t>M21.1R FB3HP5</t>
  </si>
  <si>
    <t>M21.2R FB3HP5</t>
  </si>
  <si>
    <t>M21.3R FB3HP5</t>
  </si>
  <si>
    <t>M21.4R FB3HP5</t>
  </si>
  <si>
    <t>M21.5R FB3HP5</t>
  </si>
  <si>
    <t>M21.6R FB3HP5</t>
  </si>
  <si>
    <t>M21.7R FB3HP5</t>
  </si>
  <si>
    <t>M21.8R FB3HP5</t>
  </si>
  <si>
    <t>M20.1 FB3HP4</t>
  </si>
  <si>
    <t>M20.1R FB3HP4</t>
  </si>
  <si>
    <t>M21.1 FB3HP4</t>
  </si>
  <si>
    <t>M20.2 FB3HP4</t>
  </si>
  <si>
    <t>M20.2R FB3HP4</t>
  </si>
  <si>
    <t>M21.2 FB3HP4</t>
  </si>
  <si>
    <t>M20.3 FB3HP4</t>
  </si>
  <si>
    <t>M20.7 FB3HP4</t>
  </si>
  <si>
    <t>M20.8 FB3HP4</t>
  </si>
  <si>
    <t>M20.3R FB3HP4</t>
  </si>
  <si>
    <t>M21.3 FB3HP4</t>
  </si>
  <si>
    <t>M20.4 FB3HP4</t>
  </si>
  <si>
    <t>M20.5 FB3HP4</t>
  </si>
  <si>
    <t>M20.4R FB3HP4</t>
  </si>
  <si>
    <t>M21.4 FB3HP4</t>
  </si>
  <si>
    <t>M20.5R FB3HP4</t>
  </si>
  <si>
    <t>M21.5 FB3HP4</t>
  </si>
  <si>
    <t>M20.6 FB3HP4</t>
  </si>
  <si>
    <t>M20.6R FB3HP4</t>
  </si>
  <si>
    <t>M21.6 FB3HP4</t>
  </si>
  <si>
    <t>M20.7R FB3HP4</t>
  </si>
  <si>
    <t>M21.7 FB3HP4</t>
  </si>
  <si>
    <t>M21.8 FB3HP4</t>
  </si>
  <si>
    <t>M20.8R FB3HP4</t>
  </si>
  <si>
    <t>[X] (g/L)</t>
  </si>
  <si>
    <t>Average [X] (g/L)</t>
  </si>
  <si>
    <t>PpCβ21_PseFDH(V9) #6</t>
  </si>
  <si>
    <t>Pichia pastoris CBS7435 PpCβ21_PseFDH(V9)</t>
  </si>
  <si>
    <t>Ql air FB</t>
  </si>
  <si>
    <t>SD DO600</t>
  </si>
  <si>
    <t>20R</t>
  </si>
  <si>
    <t>21R</t>
  </si>
  <si>
    <t>Aprox real (ml)</t>
  </si>
  <si>
    <t>PpCβ21_PseFDH(V9) #1</t>
  </si>
  <si>
    <t>PpCβ21_PseFDH(V9) #2</t>
  </si>
  <si>
    <r>
      <t>PpC</t>
    </r>
    <r>
      <rPr>
        <b/>
        <sz val="11"/>
        <rFont val="Calibri"/>
        <family val="2"/>
      </rPr>
      <t>β21_PseFDH(V9) Average and SD</t>
    </r>
  </si>
  <si>
    <t>% Relative error</t>
  </si>
  <si>
    <t>Measured DCW</t>
  </si>
  <si>
    <t>Calculated DCW from linear regression</t>
  </si>
  <si>
    <t>M21P.1</t>
  </si>
  <si>
    <t>M21P.1R</t>
  </si>
  <si>
    <t>M21P.3</t>
  </si>
  <si>
    <t>M21P.3R</t>
  </si>
  <si>
    <t>M21P.5</t>
  </si>
  <si>
    <t>M21P.5R</t>
  </si>
  <si>
    <t>M21P.8</t>
  </si>
  <si>
    <t>M21P.8R</t>
  </si>
  <si>
    <t>M21P.2</t>
  </si>
  <si>
    <t>M21P.4</t>
  </si>
  <si>
    <t>M21P.6</t>
  </si>
  <si>
    <t>M21P.7</t>
  </si>
  <si>
    <t>M21P.2R</t>
  </si>
  <si>
    <t>M21P.4R</t>
  </si>
  <si>
    <t>M21P.6R</t>
  </si>
  <si>
    <t>M21P.7R</t>
  </si>
  <si>
    <t>21P</t>
  </si>
  <si>
    <t>21P R</t>
  </si>
  <si>
    <r>
      <t>PpC</t>
    </r>
    <r>
      <rPr>
        <b/>
        <sz val="11"/>
        <color theme="1"/>
        <rFont val="Calibri"/>
        <family val="2"/>
      </rPr>
      <t>β20</t>
    </r>
  </si>
  <si>
    <t>Final 3-HP titer (g l-1)</t>
  </si>
  <si>
    <t>Qp (g l-1 h-1)</t>
  </si>
  <si>
    <t>qs (Cmol S Cmol X-1 h-1)</t>
  </si>
  <si>
    <t>qp (Cmol P Cmol X-1 h-1)</t>
  </si>
  <si>
    <t>PpCβ21</t>
  </si>
  <si>
    <t>g g-1</t>
  </si>
  <si>
    <t>g l-1</t>
  </si>
  <si>
    <t>g l-1 h-1</t>
  </si>
  <si>
    <t>h-1</t>
  </si>
  <si>
    <t>mmol P g DCW-1 h-1</t>
  </si>
  <si>
    <t>g S g DCW-1 h-1</t>
  </si>
  <si>
    <t>RSD(%)</t>
  </si>
  <si>
    <t>Relative Standard Deviation (RSD) (%)</t>
  </si>
  <si>
    <t>%RSD</t>
  </si>
  <si>
    <t>Error reconc</t>
  </si>
  <si>
    <t>-</t>
  </si>
  <si>
    <t>M *</t>
  </si>
  <si>
    <t>M21P.1 FB3HP8</t>
  </si>
  <si>
    <t>M21P.1R FB3HP8</t>
  </si>
  <si>
    <t>M21P.2 FB3HP8</t>
  </si>
  <si>
    <t>M21P.2R FB3HP8</t>
  </si>
  <si>
    <t>M21P.3 FB3HP8</t>
  </si>
  <si>
    <t>M21P.3R FB3HP8</t>
  </si>
  <si>
    <t>M21P.4 FB3HP8</t>
  </si>
  <si>
    <t>M21P.4R FB3HP8</t>
  </si>
  <si>
    <t>M21P.5 FB3HP8</t>
  </si>
  <si>
    <t>M21P.5R FB3HP8</t>
  </si>
  <si>
    <t>M21P.6 FB3HP8</t>
  </si>
  <si>
    <t>M21P.6R FB3HP8</t>
  </si>
  <si>
    <t>M21P.7 FB3HP8</t>
  </si>
  <si>
    <t>M21P.7R FB3HP8</t>
  </si>
  <si>
    <t>M21P.8 FB3HP8</t>
  </si>
  <si>
    <t>M21P.8R FB3HP8</t>
  </si>
  <si>
    <t>FB3HPVivaldi #8</t>
  </si>
  <si>
    <t>Samples from fermentation performed on 18/10/22</t>
  </si>
  <si>
    <t>Samples from fermentations performed on 17/04/23</t>
  </si>
  <si>
    <t>Samples from fermentations performed on 21/09/22</t>
  </si>
  <si>
    <t>Samples from fermentations performed on 03/10/22</t>
  </si>
  <si>
    <r>
      <t>PpC</t>
    </r>
    <r>
      <rPr>
        <b/>
        <sz val="11"/>
        <color theme="1"/>
        <rFont val="Calibri"/>
        <family val="2"/>
      </rPr>
      <t>β21-P</t>
    </r>
  </si>
  <si>
    <t>qCO2 (Cmol CO2 Cmol X-1 h-1)</t>
  </si>
  <si>
    <t>Yx/s (Cmol X C-mol S-1)</t>
  </si>
  <si>
    <t>Yp/s (Cmol P C-mol S-1)</t>
  </si>
  <si>
    <t>Yp/x (Cmol P Cmol X-1)</t>
  </si>
  <si>
    <t>YCO2/s (Cmol CO2 Cmol S-1)</t>
  </si>
  <si>
    <t>g Cmol-1 CO2</t>
  </si>
  <si>
    <t>g Cmol-1 MetOH</t>
  </si>
  <si>
    <t>g Cmol-1 Biomass</t>
  </si>
  <si>
    <t>g Cmol-1 3-HP</t>
  </si>
  <si>
    <t>Molar mass 3-HP (g mol-1)</t>
  </si>
  <si>
    <t>mmol CO2 g DCW-1 h-1</t>
  </si>
  <si>
    <r>
      <t>PpC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20</t>
    </r>
  </si>
  <si>
    <r>
      <t>PpC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21</t>
    </r>
  </si>
  <si>
    <r>
      <t>PpC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21-P</t>
    </r>
  </si>
  <si>
    <t>mmol O2 g DCW-1 h-1</t>
  </si>
  <si>
    <t>qO2 (mol O2 Cmol X-1 h-1)</t>
  </si>
  <si>
    <t>t-Test: Two-Sample Assuming Equal Variances</t>
  </si>
  <si>
    <t>Mean</t>
  </si>
  <si>
    <t>Variance</t>
  </si>
  <si>
    <t>Observations</t>
  </si>
  <si>
    <t>Pooled Variance</t>
  </si>
  <si>
    <t>Hypothesized Mean</t>
  </si>
  <si>
    <t>df</t>
  </si>
  <si>
    <t>t Stat</t>
  </si>
  <si>
    <t>P(T&lt;=t) one-tail</t>
  </si>
  <si>
    <t>t Critical one-tail</t>
  </si>
  <si>
    <t>P(T&lt;=t) two-tail</t>
  </si>
  <si>
    <t>t Critical two-tail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</si>
  <si>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 xml:space="preserve"> (h-1)</t>
    </r>
  </si>
  <si>
    <t>Regression Statistics</t>
  </si>
  <si>
    <t>Multiple R</t>
  </si>
  <si>
    <t>R Square</t>
  </si>
  <si>
    <t>Adjusted R Square</t>
  </si>
  <si>
    <t>Standard Error</t>
  </si>
  <si>
    <t>ANOVA</t>
  </si>
  <si>
    <t>Residual</t>
  </si>
  <si>
    <t>SS</t>
  </si>
  <si>
    <t>MS</t>
  </si>
  <si>
    <t>Significance F</t>
  </si>
  <si>
    <t>Intercept</t>
  </si>
  <si>
    <t>Coefficients</t>
  </si>
  <si>
    <t>P-value</t>
  </si>
  <si>
    <t>Lower 95%</t>
  </si>
  <si>
    <t>Upper 95%</t>
  </si>
  <si>
    <t>Lower 95.0%</t>
  </si>
  <si>
    <t>Upper 95.0%</t>
  </si>
  <si>
    <t>Interception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</si>
</sst>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0"/>
    <numFmt numFmtId="165" formatCode="0.000"/>
    <numFmt numFmtId="166" formatCode="0.000E+00"/>
    <numFmt numFmtId="167" formatCode="0.0"/>
    <numFmt numFmtId="168" formatCode="0.00000"/>
    <numFmt numFmtId="169" formatCode="0.0000"/>
    <numFmt numFmtId="170" formatCode="#,##0.000"/>
    <numFmt numFmtId="171" formatCode="0.0000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vertAlign val="subscript"/>
      <sz val="10"/>
      <name val="Calibri"/>
      <family val="2"/>
    </font>
    <font>
      <sz val="10"/>
      <name val="Symbol"/>
      <family val="1"/>
      <charset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0" fontId="0" fillId="6" borderId="11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0" xfId="0" applyAlignment="1">
      <alignment vertical="center"/>
    </xf>
    <xf numFmtId="20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11" xfId="0" applyBorder="1"/>
    <xf numFmtId="0" fontId="0" fillId="0" borderId="14" xfId="0" applyBorder="1"/>
    <xf numFmtId="165" fontId="0" fillId="0" borderId="0" xfId="0" applyNumberFormat="1"/>
    <xf numFmtId="0" fontId="7" fillId="0" borderId="15" xfId="0" applyFont="1" applyBorder="1" applyAlignment="1">
      <alignment horizontal="center"/>
    </xf>
    <xf numFmtId="165" fontId="8" fillId="7" borderId="16" xfId="0" applyNumberFormat="1" applyFont="1" applyFill="1" applyBorder="1" applyAlignment="1">
      <alignment horizontal="right"/>
    </xf>
    <xf numFmtId="0" fontId="0" fillId="0" borderId="17" xfId="0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8" fillId="7" borderId="19" xfId="0" applyFont="1" applyFill="1" applyBorder="1" applyAlignment="1">
      <alignment horizontal="right"/>
    </xf>
    <xf numFmtId="0" fontId="8" fillId="0" borderId="20" xfId="0" applyFont="1" applyBorder="1" applyAlignment="1">
      <alignment horizontal="left"/>
    </xf>
    <xf numFmtId="165" fontId="8" fillId="8" borderId="19" xfId="0" applyNumberFormat="1" applyFont="1" applyFill="1" applyBorder="1" applyAlignment="1">
      <alignment horizontal="right"/>
    </xf>
    <xf numFmtId="165" fontId="8" fillId="0" borderId="19" xfId="0" applyNumberFormat="1" applyFont="1" applyBorder="1" applyAlignment="1">
      <alignment horizontal="right"/>
    </xf>
    <xf numFmtId="0" fontId="0" fillId="9" borderId="17" xfId="0" applyFill="1" applyBorder="1" applyAlignment="1">
      <alignment horizontal="center" vertical="center"/>
    </xf>
    <xf numFmtId="0" fontId="8" fillId="9" borderId="19" xfId="0" applyFont="1" applyFill="1" applyBorder="1" applyAlignment="1">
      <alignment horizontal="right"/>
    </xf>
    <xf numFmtId="0" fontId="8" fillId="9" borderId="20" xfId="0" applyFont="1" applyFill="1" applyBorder="1" applyAlignment="1">
      <alignment horizontal="left"/>
    </xf>
    <xf numFmtId="0" fontId="8" fillId="0" borderId="19" xfId="0" applyFont="1" applyBorder="1" applyAlignment="1">
      <alignment horizontal="right"/>
    </xf>
    <xf numFmtId="2" fontId="8" fillId="0" borderId="19" xfId="0" applyNumberFormat="1" applyFont="1" applyBorder="1" applyAlignment="1">
      <alignment horizontal="right"/>
    </xf>
    <xf numFmtId="164" fontId="8" fillId="10" borderId="19" xfId="0" applyNumberFormat="1" applyFont="1" applyFill="1" applyBorder="1"/>
    <xf numFmtId="165" fontId="8" fillId="0" borderId="19" xfId="0" applyNumberFormat="1" applyFont="1" applyBorder="1"/>
    <xf numFmtId="0" fontId="11" fillId="0" borderId="20" xfId="0" applyFont="1" applyBorder="1"/>
    <xf numFmtId="0" fontId="7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right"/>
    </xf>
    <xf numFmtId="0" fontId="8" fillId="0" borderId="4" xfId="0" applyFont="1" applyBorder="1"/>
    <xf numFmtId="165" fontId="8" fillId="0" borderId="16" xfId="0" applyNumberFormat="1" applyFont="1" applyBorder="1" applyAlignment="1">
      <alignment horizontal="right"/>
    </xf>
    <xf numFmtId="0" fontId="8" fillId="0" borderId="23" xfId="0" applyFont="1" applyBorder="1" applyAlignment="1">
      <alignment horizontal="left"/>
    </xf>
    <xf numFmtId="166" fontId="8" fillId="0" borderId="19" xfId="0" applyNumberFormat="1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9" xfId="0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12" fillId="0" borderId="20" xfId="0" applyFont="1" applyBorder="1"/>
    <xf numFmtId="0" fontId="1" fillId="0" borderId="0" xfId="0" applyFont="1" applyAlignment="1">
      <alignment horizontal="center"/>
    </xf>
    <xf numFmtId="20" fontId="0" fillId="0" borderId="0" xfId="0" applyNumberFormat="1"/>
    <xf numFmtId="2" fontId="0" fillId="0" borderId="0" xfId="0" applyNumberFormat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1" fillId="0" borderId="0" xfId="0" applyFont="1"/>
    <xf numFmtId="167" fontId="0" fillId="0" borderId="9" xfId="0" applyNumberFormat="1" applyBorder="1"/>
    <xf numFmtId="167" fontId="0" fillId="0" borderId="8" xfId="0" applyNumberFormat="1" applyBorder="1"/>
    <xf numFmtId="0" fontId="0" fillId="0" borderId="1" xfId="0" applyBorder="1" applyAlignment="1">
      <alignment horizontal="center"/>
    </xf>
    <xf numFmtId="2" fontId="0" fillId="0" borderId="8" xfId="0" applyNumberFormat="1" applyBorder="1"/>
    <xf numFmtId="2" fontId="0" fillId="0" borderId="9" xfId="0" applyNumberFormat="1" applyBorder="1"/>
    <xf numFmtId="0" fontId="13" fillId="0" borderId="0" xfId="0" applyFont="1"/>
    <xf numFmtId="0" fontId="3" fillId="0" borderId="0" xfId="0" applyFont="1"/>
    <xf numFmtId="164" fontId="13" fillId="0" borderId="0" xfId="0" applyNumberFormat="1" applyFont="1"/>
    <xf numFmtId="0" fontId="0" fillId="7" borderId="0" xfId="0" applyFill="1"/>
    <xf numFmtId="0" fontId="0" fillId="8" borderId="0" xfId="0" applyFill="1"/>
    <xf numFmtId="167" fontId="0" fillId="0" borderId="10" xfId="0" applyNumberFormat="1" applyBorder="1"/>
    <xf numFmtId="165" fontId="0" fillId="0" borderId="9" xfId="0" applyNumberFormat="1" applyBorder="1"/>
    <xf numFmtId="165" fontId="0" fillId="0" borderId="8" xfId="0" applyNumberFormat="1" applyBorder="1"/>
    <xf numFmtId="165" fontId="0" fillId="0" borderId="10" xfId="0" applyNumberFormat="1" applyBorder="1"/>
    <xf numFmtId="0" fontId="0" fillId="2" borderId="3" xfId="0" applyFill="1" applyBorder="1" applyAlignment="1">
      <alignment horizontal="center"/>
    </xf>
    <xf numFmtId="0" fontId="0" fillId="0" borderId="1" xfId="0" applyBorder="1"/>
    <xf numFmtId="165" fontId="8" fillId="7" borderId="19" xfId="0" applyNumberFormat="1" applyFont="1" applyFill="1" applyBorder="1" applyAlignment="1">
      <alignment horizontal="right"/>
    </xf>
    <xf numFmtId="10" fontId="0" fillId="0" borderId="0" xfId="0" applyNumberFormat="1"/>
    <xf numFmtId="0" fontId="0" fillId="3" borderId="0" xfId="0" applyFill="1"/>
    <xf numFmtId="0" fontId="14" fillId="0" borderId="0" xfId="0" applyFont="1"/>
    <xf numFmtId="0" fontId="0" fillId="10" borderId="0" xfId="0" applyFill="1"/>
    <xf numFmtId="169" fontId="0" fillId="0" borderId="0" xfId="0" applyNumberFormat="1"/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2" borderId="1" xfId="0" applyFill="1" applyBorder="1"/>
    <xf numFmtId="168" fontId="0" fillId="0" borderId="0" xfId="0" applyNumberFormat="1"/>
    <xf numFmtId="168" fontId="13" fillId="0" borderId="0" xfId="0" applyNumberFormat="1" applyFont="1"/>
    <xf numFmtId="170" fontId="0" fillId="0" borderId="0" xfId="0" applyNumberFormat="1"/>
    <xf numFmtId="2" fontId="0" fillId="7" borderId="1" xfId="0" applyNumberFormat="1" applyFill="1" applyBorder="1"/>
    <xf numFmtId="14" fontId="0" fillId="0" borderId="0" xfId="0" applyNumberFormat="1" applyAlignment="1">
      <alignment horizontal="center"/>
    </xf>
    <xf numFmtId="2" fontId="0" fillId="0" borderId="10" xfId="0" applyNumberFormat="1" applyBorder="1"/>
    <xf numFmtId="2" fontId="0" fillId="7" borderId="10" xfId="0" applyNumberFormat="1" applyFill="1" applyBorder="1"/>
    <xf numFmtId="2" fontId="0" fillId="7" borderId="8" xfId="0" applyNumberFormat="1" applyFill="1" applyBorder="1"/>
    <xf numFmtId="2" fontId="0" fillId="7" borderId="9" xfId="0" applyNumberFormat="1" applyFill="1" applyBorder="1"/>
    <xf numFmtId="167" fontId="0" fillId="7" borderId="10" xfId="0" applyNumberFormat="1" applyFill="1" applyBorder="1"/>
    <xf numFmtId="167" fontId="0" fillId="7" borderId="8" xfId="0" applyNumberFormat="1" applyFill="1" applyBorder="1"/>
    <xf numFmtId="167" fontId="0" fillId="7" borderId="9" xfId="0" applyNumberFormat="1" applyFill="1" applyBorder="1"/>
    <xf numFmtId="2" fontId="0" fillId="0" borderId="10" xfId="0" applyNumberForma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2" fontId="0" fillId="0" borderId="0" xfId="0" applyNumberFormat="1"/>
    <xf numFmtId="165" fontId="14" fillId="0" borderId="10" xfId="0" applyNumberFormat="1" applyFont="1" applyBorder="1"/>
    <xf numFmtId="165" fontId="14" fillId="0" borderId="9" xfId="0" applyNumberFormat="1" applyFont="1" applyBorder="1"/>
    <xf numFmtId="165" fontId="14" fillId="0" borderId="8" xfId="0" applyNumberFormat="1" applyFont="1" applyBorder="1"/>
    <xf numFmtId="165" fontId="0" fillId="0" borderId="8" xfId="0" applyNumberFormat="1" applyBorder="1" applyAlignment="1">
      <alignment horizontal="center"/>
    </xf>
    <xf numFmtId="165" fontId="14" fillId="0" borderId="8" xfId="0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14" fillId="0" borderId="9" xfId="0" applyNumberFormat="1" applyFont="1" applyBorder="1" applyAlignment="1">
      <alignment horizontal="center"/>
    </xf>
    <xf numFmtId="167" fontId="0" fillId="0" borderId="0" xfId="0" applyNumberFormat="1"/>
    <xf numFmtId="0" fontId="0" fillId="0" borderId="32" xfId="0" applyBorder="1"/>
    <xf numFmtId="0" fontId="17" fillId="0" borderId="33" xfId="0" applyFont="1" applyBorder="1" applyAlignment="1">
      <alignment horizontal="center"/>
    </xf>
    <xf numFmtId="0" fontId="17" fillId="0" borderId="33" xfId="0" applyFont="1" applyBorder="1" applyAlignment="1">
      <alignment horizontal="centerContinuous"/>
    </xf>
    <xf numFmtId="0" fontId="0" fillId="0" borderId="7" xfId="0" applyBorder="1"/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 vertical="center"/>
    </xf>
    <xf numFmtId="167" fontId="14" fillId="0" borderId="9" xfId="0" applyNumberFormat="1" applyFont="1" applyBorder="1"/>
    <xf numFmtId="0" fontId="0" fillId="2" borderId="5" xfId="0" applyFill="1" applyBorder="1"/>
    <xf numFmtId="0" fontId="1" fillId="3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5" fontId="14" fillId="0" borderId="2" xfId="0" applyNumberFormat="1" applyFont="1" applyBorder="1"/>
    <xf numFmtId="165" fontId="0" fillId="0" borderId="3" xfId="0" applyNumberFormat="1" applyBorder="1"/>
    <xf numFmtId="165" fontId="14" fillId="0" borderId="0" xfId="0" applyNumberFormat="1" applyFont="1"/>
    <xf numFmtId="171" fontId="0" fillId="0" borderId="8" xfId="0" applyNumberFormat="1" applyBorder="1" applyAlignment="1">
      <alignment horizontal="center"/>
    </xf>
    <xf numFmtId="171" fontId="0" fillId="0" borderId="9" xfId="0" applyNumberFormat="1" applyBorder="1" applyAlignment="1">
      <alignment horizontal="center"/>
    </xf>
    <xf numFmtId="165" fontId="13" fillId="0" borderId="8" xfId="0" applyNumberFormat="1" applyFont="1" applyBorder="1" applyAlignment="1">
      <alignment horizontal="center"/>
    </xf>
    <xf numFmtId="165" fontId="13" fillId="0" borderId="9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71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0" fillId="11" borderId="1" xfId="0" applyFill="1" applyBorder="1" applyAlignment="1">
      <alignment horizontal="center"/>
    </xf>
    <xf numFmtId="165" fontId="14" fillId="11" borderId="3" xfId="0" applyNumberFormat="1" applyFont="1" applyFill="1" applyBorder="1"/>
    <xf numFmtId="165" fontId="14" fillId="11" borderId="8" xfId="0" applyNumberFormat="1" applyFont="1" applyFill="1" applyBorder="1"/>
    <xf numFmtId="165" fontId="0" fillId="11" borderId="3" xfId="0" applyNumberFormat="1" applyFill="1" applyBorder="1"/>
    <xf numFmtId="165" fontId="0" fillId="11" borderId="8" xfId="0" applyNumberFormat="1" applyFill="1" applyBorder="1"/>
    <xf numFmtId="165" fontId="0" fillId="11" borderId="4" xfId="0" applyNumberFormat="1" applyFill="1" applyBorder="1"/>
    <xf numFmtId="165" fontId="0" fillId="11" borderId="9" xfId="0" applyNumberFormat="1" applyFill="1" applyBorder="1"/>
    <xf numFmtId="0" fontId="0" fillId="11" borderId="0" xfId="0" applyFill="1"/>
    <xf numFmtId="1" fontId="0" fillId="0" borderId="8" xfId="0" applyNumberFormat="1" applyBorder="1" applyAlignment="1">
      <alignment horizontal="right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12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14" fontId="0" fillId="0" borderId="14" xfId="0" applyNumberForma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3" borderId="30" xfId="0" applyFill="1" applyBorder="1"/>
    <xf numFmtId="0" fontId="1" fillId="0" borderId="30" xfId="0" applyFont="1" applyBorder="1"/>
    <xf numFmtId="169" fontId="0" fillId="0" borderId="30" xfId="0" applyNumberFormat="1" applyBorder="1"/>
    <xf numFmtId="169" fontId="0" fillId="0" borderId="27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4" xfId="0" applyBorder="1"/>
    <xf numFmtId="0" fontId="0" fillId="0" borderId="27" xfId="0" applyBorder="1"/>
    <xf numFmtId="0" fontId="0" fillId="12" borderId="1" xfId="0" applyFill="1" applyBorder="1"/>
    <xf numFmtId="0" fontId="1" fillId="2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2" fontId="0" fillId="0" borderId="1" xfId="0" applyNumberFormat="1" applyBorder="1"/>
    <xf numFmtId="0" fontId="0" fillId="12" borderId="1" xfId="0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165" fontId="13" fillId="0" borderId="10" xfId="0" applyNumberFormat="1" applyFont="1" applyBorder="1" applyAlignment="1">
      <alignment horizontal="center"/>
    </xf>
    <xf numFmtId="2" fontId="0" fillId="13" borderId="10" xfId="0" applyNumberFormat="1" applyFill="1" applyBorder="1" applyAlignment="1">
      <alignment horizontal="center"/>
    </xf>
    <xf numFmtId="2" fontId="0" fillId="13" borderId="8" xfId="0" applyNumberFormat="1" applyFill="1" applyBorder="1" applyAlignment="1">
      <alignment horizontal="center"/>
    </xf>
    <xf numFmtId="2" fontId="0" fillId="13" borderId="9" xfId="0" applyNumberFormat="1" applyFill="1" applyBorder="1" applyAlignment="1">
      <alignment horizontal="center"/>
    </xf>
    <xf numFmtId="0" fontId="0" fillId="13" borderId="0" xfId="0" applyFill="1"/>
    <xf numFmtId="2" fontId="0" fillId="14" borderId="8" xfId="0" applyNumberFormat="1" applyFill="1" applyBorder="1" applyAlignment="1">
      <alignment horizontal="center"/>
    </xf>
    <xf numFmtId="0" fontId="0" fillId="14" borderId="0" xfId="0" applyFill="1"/>
    <xf numFmtId="2" fontId="0" fillId="13" borderId="25" xfId="0" applyNumberFormat="1" applyFill="1" applyBorder="1" applyAlignment="1">
      <alignment horizontal="center"/>
    </xf>
    <xf numFmtId="165" fontId="0" fillId="7" borderId="10" xfId="0" applyNumberFormat="1" applyFill="1" applyBorder="1"/>
    <xf numFmtId="165" fontId="0" fillId="7" borderId="8" xfId="0" applyNumberFormat="1" applyFill="1" applyBorder="1"/>
    <xf numFmtId="165" fontId="0" fillId="7" borderId="9" xfId="0" applyNumberFormat="1" applyFill="1" applyBorder="1"/>
    <xf numFmtId="20" fontId="0" fillId="0" borderId="0" xfId="0" applyNumberFormat="1" applyAlignment="1">
      <alignment horizontal="right"/>
    </xf>
    <xf numFmtId="0" fontId="0" fillId="5" borderId="1" xfId="0" applyFill="1" applyBorder="1"/>
    <xf numFmtId="0" fontId="0" fillId="15" borderId="9" xfId="0" applyFill="1" applyBorder="1" applyAlignment="1">
      <alignment horizontal="center"/>
    </xf>
    <xf numFmtId="0" fontId="0" fillId="16" borderId="10" xfId="0" applyFill="1" applyBorder="1"/>
    <xf numFmtId="168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9" fillId="0" borderId="0" xfId="0" applyFont="1"/>
    <xf numFmtId="0" fontId="19" fillId="0" borderId="30" xfId="0" applyFont="1" applyBorder="1"/>
    <xf numFmtId="0" fontId="0" fillId="0" borderId="26" xfId="0" applyBorder="1" applyAlignment="1">
      <alignment horizontal="center"/>
    </xf>
    <xf numFmtId="2" fontId="0" fillId="13" borderId="0" xfId="0" applyNumberFormat="1" applyFill="1" applyAlignment="1">
      <alignment horizontal="center"/>
    </xf>
    <xf numFmtId="0" fontId="0" fillId="11" borderId="5" xfId="0" applyFill="1" applyBorder="1" applyAlignment="1">
      <alignment horizontal="center"/>
    </xf>
    <xf numFmtId="165" fontId="0" fillId="11" borderId="10" xfId="0" applyNumberFormat="1" applyFill="1" applyBorder="1"/>
    <xf numFmtId="165" fontId="0" fillId="11" borderId="31" xfId="0" applyNumberFormat="1" applyFill="1" applyBorder="1"/>
    <xf numFmtId="165" fontId="0" fillId="11" borderId="0" xfId="0" applyNumberFormat="1" applyFill="1"/>
    <xf numFmtId="165" fontId="0" fillId="11" borderId="32" xfId="0" applyNumberFormat="1" applyFill="1" applyBorder="1"/>
    <xf numFmtId="165" fontId="14" fillId="11" borderId="10" xfId="0" applyNumberFormat="1" applyFont="1" applyFill="1" applyBorder="1"/>
    <xf numFmtId="167" fontId="0" fillId="15" borderId="10" xfId="0" applyNumberFormat="1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2" fontId="0" fillId="15" borderId="8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15" borderId="8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65" fontId="0" fillId="15" borderId="9" xfId="0" applyNumberFormat="1" applyFill="1" applyBorder="1" applyAlignment="1">
      <alignment horizontal="center"/>
    </xf>
    <xf numFmtId="2" fontId="0" fillId="5" borderId="9" xfId="0" applyNumberFormat="1" applyFill="1" applyBorder="1" applyAlignment="1">
      <alignment horizontal="center"/>
    </xf>
    <xf numFmtId="2" fontId="0" fillId="5" borderId="26" xfId="0" applyNumberFormat="1" applyFill="1" applyBorder="1" applyAlignment="1">
      <alignment horizontal="center"/>
    </xf>
    <xf numFmtId="167" fontId="0" fillId="7" borderId="8" xfId="0" applyNumberFormat="1" applyFill="1" applyBorder="1" applyAlignment="1">
      <alignment horizontal="center"/>
    </xf>
    <xf numFmtId="2" fontId="0" fillId="7" borderId="8" xfId="0" applyNumberFormat="1" applyFill="1" applyBorder="1" applyAlignment="1">
      <alignment horizontal="center"/>
    </xf>
    <xf numFmtId="165" fontId="0" fillId="7" borderId="8" xfId="0" applyNumberFormat="1" applyFill="1" applyBorder="1" applyAlignment="1">
      <alignment horizontal="center"/>
    </xf>
    <xf numFmtId="2" fontId="0" fillId="5" borderId="28" xfId="0" applyNumberFormat="1" applyFill="1" applyBorder="1" applyAlignment="1">
      <alignment horizontal="center"/>
    </xf>
    <xf numFmtId="165" fontId="0" fillId="7" borderId="9" xfId="0" applyNumberForma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17" borderId="0" xfId="0" applyFill="1"/>
    <xf numFmtId="169" fontId="18" fillId="0" borderId="36" xfId="0" applyNumberFormat="1" applyFont="1" applyBorder="1"/>
    <xf numFmtId="169" fontId="18" fillId="0" borderId="0" xfId="0" applyNumberFormat="1" applyFont="1"/>
    <xf numFmtId="0" fontId="18" fillId="0" borderId="34" xfId="0" applyFont="1" applyBorder="1"/>
    <xf numFmtId="0" fontId="2" fillId="6" borderId="12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 vertical="center"/>
    </xf>
    <xf numFmtId="167" fontId="0" fillId="0" borderId="8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7" borderId="10" xfId="0" applyNumberFormat="1" applyFill="1" applyBorder="1" applyAlignment="1">
      <alignment horizontal="center" vertical="center"/>
    </xf>
    <xf numFmtId="165" fontId="0" fillId="7" borderId="8" xfId="0" applyNumberFormat="1" applyFill="1" applyBorder="1" applyAlignment="1">
      <alignment horizontal="center" vertical="center"/>
    </xf>
    <xf numFmtId="165" fontId="0" fillId="7" borderId="9" xfId="0" applyNumberFormat="1" applyFill="1" applyBorder="1" applyAlignment="1">
      <alignment horizontal="center" vertical="center"/>
    </xf>
    <xf numFmtId="0" fontId="0" fillId="5" borderId="12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14" fontId="0" fillId="0" borderId="14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6" borderId="11" xfId="0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5" borderId="11" xfId="0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1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67" fontId="0" fillId="0" borderId="25" xfId="0" applyNumberFormat="1" applyBorder="1" applyAlignment="1">
      <alignment horizontal="center" vertical="center"/>
    </xf>
    <xf numFmtId="167" fontId="0" fillId="0" borderId="26" xfId="0" applyNumberFormat="1" applyBorder="1" applyAlignment="1">
      <alignment horizontal="center" vertical="center"/>
    </xf>
    <xf numFmtId="167" fontId="0" fillId="0" borderId="28" xfId="0" applyNumberForma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12" borderId="5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2" fontId="0" fillId="7" borderId="10" xfId="0" applyNumberFormat="1" applyFill="1" applyBorder="1" applyAlignment="1">
      <alignment horizontal="center" vertical="center"/>
    </xf>
    <xf numFmtId="2" fontId="0" fillId="7" borderId="8" xfId="0" applyNumberFormat="1" applyFill="1" applyBorder="1" applyAlignment="1">
      <alignment horizontal="center" vertical="center"/>
    </xf>
    <xf numFmtId="2" fontId="0" fillId="7" borderId="9" xfId="0" applyNumberForma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12" borderId="10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0" borderId="0" xfId="0" applyFill="1"/>
    <xf numFmtId="0" fontId="14" fillId="0" borderId="0" xfId="0" applyFont="1" applyFill="1"/>
    <xf numFmtId="0" fontId="0" fillId="0" borderId="3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CC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DCW vs 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'Raw DCW'!$P$21</c:f>
              <c:strCache>
                <c:ptCount val="1"/>
                <c:pt idx="0">
                  <c:v>PpCβ20 #8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4.4375715002764465E-2"/>
                  <c:y val="-3.529854459087651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chemeClr val="accent1"/>
                        </a:solidFill>
                      </a:rPr>
                      <a:t>y = 0.3546x</a:t>
                    </a:r>
                    <a:br>
                      <a:rPr lang="en-US" baseline="0">
                        <a:solidFill>
                          <a:schemeClr val="accent1"/>
                        </a:solidFill>
                      </a:rPr>
                    </a:br>
                    <a:r>
                      <a:rPr lang="en-US" baseline="0">
                        <a:solidFill>
                          <a:schemeClr val="accent1"/>
                        </a:solidFill>
                      </a:rPr>
                      <a:t>R² = 0.976</a:t>
                    </a:r>
                    <a:endParaRPr lang="en-US">
                      <a:solidFill>
                        <a:schemeClr val="accent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'Raw DCW'!$P$25:$P$30</c:f>
              <c:numCache>
                <c:formatCode>0.000</c:formatCode>
                <c:ptCount val="6"/>
                <c:pt idx="0">
                  <c:v>0.31966666666666671</c:v>
                </c:pt>
                <c:pt idx="1">
                  <c:v>0.38666666666666671</c:v>
                </c:pt>
                <c:pt idx="2">
                  <c:v>0.51149999999999995</c:v>
                </c:pt>
                <c:pt idx="3">
                  <c:v>0.56133333333333335</c:v>
                </c:pt>
                <c:pt idx="4">
                  <c:v>0.61233333333333329</c:v>
                </c:pt>
                <c:pt idx="5">
                  <c:v>0.68158333333333332</c:v>
                </c:pt>
              </c:numCache>
            </c:numRef>
          </c:xVal>
          <c:yVal>
            <c:numRef>
              <c:f>'Raw DCW'!$Q$25:$Q$30</c:f>
              <c:numCache>
                <c:formatCode>0.000</c:formatCode>
                <c:ptCount val="6"/>
                <c:pt idx="0">
                  <c:v>0.1245</c:v>
                </c:pt>
                <c:pt idx="1">
                  <c:v>0.14349999999999999</c:v>
                </c:pt>
                <c:pt idx="2">
                  <c:v>0.17499999999999999</c:v>
                </c:pt>
                <c:pt idx="3">
                  <c:v>0.19550000000000001</c:v>
                </c:pt>
                <c:pt idx="4">
                  <c:v>0.21350000000000002</c:v>
                </c:pt>
                <c:pt idx="5">
                  <c:v>0.24370833333333336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A50-409B-BFA9-B021F9E9546A}"/>
            </c:ext>
          </c:extLst>
        </c:ser>
        <c:ser>
          <c:idx val="2"/>
          <c:order val="1"/>
          <c:tx>
            <c:strRef>
              <c:f>'Raw DCW'!$R$21</c:f>
              <c:strCache>
                <c:ptCount val="1"/>
                <c:pt idx="0">
                  <c:v>PpCβ21 #13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9.1827693569879812E-2"/>
                  <c:y val="9.915538361721586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chemeClr val="accent2"/>
                        </a:solidFill>
                      </a:rPr>
                      <a:t>y = 0.3542x</a:t>
                    </a:r>
                    <a:br>
                      <a:rPr lang="en-US" baseline="0">
                        <a:solidFill>
                          <a:schemeClr val="accent2"/>
                        </a:solidFill>
                      </a:rPr>
                    </a:br>
                    <a:r>
                      <a:rPr lang="en-US" baseline="0">
                        <a:solidFill>
                          <a:schemeClr val="accent2"/>
                        </a:solidFill>
                      </a:rPr>
                      <a:t>R² = 0.963</a:t>
                    </a:r>
                    <a:endParaRPr lang="en-US">
                      <a:solidFill>
                        <a:schemeClr val="accent2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'Raw DCW'!$R$25:$R$30</c:f>
              <c:numCache>
                <c:formatCode>0.000</c:formatCode>
                <c:ptCount val="6"/>
                <c:pt idx="0">
                  <c:v>0.28933333333333333</c:v>
                </c:pt>
                <c:pt idx="1">
                  <c:v>0.34166666666666662</c:v>
                </c:pt>
                <c:pt idx="2">
                  <c:v>0.47483333333333333</c:v>
                </c:pt>
                <c:pt idx="3">
                  <c:v>0.50466666666666671</c:v>
                </c:pt>
                <c:pt idx="4">
                  <c:v>0.56099999999999994</c:v>
                </c:pt>
                <c:pt idx="5">
                  <c:v>0.63483333333333336</c:v>
                </c:pt>
              </c:numCache>
            </c:numRef>
          </c:xVal>
          <c:yVal>
            <c:numRef>
              <c:f>'Raw DCW'!$S$25:$S$30</c:f>
              <c:numCache>
                <c:formatCode>0.000</c:formatCode>
                <c:ptCount val="6"/>
                <c:pt idx="0">
                  <c:v>0.11349999999999999</c:v>
                </c:pt>
                <c:pt idx="1">
                  <c:v>0.13150000000000001</c:v>
                </c:pt>
                <c:pt idx="2">
                  <c:v>0.16308333333333333</c:v>
                </c:pt>
                <c:pt idx="3">
                  <c:v>0.18</c:v>
                </c:pt>
                <c:pt idx="4">
                  <c:v>0.19350000000000001</c:v>
                </c:pt>
                <c:pt idx="5">
                  <c:v>0.22166666666666668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A50-409B-BFA9-B021F9E95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001216"/>
        <c:axId val="543696608"/>
      </c:scatterChart>
      <c:valAx>
        <c:axId val="842001216"/>
        <c:scaling>
          <c:orientation val="minMax"/>
          <c:max val="0.8"/>
          <c:min val="0.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DO600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696608"/>
        <c:crosses val="autoZero"/>
        <c:crossBetween val="midCat"/>
        <c:majorUnit val="0.1"/>
      </c:valAx>
      <c:valAx>
        <c:axId val="543696608"/>
        <c:scaling>
          <c:orientation val="minMax"/>
          <c:max val="0.3000000000000000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DCW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001216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DCW vs DO600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'Raw DCW'!$P$88:$Q$88</c:f>
              <c:strCache>
                <c:ptCount val="1"/>
                <c:pt idx="0">
                  <c:v>PpCβ21_PseFDH(V9) #6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9966FF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6.8147513400081308E-2"/>
                  <c:y val="1.0884831700343131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rgbClr val="9966FF"/>
                        </a:solidFill>
                      </a:rPr>
                      <a:t>y = 0.3529x</a:t>
                    </a:r>
                    <a:br>
                      <a:rPr lang="en-US" baseline="0">
                        <a:solidFill>
                          <a:srgbClr val="9966FF"/>
                        </a:solidFill>
                      </a:rPr>
                    </a:br>
                    <a:r>
                      <a:rPr lang="en-US" baseline="0">
                        <a:solidFill>
                          <a:srgbClr val="9966FF"/>
                        </a:solidFill>
                      </a:rPr>
                      <a:t>R² = 0.9614</a:t>
                    </a:r>
                    <a:endParaRPr lang="en-US">
                      <a:solidFill>
                        <a:srgbClr val="9966FF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'Raw DCW'!$P$91:$P$94</c:f>
              <c:numCache>
                <c:formatCode>0.000</c:formatCode>
                <c:ptCount val="4"/>
                <c:pt idx="0">
                  <c:v>0.37116666666666664</c:v>
                </c:pt>
                <c:pt idx="1">
                  <c:v>0.41483333333333328</c:v>
                </c:pt>
                <c:pt idx="2">
                  <c:v>0.47766666666666668</c:v>
                </c:pt>
                <c:pt idx="3">
                  <c:v>0.53200000000000003</c:v>
                </c:pt>
              </c:numCache>
            </c:numRef>
          </c:xVal>
          <c:yVal>
            <c:numRef>
              <c:f>'Raw DCW'!$Q$91:$Q$94</c:f>
              <c:numCache>
                <c:formatCode>0.000</c:formatCode>
                <c:ptCount val="4"/>
                <c:pt idx="0">
                  <c:v>0.12758333333333333</c:v>
                </c:pt>
                <c:pt idx="1">
                  <c:v>0.13929166666666665</c:v>
                </c:pt>
                <c:pt idx="2">
                  <c:v>0.17033333333333334</c:v>
                </c:pt>
                <c:pt idx="3">
                  <c:v>0.1940833333333333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B5-4086-8AE3-4D9931084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001216"/>
        <c:axId val="543696608"/>
      </c:scatterChart>
      <c:valAx>
        <c:axId val="842001216"/>
        <c:scaling>
          <c:orientation val="minMax"/>
          <c:max val="0.55000000000000004"/>
          <c:min val="0.35000000000000003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DO600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696608"/>
        <c:crosses val="max"/>
        <c:crossBetween val="midCat"/>
        <c:majorUnit val="5.000000000000001E-2"/>
      </c:valAx>
      <c:valAx>
        <c:axId val="543696608"/>
        <c:scaling>
          <c:orientation val="minMax"/>
          <c:max val="0.2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DCW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001216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PpC</a:t>
            </a:r>
            <a:r>
              <a:rPr lang="el-GR" sz="2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β</a:t>
            </a:r>
            <a:r>
              <a:rPr lang="ca-ES" sz="2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20 strain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0510773679477761"/>
          <c:y val="8.4898496949242314E-2"/>
        </c:manualLayout>
      </c:layout>
      <c:overlay val="0"/>
      <c:spPr>
        <a:solidFill>
          <a:schemeClr val="accent5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442818974106561E-2"/>
          <c:y val="7.3952262766843121E-2"/>
          <c:w val="0.81321388227002289"/>
          <c:h val="0.74616228931370865"/>
        </c:manualLayout>
      </c:layout>
      <c:scatterChart>
        <c:scatterStyle val="lineMarker"/>
        <c:varyColors val="0"/>
        <c:ser>
          <c:idx val="0"/>
          <c:order val="0"/>
          <c:tx>
            <c:v>[3-HP]</c:v>
          </c:tx>
          <c:spPr>
            <a:ln w="25400" cap="rnd">
              <a:solidFill>
                <a:schemeClr val="accent1">
                  <a:alpha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PpCB20!$G$32:$G$39</c:f>
                <c:numCache>
                  <c:formatCode>General</c:formatCode>
                  <c:ptCount val="8"/>
                  <c:pt idx="0">
                    <c:v>0.12688043254879841</c:v>
                  </c:pt>
                  <c:pt idx="1">
                    <c:v>4.2301265627045642E-2</c:v>
                  </c:pt>
                  <c:pt idx="2">
                    <c:v>7.9535192142518793E-2</c:v>
                  </c:pt>
                  <c:pt idx="3">
                    <c:v>0.27128624171234217</c:v>
                  </c:pt>
                  <c:pt idx="4">
                    <c:v>0.26768769654615188</c:v>
                  </c:pt>
                  <c:pt idx="5">
                    <c:v>0.49167877321714165</c:v>
                  </c:pt>
                  <c:pt idx="6">
                    <c:v>0.73564544754535099</c:v>
                  </c:pt>
                  <c:pt idx="7">
                    <c:v>0.6101370049123267</c:v>
                  </c:pt>
                </c:numCache>
              </c:numRef>
            </c:plus>
            <c:minus>
              <c:numRef>
                <c:f>PpCB20!$G$32:$G$39</c:f>
                <c:numCache>
                  <c:formatCode>General</c:formatCode>
                  <c:ptCount val="8"/>
                  <c:pt idx="0">
                    <c:v>0.12688043254879841</c:v>
                  </c:pt>
                  <c:pt idx="1">
                    <c:v>4.2301265627045642E-2</c:v>
                  </c:pt>
                  <c:pt idx="2">
                    <c:v>7.9535192142518793E-2</c:v>
                  </c:pt>
                  <c:pt idx="3">
                    <c:v>0.27128624171234217</c:v>
                  </c:pt>
                  <c:pt idx="4">
                    <c:v>0.26768769654615188</c:v>
                  </c:pt>
                  <c:pt idx="5">
                    <c:v>0.49167877321714165</c:v>
                  </c:pt>
                  <c:pt idx="6">
                    <c:v>0.73564544754535099</c:v>
                  </c:pt>
                  <c:pt idx="7">
                    <c:v>0.6101370049123267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PpCB20!$B$32:$B$39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PpCB20!$D$32:$D$39</c:f>
              <c:numCache>
                <c:formatCode>0.00</c:formatCode>
                <c:ptCount val="8"/>
                <c:pt idx="0">
                  <c:v>2.1851817218377905</c:v>
                </c:pt>
                <c:pt idx="1">
                  <c:v>4.2935482530846247</c:v>
                </c:pt>
                <c:pt idx="2">
                  <c:v>7.2301213077977664</c:v>
                </c:pt>
                <c:pt idx="3">
                  <c:v>10.019110132524617</c:v>
                </c:pt>
                <c:pt idx="4">
                  <c:v>12.669654355863905</c:v>
                </c:pt>
                <c:pt idx="5">
                  <c:v>15.221168626147648</c:v>
                </c:pt>
                <c:pt idx="6">
                  <c:v>17.784003572763908</c:v>
                </c:pt>
                <c:pt idx="7">
                  <c:v>20.265049229363136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466-46AC-908D-55C4A2739D83}"/>
            </c:ext>
          </c:extLst>
        </c:ser>
        <c:ser>
          <c:idx val="1"/>
          <c:order val="1"/>
          <c:tx>
            <c:v>[Biomass]</c:v>
          </c:tx>
          <c:spPr>
            <a:ln w="25400" cap="rnd">
              <a:solidFill>
                <a:schemeClr val="accent2">
                  <a:alpha val="7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PpCB20!$I$32:$I$39</c:f>
                <c:numCache>
                  <c:formatCode>General</c:formatCode>
                  <c:ptCount val="8"/>
                  <c:pt idx="0">
                    <c:v>0.27262001873962888</c:v>
                  </c:pt>
                  <c:pt idx="1">
                    <c:v>1.0526361695400892</c:v>
                  </c:pt>
                  <c:pt idx="2">
                    <c:v>0.84468543173835231</c:v>
                  </c:pt>
                  <c:pt idx="3">
                    <c:v>1.1803085276450953</c:v>
                  </c:pt>
                  <c:pt idx="4">
                    <c:v>0.37919096576166106</c:v>
                  </c:pt>
                  <c:pt idx="5">
                    <c:v>1.1115632777927229</c:v>
                  </c:pt>
                  <c:pt idx="6">
                    <c:v>1.1968373430211301</c:v>
                  </c:pt>
                  <c:pt idx="7">
                    <c:v>1.2232151048915114</c:v>
                  </c:pt>
                </c:numCache>
              </c:numRef>
            </c:plus>
            <c:minus>
              <c:numRef>
                <c:f>PpCB20!$I$32:$I$39</c:f>
                <c:numCache>
                  <c:formatCode>General</c:formatCode>
                  <c:ptCount val="8"/>
                  <c:pt idx="0">
                    <c:v>0.27262001873962888</c:v>
                  </c:pt>
                  <c:pt idx="1">
                    <c:v>1.0526361695400892</c:v>
                  </c:pt>
                  <c:pt idx="2">
                    <c:v>0.84468543173835231</c:v>
                  </c:pt>
                  <c:pt idx="3">
                    <c:v>1.1803085276450953</c:v>
                  </c:pt>
                  <c:pt idx="4">
                    <c:v>0.37919096576166106</c:v>
                  </c:pt>
                  <c:pt idx="5">
                    <c:v>1.1115632777927229</c:v>
                  </c:pt>
                  <c:pt idx="6">
                    <c:v>1.1968373430211301</c:v>
                  </c:pt>
                  <c:pt idx="7">
                    <c:v>1.2232151048915114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PpCB20!$B$32:$B$39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PpCB20!$F$32:$F$39</c:f>
              <c:numCache>
                <c:formatCode>0.00</c:formatCode>
                <c:ptCount val="8"/>
                <c:pt idx="0">
                  <c:v>22.65</c:v>
                </c:pt>
                <c:pt idx="1">
                  <c:v>26.024556239618594</c:v>
                </c:pt>
                <c:pt idx="2">
                  <c:v>27.53733698379261</c:v>
                </c:pt>
                <c:pt idx="3">
                  <c:v>32.60751619668833</c:v>
                </c:pt>
                <c:pt idx="4">
                  <c:v>35</c:v>
                </c:pt>
                <c:pt idx="5">
                  <c:v>40.289605913196993</c:v>
                </c:pt>
                <c:pt idx="6">
                  <c:v>44.296111165345366</c:v>
                </c:pt>
                <c:pt idx="7">
                  <c:v>48.741666666666674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466-46AC-908D-55C4A2739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3315648"/>
        <c:axId val="976995056"/>
      </c:scatterChart>
      <c:scatterChart>
        <c:scatterStyle val="lineMarker"/>
        <c:varyColors val="0"/>
        <c:ser>
          <c:idx val="2"/>
          <c:order val="2"/>
          <c:tx>
            <c:v>[Methanol]</c:v>
          </c:tx>
          <c:spPr>
            <a:ln w="25400" cap="rnd">
              <a:solidFill>
                <a:schemeClr val="accent6">
                  <a:alpha val="7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PpCB20!$B$32:$B$39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PpCB20!$J$32:$J$39</c:f>
              <c:numCache>
                <c:formatCode>0.00</c:formatCode>
                <c:ptCount val="8"/>
                <c:pt idx="0">
                  <c:v>0</c:v>
                </c:pt>
                <c:pt idx="1">
                  <c:v>13.351820811425211</c:v>
                </c:pt>
                <c:pt idx="2">
                  <c:v>28.558746962657843</c:v>
                </c:pt>
                <c:pt idx="3">
                  <c:v>45.00986019216294</c:v>
                </c:pt>
                <c:pt idx="4">
                  <c:v>62.613942903029766</c:v>
                </c:pt>
                <c:pt idx="5">
                  <c:v>81.233347496201276</c:v>
                </c:pt>
                <c:pt idx="6">
                  <c:v>102.18674797092014</c:v>
                </c:pt>
                <c:pt idx="7">
                  <c:v>124.440387602138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466-46AC-908D-55C4A2739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2062400"/>
        <c:axId val="2062064064"/>
      </c:scatterChart>
      <c:valAx>
        <c:axId val="1643315648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Fed-batch</a:t>
                </a:r>
                <a:r>
                  <a:rPr lang="en-US" sz="1400" baseline="0"/>
                  <a:t> time (h)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43230852186179775"/>
              <c:y val="0.869646778690488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995056"/>
        <c:crosses val="autoZero"/>
        <c:crossBetween val="midCat"/>
        <c:majorUnit val="5"/>
      </c:valAx>
      <c:valAx>
        <c:axId val="97699505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Concentration</a:t>
                </a:r>
                <a:r>
                  <a:rPr lang="en-US" sz="1400" baseline="0"/>
                  <a:t> (g l</a:t>
                </a:r>
                <a:r>
                  <a:rPr lang="en-US" sz="1400" baseline="30000"/>
                  <a:t>-1</a:t>
                </a:r>
                <a:r>
                  <a:rPr lang="en-US" sz="1400" baseline="0"/>
                  <a:t>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2.8959485296700851E-2"/>
              <c:y val="0.36965955390639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3315648"/>
        <c:crosses val="autoZero"/>
        <c:crossBetween val="midCat"/>
        <c:majorUnit val="5"/>
      </c:valAx>
      <c:valAx>
        <c:axId val="2062064064"/>
        <c:scaling>
          <c:orientation val="minMax"/>
          <c:max val="14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0" i="0" baseline="0">
                    <a:effectLst/>
                  </a:rPr>
                  <a:t>Total methanol added (g l</a:t>
                </a:r>
                <a:r>
                  <a:rPr lang="en-US" sz="1400" b="0" i="0" baseline="30000">
                    <a:effectLst/>
                  </a:rPr>
                  <a:t>-1</a:t>
                </a:r>
                <a:r>
                  <a:rPr lang="en-US" sz="1400" b="0" i="0" baseline="0">
                    <a:effectLst/>
                  </a:rPr>
                  <a:t>)</a:t>
                </a:r>
                <a:endParaRPr lang="en-US" sz="14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5405078964009937"/>
              <c:y val="0.329892909316535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062400"/>
        <c:crosses val="max"/>
        <c:crossBetween val="midCat"/>
      </c:valAx>
      <c:valAx>
        <c:axId val="206206240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06206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443281396830191"/>
          <c:y val="0.92310258916089016"/>
          <c:w val="0.50885531637646864"/>
          <c:h val="4.0823238941985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PpC</a:t>
            </a:r>
            <a:r>
              <a:rPr lang="el-GR" sz="2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β</a:t>
            </a:r>
            <a:r>
              <a:rPr lang="ca-ES" sz="2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21 strain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0730839327483459"/>
          <c:y val="0.14367799564019532"/>
        </c:manualLayout>
      </c:layout>
      <c:overlay val="0"/>
      <c:spPr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442818974106561E-2"/>
          <c:y val="0.13273183307707839"/>
          <c:w val="0.81321388227002289"/>
          <c:h val="0.68738270269644586"/>
        </c:manualLayout>
      </c:layout>
      <c:scatterChart>
        <c:scatterStyle val="lineMarker"/>
        <c:varyColors val="0"/>
        <c:ser>
          <c:idx val="0"/>
          <c:order val="0"/>
          <c:tx>
            <c:v>[3-HP]</c:v>
          </c:tx>
          <c:spPr>
            <a:ln w="25400" cap="rnd">
              <a:solidFill>
                <a:schemeClr val="accent5">
                  <a:alpha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PpCB21!$G$32:$G$39</c:f>
                <c:numCache>
                  <c:formatCode>General</c:formatCode>
                  <c:ptCount val="8"/>
                  <c:pt idx="0">
                    <c:v>0.1386138265475568</c:v>
                  </c:pt>
                  <c:pt idx="1">
                    <c:v>0.14028032087620601</c:v>
                  </c:pt>
                  <c:pt idx="2">
                    <c:v>4.8381837731612948E-2</c:v>
                  </c:pt>
                  <c:pt idx="3">
                    <c:v>0.16379549297932228</c:v>
                  </c:pt>
                  <c:pt idx="4">
                    <c:v>0.3418743843037893</c:v>
                  </c:pt>
                  <c:pt idx="5">
                    <c:v>0.67704069129926414</c:v>
                  </c:pt>
                  <c:pt idx="6">
                    <c:v>0.68607178118749645</c:v>
                  </c:pt>
                  <c:pt idx="7">
                    <c:v>0.72544880611474039</c:v>
                  </c:pt>
                </c:numCache>
              </c:numRef>
            </c:plus>
            <c:minus>
              <c:numRef>
                <c:f>PpCB21!$G$32:$G$39</c:f>
                <c:numCache>
                  <c:formatCode>General</c:formatCode>
                  <c:ptCount val="8"/>
                  <c:pt idx="0">
                    <c:v>0.1386138265475568</c:v>
                  </c:pt>
                  <c:pt idx="1">
                    <c:v>0.14028032087620601</c:v>
                  </c:pt>
                  <c:pt idx="2">
                    <c:v>4.8381837731612948E-2</c:v>
                  </c:pt>
                  <c:pt idx="3">
                    <c:v>0.16379549297932228</c:v>
                  </c:pt>
                  <c:pt idx="4">
                    <c:v>0.3418743843037893</c:v>
                  </c:pt>
                  <c:pt idx="5">
                    <c:v>0.67704069129926414</c:v>
                  </c:pt>
                  <c:pt idx="6">
                    <c:v>0.68607178118749645</c:v>
                  </c:pt>
                  <c:pt idx="7">
                    <c:v>0.72544880611474039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PpCB21!$B$32:$B$39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PpCB21!$D$32:$D$39</c:f>
              <c:numCache>
                <c:formatCode>0.00</c:formatCode>
                <c:ptCount val="8"/>
                <c:pt idx="0">
                  <c:v>2.4493852232820066</c:v>
                </c:pt>
                <c:pt idx="1">
                  <c:v>4.9927372648665802</c:v>
                </c:pt>
                <c:pt idx="2">
                  <c:v>7.8942089650191214</c:v>
                </c:pt>
                <c:pt idx="3">
                  <c:v>10.812266836621077</c:v>
                </c:pt>
                <c:pt idx="4">
                  <c:v>13.695776479942598</c:v>
                </c:pt>
                <c:pt idx="5">
                  <c:v>16.227254701528505</c:v>
                </c:pt>
                <c:pt idx="6">
                  <c:v>18.829297986821036</c:v>
                </c:pt>
                <c:pt idx="7">
                  <c:v>21.409156439754781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F2-494D-B3FD-F9CDEDDCA959}"/>
            </c:ext>
          </c:extLst>
        </c:ser>
        <c:ser>
          <c:idx val="1"/>
          <c:order val="1"/>
          <c:tx>
            <c:v>[Biomass]</c:v>
          </c:tx>
          <c:spPr>
            <a:ln w="25400" cap="rnd">
              <a:solidFill>
                <a:schemeClr val="accent2">
                  <a:alpha val="7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PpCB21!$I$32:$I$39</c:f>
                <c:numCache>
                  <c:formatCode>General</c:formatCode>
                  <c:ptCount val="8"/>
                  <c:pt idx="0">
                    <c:v>0.52997617784365647</c:v>
                  </c:pt>
                  <c:pt idx="1">
                    <c:v>1.4776021415438794</c:v>
                  </c:pt>
                  <c:pt idx="2">
                    <c:v>1.1700904040852618</c:v>
                  </c:pt>
                  <c:pt idx="3">
                    <c:v>1.1548893474916198</c:v>
                  </c:pt>
                  <c:pt idx="4">
                    <c:v>0.38051600658883761</c:v>
                  </c:pt>
                  <c:pt idx="5">
                    <c:v>1.4416927998552365</c:v>
                  </c:pt>
                  <c:pt idx="6">
                    <c:v>1.7420101301240449</c:v>
                  </c:pt>
                  <c:pt idx="7">
                    <c:v>0.6842420775997754</c:v>
                  </c:pt>
                </c:numCache>
              </c:numRef>
            </c:plus>
            <c:minus>
              <c:numRef>
                <c:f>PpCB21!$I$32:$I$39</c:f>
                <c:numCache>
                  <c:formatCode>General</c:formatCode>
                  <c:ptCount val="8"/>
                  <c:pt idx="0">
                    <c:v>0.52997617784365647</c:v>
                  </c:pt>
                  <c:pt idx="1">
                    <c:v>1.4776021415438794</c:v>
                  </c:pt>
                  <c:pt idx="2">
                    <c:v>1.1700904040852618</c:v>
                  </c:pt>
                  <c:pt idx="3">
                    <c:v>1.1548893474916198</c:v>
                  </c:pt>
                  <c:pt idx="4">
                    <c:v>0.38051600658883761</c:v>
                  </c:pt>
                  <c:pt idx="5">
                    <c:v>1.4416927998552365</c:v>
                  </c:pt>
                  <c:pt idx="6">
                    <c:v>1.7420101301240449</c:v>
                  </c:pt>
                  <c:pt idx="7">
                    <c:v>0.6842420775997754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PpCB21!$B$32:$B$39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PpCB21!$F$32:$F$39</c:f>
              <c:numCache>
                <c:formatCode>0.00</c:formatCode>
                <c:ptCount val="8"/>
                <c:pt idx="0">
                  <c:v>22.604166666666664</c:v>
                </c:pt>
                <c:pt idx="1">
                  <c:v>25.692809896055671</c:v>
                </c:pt>
                <c:pt idx="2">
                  <c:v>27.487528234383092</c:v>
                </c:pt>
                <c:pt idx="3">
                  <c:v>29.459356935045452</c:v>
                </c:pt>
                <c:pt idx="4">
                  <c:v>32.616666666666667</c:v>
                </c:pt>
                <c:pt idx="5">
                  <c:v>37.641855674919796</c:v>
                </c:pt>
                <c:pt idx="6">
                  <c:v>41.62093514871151</c:v>
                </c:pt>
                <c:pt idx="7">
                  <c:v>44.333333333333336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F2-494D-B3FD-F9CDEDDCA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3315648"/>
        <c:axId val="976995056"/>
      </c:scatterChart>
      <c:scatterChart>
        <c:scatterStyle val="lineMarker"/>
        <c:varyColors val="0"/>
        <c:ser>
          <c:idx val="2"/>
          <c:order val="2"/>
          <c:tx>
            <c:v>[Methanol]</c:v>
          </c:tx>
          <c:spPr>
            <a:ln w="25400" cap="rnd">
              <a:solidFill>
                <a:schemeClr val="accent6">
                  <a:alpha val="7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PpCB21!$B$32:$B$39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PpCB21!$J$32:$J$39</c:f>
              <c:numCache>
                <c:formatCode>0.00</c:formatCode>
                <c:ptCount val="8"/>
                <c:pt idx="0">
                  <c:v>0</c:v>
                </c:pt>
                <c:pt idx="1">
                  <c:v>13.351820811425211</c:v>
                </c:pt>
                <c:pt idx="2">
                  <c:v>28.558746962657843</c:v>
                </c:pt>
                <c:pt idx="3">
                  <c:v>45.00986019216294</c:v>
                </c:pt>
                <c:pt idx="4">
                  <c:v>62.613942903029766</c:v>
                </c:pt>
                <c:pt idx="5">
                  <c:v>81.233347496201276</c:v>
                </c:pt>
                <c:pt idx="6">
                  <c:v>102.18674797092014</c:v>
                </c:pt>
                <c:pt idx="7">
                  <c:v>124.440387602138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F2-494D-B3FD-F9CDEDDCA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2393952"/>
        <c:axId val="1702392288"/>
      </c:scatterChart>
      <c:valAx>
        <c:axId val="1643315648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Fed-batch</a:t>
                </a:r>
                <a:r>
                  <a:rPr lang="en-US" sz="1400" baseline="0"/>
                  <a:t> time (h)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43230852186179775"/>
              <c:y val="0.869646778690488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995056"/>
        <c:crosses val="autoZero"/>
        <c:crossBetween val="midCat"/>
        <c:majorUnit val="5"/>
      </c:valAx>
      <c:valAx>
        <c:axId val="97699505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Concentration</a:t>
                </a:r>
                <a:r>
                  <a:rPr lang="en-US" sz="1400" baseline="0"/>
                  <a:t> (g l</a:t>
                </a:r>
                <a:r>
                  <a:rPr lang="en-US" sz="1400" baseline="30000"/>
                  <a:t>-1</a:t>
                </a:r>
                <a:r>
                  <a:rPr lang="en-US" sz="1400" baseline="0"/>
                  <a:t>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2.8959485296700851E-2"/>
              <c:y val="0.36965955390639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3315648"/>
        <c:crosses val="autoZero"/>
        <c:crossBetween val="midCat"/>
        <c:majorUnit val="5"/>
      </c:valAx>
      <c:valAx>
        <c:axId val="1702392288"/>
        <c:scaling>
          <c:orientation val="minMax"/>
          <c:max val="130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Total</a:t>
                </a:r>
                <a:r>
                  <a:rPr lang="en-US" sz="1400" baseline="0"/>
                  <a:t> methanol added (g l</a:t>
                </a:r>
                <a:r>
                  <a:rPr lang="en-US" sz="1400" baseline="30000"/>
                  <a:t>-1</a:t>
                </a:r>
                <a:r>
                  <a:rPr lang="en-US" sz="1400" baseline="0"/>
                  <a:t>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95796404647421685"/>
              <c:y val="0.331591156266883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393952"/>
        <c:crosses val="max"/>
        <c:crossBetween val="midCat"/>
      </c:valAx>
      <c:valAx>
        <c:axId val="170239395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0239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39850347459576"/>
          <c:y val="0.92126836769965503"/>
          <c:w val="0.53314101306933337"/>
          <c:h val="3.9731366814656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PpC</a:t>
            </a:r>
            <a:r>
              <a:rPr lang="el-GR" sz="2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β</a:t>
            </a:r>
            <a:r>
              <a:rPr lang="ca-ES" sz="2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21_PseFDH(V9) strain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0834449422244499"/>
          <c:y val="0.14367804680235202"/>
        </c:manualLayout>
      </c:layout>
      <c:overlay val="0"/>
      <c:spPr>
        <a:solidFill>
          <a:srgbClr val="CC99FF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442818974106561E-2"/>
          <c:y val="0.13273183307707839"/>
          <c:w val="0.81321388227002289"/>
          <c:h val="0.68738270269644586"/>
        </c:manualLayout>
      </c:layout>
      <c:scatterChart>
        <c:scatterStyle val="lineMarker"/>
        <c:varyColors val="0"/>
        <c:ser>
          <c:idx val="0"/>
          <c:order val="0"/>
          <c:tx>
            <c:v>[3-HP]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PpCB21P!$G$32:$G$39</c:f>
                <c:numCache>
                  <c:formatCode>General</c:formatCode>
                  <c:ptCount val="8"/>
                  <c:pt idx="0">
                    <c:v>0.1012576910659136</c:v>
                  </c:pt>
                  <c:pt idx="1">
                    <c:v>0.13060262248515553</c:v>
                  </c:pt>
                  <c:pt idx="2">
                    <c:v>0.30815713524109772</c:v>
                  </c:pt>
                  <c:pt idx="3">
                    <c:v>0.38289832201251556</c:v>
                  </c:pt>
                  <c:pt idx="4">
                    <c:v>0.44484087604445655</c:v>
                  </c:pt>
                  <c:pt idx="5">
                    <c:v>0.4135160456378939</c:v>
                  </c:pt>
                  <c:pt idx="6">
                    <c:v>0.3803527376002443</c:v>
                  </c:pt>
                  <c:pt idx="7">
                    <c:v>0.44576011486000072</c:v>
                  </c:pt>
                </c:numCache>
              </c:numRef>
            </c:plus>
            <c:minus>
              <c:numRef>
                <c:f>PpCB21P!$G$32:$G$39</c:f>
                <c:numCache>
                  <c:formatCode>General</c:formatCode>
                  <c:ptCount val="8"/>
                  <c:pt idx="0">
                    <c:v>0.1012576910659136</c:v>
                  </c:pt>
                  <c:pt idx="1">
                    <c:v>0.13060262248515553</c:v>
                  </c:pt>
                  <c:pt idx="2">
                    <c:v>0.30815713524109772</c:v>
                  </c:pt>
                  <c:pt idx="3">
                    <c:v>0.38289832201251556</c:v>
                  </c:pt>
                  <c:pt idx="4">
                    <c:v>0.44484087604445655</c:v>
                  </c:pt>
                  <c:pt idx="5">
                    <c:v>0.4135160456378939</c:v>
                  </c:pt>
                  <c:pt idx="6">
                    <c:v>0.3803527376002443</c:v>
                  </c:pt>
                  <c:pt idx="7">
                    <c:v>0.44576011486000072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PpCB21P!$B$32:$B$39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PpCB21P!$D$32:$D$39</c:f>
              <c:numCache>
                <c:formatCode>0.00</c:formatCode>
                <c:ptCount val="8"/>
                <c:pt idx="0">
                  <c:v>1.0792000000000002</c:v>
                </c:pt>
                <c:pt idx="1">
                  <c:v>2.10195</c:v>
                </c:pt>
                <c:pt idx="2">
                  <c:v>4.5442</c:v>
                </c:pt>
                <c:pt idx="3">
                  <c:v>7.5330499999999994</c:v>
                </c:pt>
                <c:pt idx="4">
                  <c:v>10.402249999999999</c:v>
                </c:pt>
                <c:pt idx="5">
                  <c:v>13.3582</c:v>
                </c:pt>
                <c:pt idx="6">
                  <c:v>16.236650000000001</c:v>
                </c:pt>
                <c:pt idx="7">
                  <c:v>19.0166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84-4976-B354-706DFC13C937}"/>
            </c:ext>
          </c:extLst>
        </c:ser>
        <c:ser>
          <c:idx val="1"/>
          <c:order val="1"/>
          <c:tx>
            <c:v>[Biomass]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PpCB21P!$I$32:$I$39</c:f>
                <c:numCache>
                  <c:formatCode>General</c:formatCode>
                  <c:ptCount val="8"/>
                  <c:pt idx="0">
                    <c:v>0.21213251576809525</c:v>
                  </c:pt>
                  <c:pt idx="1">
                    <c:v>0.88711664793527378</c:v>
                  </c:pt>
                  <c:pt idx="2">
                    <c:v>1.285030067895385</c:v>
                  </c:pt>
                  <c:pt idx="3">
                    <c:v>1.2464017457473178</c:v>
                  </c:pt>
                  <c:pt idx="4">
                    <c:v>0.19050159041786791</c:v>
                  </c:pt>
                  <c:pt idx="5">
                    <c:v>1.3393840419762189</c:v>
                  </c:pt>
                  <c:pt idx="6">
                    <c:v>0.29935702236585421</c:v>
                  </c:pt>
                  <c:pt idx="7">
                    <c:v>0.14441569165527934</c:v>
                  </c:pt>
                </c:numCache>
              </c:numRef>
            </c:plus>
            <c:minus>
              <c:numRef>
                <c:f>PpCB21P!$I$32:$I$39</c:f>
                <c:numCache>
                  <c:formatCode>General</c:formatCode>
                  <c:ptCount val="8"/>
                  <c:pt idx="0">
                    <c:v>0.21213251576809525</c:v>
                  </c:pt>
                  <c:pt idx="1">
                    <c:v>0.88711664793527378</c:v>
                  </c:pt>
                  <c:pt idx="2">
                    <c:v>1.285030067895385</c:v>
                  </c:pt>
                  <c:pt idx="3">
                    <c:v>1.2464017457473178</c:v>
                  </c:pt>
                  <c:pt idx="4">
                    <c:v>0.19050159041786791</c:v>
                  </c:pt>
                  <c:pt idx="5">
                    <c:v>1.3393840419762189</c:v>
                  </c:pt>
                  <c:pt idx="6">
                    <c:v>0.29935702236585421</c:v>
                  </c:pt>
                  <c:pt idx="7">
                    <c:v>0.14441569165527934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PpCB21P!$B$32:$B$39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PpCB21P!$F$32:$F$39</c:f>
              <c:numCache>
                <c:formatCode>0.00</c:formatCode>
                <c:ptCount val="8"/>
                <c:pt idx="0">
                  <c:v>20.324999999999996</c:v>
                </c:pt>
                <c:pt idx="1">
                  <c:v>20.609864003921849</c:v>
                </c:pt>
                <c:pt idx="2">
                  <c:v>22.962588205282792</c:v>
                </c:pt>
                <c:pt idx="3">
                  <c:v>25.821148109936338</c:v>
                </c:pt>
                <c:pt idx="4">
                  <c:v>27.858333333333327</c:v>
                </c:pt>
                <c:pt idx="5">
                  <c:v>30.985377731923602</c:v>
                </c:pt>
                <c:pt idx="6">
                  <c:v>34.06666666666667</c:v>
                </c:pt>
                <c:pt idx="7">
                  <c:v>38.816666666666663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84-4976-B354-706DFC13C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3315648"/>
        <c:axId val="976995056"/>
      </c:scatterChart>
      <c:scatterChart>
        <c:scatterStyle val="lineMarker"/>
        <c:varyColors val="0"/>
        <c:ser>
          <c:idx val="2"/>
          <c:order val="2"/>
          <c:tx>
            <c:v>[Methanol]</c:v>
          </c:tx>
          <c:spPr>
            <a:ln w="25400" cap="rnd">
              <a:solidFill>
                <a:schemeClr val="accent6">
                  <a:alpha val="7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PpCB21P!$B$32:$B$39</c:f>
              <c:numCache>
                <c:formatCode>0.00</c:formatCode>
                <c:ptCount val="8"/>
                <c:pt idx="0">
                  <c:v>0</c:v>
                </c:pt>
                <c:pt idx="1">
                  <c:v>5.3</c:v>
                </c:pt>
                <c:pt idx="2">
                  <c:v>10.8</c:v>
                </c:pt>
                <c:pt idx="3">
                  <c:v>16.3</c:v>
                </c:pt>
                <c:pt idx="4">
                  <c:v>21.8</c:v>
                </c:pt>
                <c:pt idx="5">
                  <c:v>27.3</c:v>
                </c:pt>
                <c:pt idx="6">
                  <c:v>33.299999999999997</c:v>
                </c:pt>
                <c:pt idx="7">
                  <c:v>39.299999999999997</c:v>
                </c:pt>
              </c:numCache>
            </c:numRef>
          </c:xVal>
          <c:yVal>
            <c:numRef>
              <c:f>PpCB21P!$J$32:$J$39</c:f>
              <c:numCache>
                <c:formatCode>0.00</c:formatCode>
                <c:ptCount val="8"/>
                <c:pt idx="0">
                  <c:v>0</c:v>
                </c:pt>
                <c:pt idx="1">
                  <c:v>13.351820811425211</c:v>
                </c:pt>
                <c:pt idx="2">
                  <c:v>28.558746962657843</c:v>
                </c:pt>
                <c:pt idx="3">
                  <c:v>45.00986019216294</c:v>
                </c:pt>
                <c:pt idx="4">
                  <c:v>62.613942903029766</c:v>
                </c:pt>
                <c:pt idx="5">
                  <c:v>81.233347496201276</c:v>
                </c:pt>
                <c:pt idx="6">
                  <c:v>102.18674797092014</c:v>
                </c:pt>
                <c:pt idx="7">
                  <c:v>124.440387602138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84-4976-B354-706DFC13C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2393952"/>
        <c:axId val="1702392288"/>
      </c:scatterChart>
      <c:valAx>
        <c:axId val="1643315648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Fed-batch</a:t>
                </a:r>
                <a:r>
                  <a:rPr lang="en-US" sz="1400" baseline="0"/>
                  <a:t> time (h)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43230852186179775"/>
              <c:y val="0.869646778690488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995056"/>
        <c:crosses val="autoZero"/>
        <c:crossBetween val="midCat"/>
        <c:majorUnit val="5"/>
      </c:valAx>
      <c:valAx>
        <c:axId val="97699505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Concentration</a:t>
                </a:r>
                <a:r>
                  <a:rPr lang="en-US" sz="1400" baseline="0"/>
                  <a:t> (g l</a:t>
                </a:r>
                <a:r>
                  <a:rPr lang="en-US" sz="1400" baseline="30000"/>
                  <a:t>-1</a:t>
                </a:r>
                <a:r>
                  <a:rPr lang="en-US" sz="1400" baseline="0"/>
                  <a:t>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2.8959485296700851E-2"/>
              <c:y val="0.36965955390639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3315648"/>
        <c:crosses val="autoZero"/>
        <c:crossBetween val="midCat"/>
        <c:majorUnit val="5"/>
      </c:valAx>
      <c:valAx>
        <c:axId val="1702392288"/>
        <c:scaling>
          <c:orientation val="minMax"/>
          <c:max val="140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Total</a:t>
                </a:r>
                <a:r>
                  <a:rPr lang="en-US" sz="1400" baseline="0"/>
                  <a:t> methanol added (g l</a:t>
                </a:r>
                <a:r>
                  <a:rPr lang="en-US" sz="1400" baseline="30000"/>
                  <a:t>-1</a:t>
                </a:r>
                <a:r>
                  <a:rPr lang="en-US" sz="1400" baseline="0"/>
                  <a:t>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95796404647421685"/>
              <c:y val="0.331591156266883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393952"/>
        <c:crosses val="max"/>
        <c:crossBetween val="midCat"/>
      </c:valAx>
      <c:valAx>
        <c:axId val="170239395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0239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98742615343698"/>
          <c:y val="0.92845155110573541"/>
          <c:w val="0.56858843478870413"/>
          <c:h val="3.9731366814656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366032</xdr:colOff>
      <xdr:row>17</xdr:row>
      <xdr:rowOff>17918</xdr:rowOff>
    </xdr:from>
    <xdr:to>
      <xdr:col>32</xdr:col>
      <xdr:colOff>244928</xdr:colOff>
      <xdr:row>37</xdr:row>
      <xdr:rowOff>179994</xdr:rowOff>
    </xdr:to>
    <xdr:graphicFrame macro="">
      <xdr:nvGraphicFramePr>
        <xdr:cNvPr id="3" name="Gràfic 1">
          <a:extLst>
            <a:ext uri="{FF2B5EF4-FFF2-40B4-BE49-F238E27FC236}">
              <a16:creationId xmlns:a16="http://schemas.microsoft.com/office/drawing/2014/main" id="{74540316-F5AC-49A8-B267-CEA09DBF7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320789</xdr:colOff>
      <xdr:row>76</xdr:row>
      <xdr:rowOff>86179</xdr:rowOff>
    </xdr:from>
    <xdr:to>
      <xdr:col>34</xdr:col>
      <xdr:colOff>235405</xdr:colOff>
      <xdr:row>98</xdr:row>
      <xdr:rowOff>171223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ACFDBBCC-355D-42C6-821F-0A301FF58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21772</xdr:colOff>
      <xdr:row>46</xdr:row>
      <xdr:rowOff>32658</xdr:rowOff>
    </xdr:from>
    <xdr:to>
      <xdr:col>12</xdr:col>
      <xdr:colOff>489858</xdr:colOff>
      <xdr:row>83</xdr:row>
      <xdr:rowOff>114190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A73B236F-EE49-46AF-B448-192C911AC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46</xdr:row>
      <xdr:rowOff>0</xdr:rowOff>
    </xdr:from>
    <xdr:to>
      <xdr:col>13</xdr:col>
      <xdr:colOff>381000</xdr:colOff>
      <xdr:row>83</xdr:row>
      <xdr:rowOff>39350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487A98D8-AAC8-4875-94ED-D0DE563D2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6802</xdr:colOff>
      <xdr:row>45</xdr:row>
      <xdr:rowOff>99784</xdr:rowOff>
    </xdr:from>
    <xdr:to>
      <xdr:col>12</xdr:col>
      <xdr:colOff>326571</xdr:colOff>
      <xdr:row>87</xdr:row>
      <xdr:rowOff>149678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B6E5C6AD-1F10-4F83-9930-21EB71CB2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AFD6-FB12-45DB-B32C-28370E83DDFE}">
  <dimension ref="A1:Q104"/>
  <sheetViews>
    <sheetView topLeftCell="A28" zoomScale="50" zoomScaleNormal="50" workbookViewId="0">
      <selection activeCell="P68" sqref="P68"/>
    </sheetView>
  </sheetViews>
  <sheetFormatPr baseColWidth="10" defaultColWidth="8.77734375" defaultRowHeight="14.4" x14ac:dyDescent="0.3"/>
  <cols>
    <col min="2" max="2" width="19.21875" customWidth="1"/>
    <col min="3" max="3" width="14.77734375" bestFit="1" customWidth="1"/>
    <col min="7" max="7" width="10" bestFit="1" customWidth="1"/>
  </cols>
  <sheetData>
    <row r="1" spans="1:17" x14ac:dyDescent="0.3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120</v>
      </c>
      <c r="J1" t="s">
        <v>126</v>
      </c>
      <c r="K1" t="s">
        <v>127</v>
      </c>
      <c r="L1" t="s">
        <v>128</v>
      </c>
      <c r="M1" t="s">
        <v>129</v>
      </c>
      <c r="O1" s="147" t="s">
        <v>122</v>
      </c>
      <c r="P1" s="147" t="s">
        <v>122</v>
      </c>
    </row>
    <row r="2" spans="1:17" x14ac:dyDescent="0.3">
      <c r="A2" t="s">
        <v>130</v>
      </c>
      <c r="B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J2" t="s">
        <v>132</v>
      </c>
      <c r="K2" t="s">
        <v>137</v>
      </c>
      <c r="L2" t="s">
        <v>137</v>
      </c>
      <c r="M2" t="s">
        <v>137</v>
      </c>
      <c r="O2" s="148" t="s">
        <v>133</v>
      </c>
      <c r="P2" s="148" t="s">
        <v>133</v>
      </c>
    </row>
    <row r="3" spans="1:17" x14ac:dyDescent="0.3">
      <c r="D3" s="80" t="s">
        <v>138</v>
      </c>
      <c r="E3" s="80" t="s">
        <v>138</v>
      </c>
      <c r="F3" s="80" t="s">
        <v>138</v>
      </c>
      <c r="G3" s="80" t="s">
        <v>138</v>
      </c>
      <c r="H3" s="80" t="s">
        <v>138</v>
      </c>
      <c r="I3" s="80" t="s">
        <v>138</v>
      </c>
      <c r="J3" s="80" t="s">
        <v>138</v>
      </c>
      <c r="K3" s="80" t="s">
        <v>138</v>
      </c>
      <c r="L3" s="80" t="s">
        <v>138</v>
      </c>
      <c r="M3" s="80" t="s">
        <v>138</v>
      </c>
      <c r="O3" s="149" t="s">
        <v>138</v>
      </c>
      <c r="P3" s="149" t="s">
        <v>138</v>
      </c>
    </row>
    <row r="4" spans="1:17" x14ac:dyDescent="0.3">
      <c r="D4" s="61" t="s">
        <v>139</v>
      </c>
      <c r="E4" s="61" t="s">
        <v>139</v>
      </c>
      <c r="F4" s="61" t="s">
        <v>139</v>
      </c>
      <c r="G4" s="61" t="s">
        <v>139</v>
      </c>
      <c r="H4" s="61" t="s">
        <v>139</v>
      </c>
      <c r="I4" s="61" t="s">
        <v>139</v>
      </c>
      <c r="J4" s="61" t="s">
        <v>139</v>
      </c>
      <c r="K4" s="61" t="s">
        <v>139</v>
      </c>
      <c r="L4" s="61" t="s">
        <v>139</v>
      </c>
      <c r="M4" s="61" t="s">
        <v>139</v>
      </c>
      <c r="O4" s="150" t="s">
        <v>151</v>
      </c>
      <c r="P4" s="150" t="s">
        <v>139</v>
      </c>
    </row>
    <row r="5" spans="1:17" x14ac:dyDescent="0.3">
      <c r="A5">
        <v>1</v>
      </c>
      <c r="B5" t="s">
        <v>140</v>
      </c>
      <c r="C5" t="s">
        <v>141</v>
      </c>
      <c r="D5" t="s">
        <v>142</v>
      </c>
      <c r="E5" t="s">
        <v>142</v>
      </c>
      <c r="F5" t="s">
        <v>142</v>
      </c>
      <c r="G5" t="s">
        <v>142</v>
      </c>
      <c r="H5" t="s">
        <v>142</v>
      </c>
      <c r="I5" t="s">
        <v>142</v>
      </c>
      <c r="J5" t="s">
        <v>142</v>
      </c>
      <c r="K5" t="s">
        <v>142</v>
      </c>
      <c r="L5" t="s">
        <v>142</v>
      </c>
      <c r="M5" t="s">
        <v>142</v>
      </c>
      <c r="O5" s="148"/>
      <c r="P5" s="148"/>
    </row>
    <row r="6" spans="1:17" x14ac:dyDescent="0.3">
      <c r="A6">
        <v>2</v>
      </c>
      <c r="B6" s="81" t="s">
        <v>143</v>
      </c>
      <c r="C6" t="s">
        <v>141</v>
      </c>
      <c r="D6">
        <v>13.6</v>
      </c>
      <c r="E6" s="81">
        <v>4.8141999999999996</v>
      </c>
      <c r="F6">
        <v>100</v>
      </c>
      <c r="G6">
        <v>66.497299999999996</v>
      </c>
      <c r="H6">
        <v>135.13999999999999</v>
      </c>
      <c r="I6" t="s">
        <v>144</v>
      </c>
      <c r="J6">
        <v>0.435</v>
      </c>
      <c r="K6">
        <v>1.21</v>
      </c>
      <c r="L6" t="s">
        <v>142</v>
      </c>
      <c r="M6">
        <v>5410</v>
      </c>
      <c r="O6" s="148"/>
      <c r="P6" s="148"/>
    </row>
    <row r="7" spans="1:17" x14ac:dyDescent="0.3">
      <c r="A7">
        <v>3</v>
      </c>
      <c r="B7" t="s">
        <v>228</v>
      </c>
      <c r="C7" t="s">
        <v>145</v>
      </c>
      <c r="D7">
        <v>13.567</v>
      </c>
      <c r="E7" s="83">
        <f>2.6317*(5/E6)</f>
        <v>2.7332682480993729</v>
      </c>
      <c r="F7">
        <v>100</v>
      </c>
      <c r="G7">
        <v>36.351100000000002</v>
      </c>
      <c r="H7">
        <v>55.05</v>
      </c>
      <c r="I7" t="s">
        <v>144</v>
      </c>
      <c r="J7">
        <v>0.63</v>
      </c>
      <c r="K7">
        <v>0.95</v>
      </c>
      <c r="L7" t="s">
        <v>142</v>
      </c>
      <c r="M7">
        <v>2569</v>
      </c>
      <c r="O7" s="151">
        <f>E7-P7</f>
        <v>0.63780454051671986</v>
      </c>
      <c r="P7" s="148">
        <f>UV_3HP!E7</f>
        <v>2.095463707582653</v>
      </c>
      <c r="Q7" s="83"/>
    </row>
    <row r="8" spans="1:17" x14ac:dyDescent="0.3">
      <c r="A8">
        <v>4</v>
      </c>
      <c r="B8" t="s">
        <v>229</v>
      </c>
      <c r="C8" t="s">
        <v>145</v>
      </c>
      <c r="D8">
        <v>13.6</v>
      </c>
      <c r="E8" s="83">
        <f>2.7409*(5/E6)</f>
        <v>2.8466827302563256</v>
      </c>
      <c r="F8">
        <v>100</v>
      </c>
      <c r="G8">
        <v>37.858800000000002</v>
      </c>
      <c r="H8">
        <v>58.66</v>
      </c>
      <c r="I8" t="s">
        <v>144</v>
      </c>
      <c r="J8">
        <v>0.58099999999999996</v>
      </c>
      <c r="K8">
        <v>0.92</v>
      </c>
      <c r="L8" t="s">
        <v>142</v>
      </c>
      <c r="M8">
        <v>3035</v>
      </c>
      <c r="O8" s="151">
        <f t="shared" ref="O8:O10" si="0">E8-P8</f>
        <v>0.57178299416339717</v>
      </c>
      <c r="P8" s="148">
        <f>UV_3HP!E8</f>
        <v>2.2748997360929284</v>
      </c>
      <c r="Q8" s="83"/>
    </row>
    <row r="9" spans="1:17" x14ac:dyDescent="0.3">
      <c r="A9">
        <v>5</v>
      </c>
      <c r="B9" t="s">
        <v>230</v>
      </c>
      <c r="C9" t="s">
        <v>145</v>
      </c>
      <c r="D9">
        <v>13.6</v>
      </c>
      <c r="E9" s="83">
        <f>2.7709*(5/E6)</f>
        <v>2.877840555024719</v>
      </c>
      <c r="F9">
        <v>100</v>
      </c>
      <c r="G9">
        <v>38.273299999999999</v>
      </c>
      <c r="H9">
        <v>59.67</v>
      </c>
      <c r="I9" t="s">
        <v>144</v>
      </c>
      <c r="J9">
        <v>0.56899999999999995</v>
      </c>
      <c r="K9">
        <v>0.93</v>
      </c>
      <c r="L9" t="s">
        <v>142</v>
      </c>
      <c r="M9">
        <v>3170</v>
      </c>
      <c r="O9" s="151">
        <f t="shared" si="0"/>
        <v>0.52647010846070552</v>
      </c>
      <c r="P9" s="148">
        <f>UV_3HP!E9</f>
        <v>2.3513704465640135</v>
      </c>
      <c r="Q9" s="83"/>
    </row>
    <row r="10" spans="1:17" x14ac:dyDescent="0.3">
      <c r="A10">
        <v>6</v>
      </c>
      <c r="B10" t="s">
        <v>220</v>
      </c>
      <c r="C10" t="s">
        <v>145</v>
      </c>
      <c r="D10">
        <v>13.6</v>
      </c>
      <c r="E10" s="83">
        <v>2.9649994598682077</v>
      </c>
      <c r="F10">
        <v>100</v>
      </c>
      <c r="G10">
        <v>37.761499999999998</v>
      </c>
      <c r="H10">
        <v>64.069999999999993</v>
      </c>
      <c r="I10" t="s">
        <v>144</v>
      </c>
      <c r="J10">
        <v>0.505</v>
      </c>
      <c r="K10">
        <v>0.93</v>
      </c>
      <c r="L10" t="s">
        <v>142</v>
      </c>
      <c r="M10">
        <v>4019</v>
      </c>
      <c r="O10" s="152">
        <f t="shared" si="0"/>
        <v>0.41759945986820757</v>
      </c>
      <c r="P10" s="159">
        <f>UV_3HP!E10</f>
        <v>2.5474000000000001</v>
      </c>
      <c r="Q10" s="83"/>
    </row>
    <row r="11" spans="1:17" x14ac:dyDescent="0.3">
      <c r="A11">
        <v>7</v>
      </c>
      <c r="B11" t="s">
        <v>231</v>
      </c>
      <c r="C11" t="s">
        <v>145</v>
      </c>
      <c r="D11">
        <v>13.6</v>
      </c>
      <c r="E11" s="83">
        <f>4.1628*(5/E6)</f>
        <v>4.3234597648622826</v>
      </c>
      <c r="F11">
        <v>100</v>
      </c>
      <c r="G11">
        <v>57.498600000000003</v>
      </c>
      <c r="H11">
        <v>108.35</v>
      </c>
      <c r="I11" t="s">
        <v>144</v>
      </c>
      <c r="J11">
        <v>0.47299999999999998</v>
      </c>
      <c r="K11">
        <v>1.19</v>
      </c>
      <c r="L11" t="s">
        <v>142</v>
      </c>
      <c r="M11">
        <v>4583</v>
      </c>
    </row>
    <row r="12" spans="1:17" x14ac:dyDescent="0.3">
      <c r="A12">
        <v>8</v>
      </c>
      <c r="B12" t="s">
        <v>232</v>
      </c>
      <c r="C12" t="s">
        <v>145</v>
      </c>
      <c r="D12">
        <v>13.6</v>
      </c>
      <c r="E12" s="83">
        <f>4.1052*(5/E6)</f>
        <v>4.2636367413069678</v>
      </c>
      <c r="F12">
        <v>100</v>
      </c>
      <c r="G12">
        <v>56.7042</v>
      </c>
      <c r="H12">
        <v>105.41</v>
      </c>
      <c r="I12" t="s">
        <v>144</v>
      </c>
      <c r="J12">
        <v>0.48099999999999998</v>
      </c>
      <c r="K12">
        <v>1.19</v>
      </c>
      <c r="L12" t="s">
        <v>142</v>
      </c>
      <c r="M12">
        <v>4430</v>
      </c>
    </row>
    <row r="13" spans="1:17" x14ac:dyDescent="0.3">
      <c r="A13">
        <v>9</v>
      </c>
      <c r="B13" t="s">
        <v>233</v>
      </c>
      <c r="C13" t="s">
        <v>145</v>
      </c>
      <c r="D13">
        <v>13.632999999999999</v>
      </c>
      <c r="E13" s="83">
        <f>4.7117*(5/E6)</f>
        <v>4.8935440987079897</v>
      </c>
      <c r="F13">
        <v>100</v>
      </c>
      <c r="G13">
        <v>65.081199999999995</v>
      </c>
      <c r="H13">
        <v>119.34</v>
      </c>
      <c r="I13" t="s">
        <v>144</v>
      </c>
      <c r="J13">
        <v>0.48899999999999999</v>
      </c>
      <c r="K13">
        <v>1.1100000000000001</v>
      </c>
      <c r="L13" t="s">
        <v>142</v>
      </c>
      <c r="M13">
        <v>4312</v>
      </c>
    </row>
    <row r="14" spans="1:17" x14ac:dyDescent="0.3">
      <c r="A14">
        <v>10</v>
      </c>
      <c r="B14" t="s">
        <v>221</v>
      </c>
      <c r="C14" t="s">
        <v>145</v>
      </c>
      <c r="D14">
        <v>13.6</v>
      </c>
      <c r="E14" s="83">
        <v>5.0919304310251698</v>
      </c>
      <c r="F14">
        <v>100</v>
      </c>
      <c r="G14">
        <v>65.107299999999995</v>
      </c>
      <c r="H14">
        <v>124.39</v>
      </c>
      <c r="I14" t="s">
        <v>144</v>
      </c>
      <c r="J14">
        <v>0.46899999999999997</v>
      </c>
      <c r="K14">
        <v>1.1299999999999999</v>
      </c>
      <c r="L14" t="s">
        <v>142</v>
      </c>
      <c r="M14">
        <v>4665</v>
      </c>
    </row>
    <row r="15" spans="1:17" x14ac:dyDescent="0.3">
      <c r="A15">
        <v>11</v>
      </c>
      <c r="B15" t="s">
        <v>234</v>
      </c>
      <c r="C15" t="s">
        <v>145</v>
      </c>
      <c r="D15">
        <v>13.632999999999999</v>
      </c>
      <c r="E15" s="83">
        <f>6.9073*(5/E6)</f>
        <v>7.1738814340908164</v>
      </c>
      <c r="F15">
        <v>100</v>
      </c>
      <c r="G15">
        <v>95.407399999999996</v>
      </c>
      <c r="H15">
        <v>172.34</v>
      </c>
      <c r="I15" t="s">
        <v>144</v>
      </c>
      <c r="J15">
        <v>0.497</v>
      </c>
      <c r="K15">
        <v>1.1100000000000001</v>
      </c>
      <c r="L15" t="s">
        <v>142</v>
      </c>
      <c r="M15">
        <v>4163</v>
      </c>
    </row>
    <row r="16" spans="1:17" x14ac:dyDescent="0.3">
      <c r="A16">
        <v>12</v>
      </c>
      <c r="B16" t="s">
        <v>237</v>
      </c>
      <c r="C16" t="s">
        <v>145</v>
      </c>
      <c r="D16">
        <v>13.632999999999999</v>
      </c>
      <c r="E16" s="83">
        <f>7.0156*(5/E6)</f>
        <v>7.2863611815047165</v>
      </c>
      <c r="F16">
        <v>100</v>
      </c>
      <c r="G16">
        <v>96.9041</v>
      </c>
      <c r="H16">
        <v>173.69</v>
      </c>
      <c r="I16" t="s">
        <v>144</v>
      </c>
      <c r="J16">
        <v>0.504</v>
      </c>
      <c r="K16">
        <v>1.1100000000000001</v>
      </c>
      <c r="L16" t="s">
        <v>142</v>
      </c>
      <c r="M16">
        <v>4059</v>
      </c>
    </row>
    <row r="17" spans="1:13" x14ac:dyDescent="0.3">
      <c r="A17">
        <v>13</v>
      </c>
      <c r="B17" t="s">
        <v>238</v>
      </c>
      <c r="C17" t="s">
        <v>145</v>
      </c>
      <c r="D17">
        <v>13.632999999999999</v>
      </c>
      <c r="E17" s="83">
        <f>7.6338*(5/E6)</f>
        <v>7.9284200905654121</v>
      </c>
      <c r="F17">
        <v>100</v>
      </c>
      <c r="G17">
        <v>105.4421</v>
      </c>
      <c r="H17">
        <v>187.56</v>
      </c>
      <c r="I17" t="s">
        <v>144</v>
      </c>
      <c r="J17">
        <v>0.50800000000000001</v>
      </c>
      <c r="K17">
        <v>1.1100000000000001</v>
      </c>
      <c r="L17" t="s">
        <v>142</v>
      </c>
      <c r="M17">
        <v>3983</v>
      </c>
    </row>
    <row r="18" spans="1:13" x14ac:dyDescent="0.3">
      <c r="A18">
        <v>14</v>
      </c>
      <c r="B18" t="s">
        <v>222</v>
      </c>
      <c r="C18" t="s">
        <v>145</v>
      </c>
      <c r="D18">
        <v>13.6</v>
      </c>
      <c r="E18" s="83">
        <v>7.8599978394728307</v>
      </c>
      <c r="F18">
        <v>100</v>
      </c>
      <c r="G18">
        <v>100.5009</v>
      </c>
      <c r="H18">
        <v>193.3</v>
      </c>
      <c r="I18" t="s">
        <v>144</v>
      </c>
      <c r="J18">
        <v>0.47</v>
      </c>
      <c r="K18">
        <v>1.17</v>
      </c>
      <c r="L18" t="s">
        <v>142</v>
      </c>
      <c r="M18">
        <v>4648</v>
      </c>
    </row>
    <row r="19" spans="1:13" x14ac:dyDescent="0.3">
      <c r="A19">
        <v>15</v>
      </c>
      <c r="B19" t="s">
        <v>239</v>
      </c>
      <c r="C19" t="s">
        <v>145</v>
      </c>
      <c r="D19">
        <v>13.632999999999999</v>
      </c>
      <c r="E19" s="83">
        <f>9.4621*(5/E6)</f>
        <v>9.8272817913672057</v>
      </c>
      <c r="F19">
        <v>100</v>
      </c>
      <c r="G19">
        <v>130.6968</v>
      </c>
      <c r="H19">
        <v>240.38</v>
      </c>
      <c r="I19" t="s">
        <v>144</v>
      </c>
      <c r="J19">
        <v>0.48699999999999999</v>
      </c>
      <c r="K19">
        <v>1.1100000000000001</v>
      </c>
      <c r="L19" t="s">
        <v>142</v>
      </c>
      <c r="M19">
        <v>4344</v>
      </c>
    </row>
    <row r="20" spans="1:13" x14ac:dyDescent="0.3">
      <c r="A20">
        <v>16</v>
      </c>
      <c r="B20" t="s">
        <v>241</v>
      </c>
      <c r="C20" t="s">
        <v>145</v>
      </c>
      <c r="D20">
        <v>13.632999999999999</v>
      </c>
      <c r="E20" s="83">
        <f>9.8315*(5/E6)</f>
        <v>10.210938473682026</v>
      </c>
      <c r="F20">
        <v>100</v>
      </c>
      <c r="G20">
        <v>135.79849999999999</v>
      </c>
      <c r="H20">
        <v>249.01</v>
      </c>
      <c r="I20" t="s">
        <v>144</v>
      </c>
      <c r="J20">
        <v>0.48899999999999999</v>
      </c>
      <c r="K20">
        <v>1.1100000000000001</v>
      </c>
      <c r="L20" t="s">
        <v>142</v>
      </c>
      <c r="M20">
        <v>4310</v>
      </c>
    </row>
    <row r="21" spans="1:13" x14ac:dyDescent="0.3">
      <c r="A21">
        <v>17</v>
      </c>
      <c r="B21" t="s">
        <v>242</v>
      </c>
      <c r="C21" t="s">
        <v>145</v>
      </c>
      <c r="D21">
        <v>13.632999999999999</v>
      </c>
      <c r="E21" s="83">
        <f>10.522*(5/E6)</f>
        <v>10.928087740434549</v>
      </c>
      <c r="F21">
        <v>100</v>
      </c>
      <c r="G21">
        <v>145.3364</v>
      </c>
      <c r="H21">
        <v>266.02</v>
      </c>
      <c r="I21" t="s">
        <v>144</v>
      </c>
      <c r="J21">
        <v>0.49</v>
      </c>
      <c r="K21">
        <v>1.1100000000000001</v>
      </c>
      <c r="L21" t="s">
        <v>142</v>
      </c>
      <c r="M21">
        <v>4282</v>
      </c>
    </row>
    <row r="22" spans="1:13" x14ac:dyDescent="0.3">
      <c r="A22">
        <v>18</v>
      </c>
      <c r="B22" t="s">
        <v>223</v>
      </c>
      <c r="C22" t="s">
        <v>145</v>
      </c>
      <c r="D22">
        <v>13.6</v>
      </c>
      <c r="E22" s="83">
        <v>10.696445932807604</v>
      </c>
      <c r="F22">
        <v>100</v>
      </c>
      <c r="G22">
        <v>136.7679</v>
      </c>
      <c r="H22">
        <v>260.47000000000003</v>
      </c>
      <c r="I22" t="s">
        <v>144</v>
      </c>
      <c r="J22">
        <v>0.47599999999999998</v>
      </c>
      <c r="K22">
        <v>1.1599999999999999</v>
      </c>
      <c r="L22" t="s">
        <v>142</v>
      </c>
      <c r="M22">
        <v>4532</v>
      </c>
    </row>
    <row r="23" spans="1:13" x14ac:dyDescent="0.3">
      <c r="A23">
        <v>19</v>
      </c>
      <c r="B23" t="s">
        <v>240</v>
      </c>
      <c r="C23" t="s">
        <v>145</v>
      </c>
      <c r="D23">
        <v>13.6</v>
      </c>
      <c r="E23" s="83">
        <f>12.0166*(5/E6)</f>
        <v>12.480370570395914</v>
      </c>
      <c r="F23">
        <v>100</v>
      </c>
      <c r="G23">
        <v>165.9811</v>
      </c>
      <c r="H23">
        <v>299.74</v>
      </c>
      <c r="I23" t="s">
        <v>144</v>
      </c>
      <c r="J23">
        <v>0.499</v>
      </c>
      <c r="K23">
        <v>1.19</v>
      </c>
      <c r="L23" t="s">
        <v>142</v>
      </c>
      <c r="M23">
        <v>4122</v>
      </c>
    </row>
    <row r="24" spans="1:13" x14ac:dyDescent="0.3">
      <c r="A24">
        <v>20</v>
      </c>
      <c r="B24" t="s">
        <v>243</v>
      </c>
      <c r="C24" t="s">
        <v>145</v>
      </c>
      <c r="D24">
        <v>13.6</v>
      </c>
      <c r="E24" s="83">
        <f>12.3811*(5/E6)</f>
        <v>12.858938141331896</v>
      </c>
      <c r="F24">
        <v>100</v>
      </c>
      <c r="G24">
        <v>171.01519999999999</v>
      </c>
      <c r="H24">
        <v>306.83999999999997</v>
      </c>
      <c r="I24" t="s">
        <v>144</v>
      </c>
      <c r="J24">
        <v>0.503</v>
      </c>
      <c r="K24">
        <v>1.18</v>
      </c>
      <c r="L24" t="s">
        <v>142</v>
      </c>
      <c r="M24">
        <v>4053</v>
      </c>
    </row>
    <row r="25" spans="1:13" x14ac:dyDescent="0.3">
      <c r="A25">
        <v>21</v>
      </c>
      <c r="B25" t="s">
        <v>244</v>
      </c>
      <c r="C25" t="s">
        <v>145</v>
      </c>
      <c r="D25">
        <v>13.6</v>
      </c>
      <c r="E25" s="83">
        <f>13.4196*(5/E6)</f>
        <v>13.937518175397784</v>
      </c>
      <c r="F25">
        <v>100</v>
      </c>
      <c r="G25">
        <v>185.36</v>
      </c>
      <c r="H25">
        <v>330.55</v>
      </c>
      <c r="I25" t="s">
        <v>144</v>
      </c>
      <c r="J25">
        <v>0.50700000000000001</v>
      </c>
      <c r="K25">
        <v>1.19</v>
      </c>
      <c r="L25" t="s">
        <v>142</v>
      </c>
      <c r="M25">
        <v>3982</v>
      </c>
    </row>
    <row r="26" spans="1:13" x14ac:dyDescent="0.3">
      <c r="A26">
        <v>22</v>
      </c>
      <c r="B26" t="s">
        <v>224</v>
      </c>
      <c r="C26" t="s">
        <v>145</v>
      </c>
      <c r="D26">
        <v>13.6</v>
      </c>
      <c r="E26" s="83">
        <v>13.454034784487414</v>
      </c>
      <c r="F26">
        <v>100</v>
      </c>
      <c r="G26">
        <v>172.02719999999999</v>
      </c>
      <c r="H26">
        <v>318.64</v>
      </c>
      <c r="I26" t="s">
        <v>144</v>
      </c>
      <c r="J26">
        <v>0.49099999999999999</v>
      </c>
      <c r="K26">
        <v>1.1499999999999999</v>
      </c>
      <c r="L26" t="s">
        <v>142</v>
      </c>
      <c r="M26">
        <v>4252</v>
      </c>
    </row>
    <row r="27" spans="1:13" x14ac:dyDescent="0.3">
      <c r="A27">
        <v>23</v>
      </c>
      <c r="B27" t="s">
        <v>245</v>
      </c>
      <c r="C27" t="s">
        <v>145</v>
      </c>
      <c r="D27">
        <v>13.6</v>
      </c>
      <c r="E27" s="83">
        <f>14.3208*(5/E6)</f>
        <v>14.873499231440325</v>
      </c>
      <c r="F27">
        <v>100</v>
      </c>
      <c r="G27">
        <v>197.80760000000001</v>
      </c>
      <c r="H27">
        <v>345.4</v>
      </c>
      <c r="I27" t="s">
        <v>144</v>
      </c>
      <c r="J27">
        <v>0.52</v>
      </c>
      <c r="K27">
        <v>1.19</v>
      </c>
      <c r="L27" t="s">
        <v>142</v>
      </c>
      <c r="M27">
        <v>3786</v>
      </c>
    </row>
    <row r="28" spans="1:13" x14ac:dyDescent="0.3">
      <c r="A28">
        <v>24</v>
      </c>
      <c r="B28" t="s">
        <v>246</v>
      </c>
      <c r="C28" t="s">
        <v>145</v>
      </c>
      <c r="D28">
        <v>13.6</v>
      </c>
      <c r="E28" s="83">
        <f>14.9903*(5/E6)</f>
        <v>15.568838020854972</v>
      </c>
      <c r="F28">
        <v>100</v>
      </c>
      <c r="G28">
        <v>207.0557</v>
      </c>
      <c r="H28">
        <v>360.01</v>
      </c>
      <c r="I28" t="s">
        <v>144</v>
      </c>
      <c r="J28">
        <v>0.52400000000000002</v>
      </c>
      <c r="K28">
        <v>1.19</v>
      </c>
      <c r="L28" t="s">
        <v>142</v>
      </c>
      <c r="M28">
        <v>3738</v>
      </c>
    </row>
    <row r="29" spans="1:13" x14ac:dyDescent="0.3">
      <c r="A29">
        <v>25</v>
      </c>
      <c r="B29" t="s">
        <v>247</v>
      </c>
      <c r="C29" t="s">
        <v>145</v>
      </c>
      <c r="D29">
        <v>13.6</v>
      </c>
      <c r="E29" s="83">
        <f>16.0852*(5/E6)</f>
        <v>16.705994765485443</v>
      </c>
      <c r="F29">
        <v>100</v>
      </c>
      <c r="G29">
        <v>222.1782</v>
      </c>
      <c r="H29">
        <v>381.87</v>
      </c>
      <c r="I29" t="s">
        <v>144</v>
      </c>
      <c r="J29">
        <v>0.53100000000000003</v>
      </c>
      <c r="K29">
        <v>1.19</v>
      </c>
      <c r="L29" t="s">
        <v>142</v>
      </c>
      <c r="M29">
        <v>3634</v>
      </c>
    </row>
    <row r="30" spans="1:13" x14ac:dyDescent="0.3">
      <c r="A30">
        <v>26</v>
      </c>
      <c r="B30" t="s">
        <v>225</v>
      </c>
      <c r="C30" t="s">
        <v>145</v>
      </c>
      <c r="D30">
        <v>13.6</v>
      </c>
      <c r="E30" s="83">
        <v>15.748514637571567</v>
      </c>
      <c r="F30">
        <v>100</v>
      </c>
      <c r="G30">
        <v>201.3664</v>
      </c>
      <c r="H30">
        <v>348.89</v>
      </c>
      <c r="I30" t="s">
        <v>144</v>
      </c>
      <c r="J30">
        <v>0.52900000000000003</v>
      </c>
      <c r="K30">
        <v>1.1299999999999999</v>
      </c>
      <c r="L30" t="s">
        <v>142</v>
      </c>
      <c r="M30">
        <v>3656</v>
      </c>
    </row>
    <row r="31" spans="1:13" x14ac:dyDescent="0.3">
      <c r="A31">
        <v>27</v>
      </c>
      <c r="B31" t="s">
        <v>235</v>
      </c>
      <c r="C31" t="s">
        <v>145</v>
      </c>
      <c r="D31">
        <v>13.6</v>
      </c>
      <c r="E31" s="83">
        <f>16.6223*(5/E6)</f>
        <v>17.263823688255577</v>
      </c>
      <c r="F31">
        <v>100</v>
      </c>
      <c r="G31">
        <v>229.5975</v>
      </c>
      <c r="H31">
        <v>385.97</v>
      </c>
      <c r="I31" t="s">
        <v>144</v>
      </c>
      <c r="J31">
        <v>0.54400000000000004</v>
      </c>
      <c r="K31">
        <v>1.19</v>
      </c>
      <c r="L31" t="s">
        <v>142</v>
      </c>
      <c r="M31">
        <v>3456</v>
      </c>
    </row>
    <row r="32" spans="1:13" x14ac:dyDescent="0.3">
      <c r="A32">
        <v>28</v>
      </c>
      <c r="B32" t="s">
        <v>248</v>
      </c>
      <c r="C32" t="s">
        <v>145</v>
      </c>
      <c r="D32">
        <v>13.6</v>
      </c>
      <c r="E32" s="83">
        <f>17.624*(5/E6)</f>
        <v>18.304183457272238</v>
      </c>
      <c r="F32">
        <v>100</v>
      </c>
      <c r="G32">
        <v>243.43369999999999</v>
      </c>
      <c r="H32">
        <v>407.47</v>
      </c>
      <c r="I32" t="s">
        <v>144</v>
      </c>
      <c r="J32">
        <v>0.54800000000000004</v>
      </c>
      <c r="K32">
        <v>1.18</v>
      </c>
      <c r="L32" t="s">
        <v>142</v>
      </c>
      <c r="M32">
        <v>3418</v>
      </c>
    </row>
    <row r="33" spans="1:13" x14ac:dyDescent="0.3">
      <c r="A33">
        <v>29</v>
      </c>
      <c r="B33" t="s">
        <v>249</v>
      </c>
      <c r="C33" t="s">
        <v>145</v>
      </c>
      <c r="D33">
        <v>13.6</v>
      </c>
      <c r="E33" s="83">
        <f>18.5967*(5/E6)</f>
        <v>19.314423995679448</v>
      </c>
      <c r="F33">
        <v>100</v>
      </c>
      <c r="G33">
        <v>256.86829999999998</v>
      </c>
      <c r="H33">
        <v>426.55</v>
      </c>
      <c r="I33" t="s">
        <v>144</v>
      </c>
      <c r="J33">
        <v>0.55400000000000005</v>
      </c>
      <c r="K33">
        <v>1.19</v>
      </c>
      <c r="L33" t="s">
        <v>142</v>
      </c>
      <c r="M33">
        <v>3343</v>
      </c>
    </row>
    <row r="34" spans="1:13" x14ac:dyDescent="0.3">
      <c r="A34">
        <v>30</v>
      </c>
      <c r="B34" t="s">
        <v>226</v>
      </c>
      <c r="C34" t="s">
        <v>145</v>
      </c>
      <c r="D34">
        <v>13.632999999999999</v>
      </c>
      <c r="E34" s="83">
        <v>18.344171977962624</v>
      </c>
      <c r="F34">
        <v>100</v>
      </c>
      <c r="G34">
        <v>234.55430000000001</v>
      </c>
      <c r="H34">
        <v>354.67</v>
      </c>
      <c r="I34" t="s">
        <v>144</v>
      </c>
      <c r="J34">
        <v>0.621</v>
      </c>
      <c r="K34">
        <v>1.05</v>
      </c>
      <c r="L34" t="s">
        <v>142</v>
      </c>
      <c r="M34">
        <v>2669</v>
      </c>
    </row>
    <row r="35" spans="1:13" x14ac:dyDescent="0.3">
      <c r="A35">
        <v>31</v>
      </c>
      <c r="B35" t="s">
        <v>236</v>
      </c>
      <c r="C35" t="s">
        <v>145</v>
      </c>
      <c r="D35">
        <v>13.6</v>
      </c>
      <c r="E35" s="83">
        <f>19.0966*(5/E6)</f>
        <v>19.83361721573678</v>
      </c>
      <c r="F35">
        <v>100</v>
      </c>
      <c r="G35">
        <v>263.77319999999997</v>
      </c>
      <c r="H35">
        <v>431.51</v>
      </c>
      <c r="I35" t="s">
        <v>144</v>
      </c>
      <c r="J35">
        <v>0.56399999999999995</v>
      </c>
      <c r="K35">
        <v>1.19</v>
      </c>
      <c r="L35" t="s">
        <v>142</v>
      </c>
      <c r="M35">
        <v>3220</v>
      </c>
    </row>
    <row r="36" spans="1:13" x14ac:dyDescent="0.3">
      <c r="A36">
        <v>32</v>
      </c>
      <c r="B36" t="s">
        <v>251</v>
      </c>
      <c r="C36" t="s">
        <v>145</v>
      </c>
      <c r="D36">
        <v>13.632999999999999</v>
      </c>
      <c r="E36" s="83">
        <f>19.9274*(5/E6)</f>
        <v>20.696481242989492</v>
      </c>
      <c r="F36">
        <v>100</v>
      </c>
      <c r="G36">
        <v>275.24939999999998</v>
      </c>
      <c r="H36">
        <v>446.75</v>
      </c>
      <c r="I36" t="s">
        <v>144</v>
      </c>
      <c r="J36">
        <v>0.56999999999999995</v>
      </c>
      <c r="K36">
        <v>1.1200000000000001</v>
      </c>
      <c r="L36" t="s">
        <v>142</v>
      </c>
      <c r="M36">
        <v>3172</v>
      </c>
    </row>
    <row r="37" spans="1:13" x14ac:dyDescent="0.3">
      <c r="A37">
        <v>33</v>
      </c>
      <c r="B37" t="s">
        <v>250</v>
      </c>
      <c r="C37" t="s">
        <v>145</v>
      </c>
      <c r="D37">
        <v>13.632999999999999</v>
      </c>
      <c r="E37" s="83">
        <f>21.1075*(5/E6)</f>
        <v>21.922126209962201</v>
      </c>
      <c r="F37">
        <v>100</v>
      </c>
      <c r="G37">
        <v>291.54930000000002</v>
      </c>
      <c r="H37">
        <v>469.71</v>
      </c>
      <c r="I37" t="s">
        <v>144</v>
      </c>
      <c r="J37">
        <v>0.57599999999999996</v>
      </c>
      <c r="K37">
        <v>1.1200000000000001</v>
      </c>
      <c r="L37" t="s">
        <v>142</v>
      </c>
      <c r="M37">
        <v>3107</v>
      </c>
    </row>
    <row r="38" spans="1:13" x14ac:dyDescent="0.3">
      <c r="A38">
        <v>34</v>
      </c>
      <c r="B38" t="s">
        <v>227</v>
      </c>
      <c r="C38" t="s">
        <v>145</v>
      </c>
      <c r="D38">
        <v>13.667</v>
      </c>
      <c r="E38" s="83">
        <v>20.896186669547365</v>
      </c>
      <c r="F38">
        <v>100</v>
      </c>
      <c r="G38">
        <v>267.18610000000001</v>
      </c>
      <c r="H38">
        <v>375.24</v>
      </c>
      <c r="I38" t="s">
        <v>144</v>
      </c>
      <c r="J38">
        <v>0.68</v>
      </c>
      <c r="K38">
        <v>0.99</v>
      </c>
      <c r="L38" t="s">
        <v>142</v>
      </c>
      <c r="M38">
        <v>2238</v>
      </c>
    </row>
    <row r="39" spans="1:13" x14ac:dyDescent="0.3">
      <c r="A39">
        <v>35</v>
      </c>
      <c r="B39" t="s">
        <v>140</v>
      </c>
      <c r="C39" t="s">
        <v>141</v>
      </c>
      <c r="D39" t="s">
        <v>142</v>
      </c>
      <c r="E39" t="s">
        <v>142</v>
      </c>
      <c r="F39" t="s">
        <v>142</v>
      </c>
      <c r="G39" t="s">
        <v>142</v>
      </c>
      <c r="H39" t="s">
        <v>142</v>
      </c>
      <c r="I39" t="s">
        <v>142</v>
      </c>
      <c r="J39" t="s">
        <v>142</v>
      </c>
      <c r="K39" t="s">
        <v>142</v>
      </c>
      <c r="L39" t="s">
        <v>142</v>
      </c>
      <c r="M39" t="s">
        <v>142</v>
      </c>
    </row>
    <row r="40" spans="1:13" x14ac:dyDescent="0.3">
      <c r="A40">
        <v>36</v>
      </c>
      <c r="B40" s="81" t="s">
        <v>143</v>
      </c>
      <c r="C40" t="s">
        <v>141</v>
      </c>
      <c r="D40">
        <v>13.6</v>
      </c>
      <c r="E40" s="81">
        <v>4.7866999999999997</v>
      </c>
      <c r="F40">
        <v>100</v>
      </c>
      <c r="G40">
        <v>66.116900000000001</v>
      </c>
      <c r="H40">
        <v>107.65</v>
      </c>
      <c r="I40" t="s">
        <v>144</v>
      </c>
      <c r="J40">
        <v>0.56599999999999995</v>
      </c>
      <c r="K40">
        <v>1.17</v>
      </c>
      <c r="L40" t="s">
        <v>142</v>
      </c>
      <c r="M40">
        <v>3201</v>
      </c>
    </row>
    <row r="41" spans="1:13" x14ac:dyDescent="0.3">
      <c r="A41" t="s">
        <v>146</v>
      </c>
      <c r="D41">
        <v>13.632999999999999</v>
      </c>
      <c r="E41">
        <v>21.107500000000002</v>
      </c>
      <c r="F41">
        <v>100</v>
      </c>
      <c r="G41">
        <v>291.54930000000002</v>
      </c>
      <c r="H41">
        <v>469.71</v>
      </c>
      <c r="J41">
        <v>0.77200000000000002</v>
      </c>
      <c r="K41">
        <v>1.21</v>
      </c>
      <c r="L41">
        <v>0</v>
      </c>
      <c r="M41">
        <v>5410</v>
      </c>
    </row>
    <row r="42" spans="1:13" x14ac:dyDescent="0.3">
      <c r="A42" t="s">
        <v>147</v>
      </c>
      <c r="D42">
        <v>13.615</v>
      </c>
      <c r="E42">
        <v>10.3453</v>
      </c>
      <c r="F42">
        <v>100</v>
      </c>
      <c r="G42">
        <v>142.89590000000001</v>
      </c>
      <c r="H42">
        <v>244.86</v>
      </c>
      <c r="J42">
        <v>0.53200000000000003</v>
      </c>
      <c r="K42">
        <v>1.1299999999999999</v>
      </c>
      <c r="L42" t="s">
        <v>142</v>
      </c>
      <c r="M42">
        <v>3731</v>
      </c>
    </row>
    <row r="43" spans="1:13" x14ac:dyDescent="0.3">
      <c r="A43" t="s">
        <v>148</v>
      </c>
      <c r="D43">
        <v>13.567</v>
      </c>
      <c r="E43">
        <v>1.8575999999999999</v>
      </c>
      <c r="F43">
        <v>100</v>
      </c>
      <c r="G43">
        <v>25.657699999999998</v>
      </c>
      <c r="H43">
        <v>28.71</v>
      </c>
      <c r="J43">
        <v>0.435</v>
      </c>
      <c r="K43">
        <v>0.92</v>
      </c>
      <c r="L43">
        <v>0</v>
      </c>
      <c r="M43">
        <v>1721</v>
      </c>
    </row>
    <row r="44" spans="1:13" x14ac:dyDescent="0.3">
      <c r="A44" t="s">
        <v>149</v>
      </c>
      <c r="D44">
        <v>1.9E-2</v>
      </c>
      <c r="E44">
        <v>6.0056000000000003</v>
      </c>
      <c r="F44">
        <v>0</v>
      </c>
      <c r="G44">
        <v>82.953000000000003</v>
      </c>
      <c r="H44">
        <v>135.83000000000001</v>
      </c>
      <c r="J44">
        <v>5.8999999999999997E-2</v>
      </c>
      <c r="K44">
        <v>7.0000000000000007E-2</v>
      </c>
      <c r="L44" t="s">
        <v>142</v>
      </c>
      <c r="M44">
        <v>685</v>
      </c>
    </row>
    <row r="45" spans="1:13" x14ac:dyDescent="0.3">
      <c r="A45" t="s">
        <v>150</v>
      </c>
      <c r="D45" s="79">
        <v>1.4E-3</v>
      </c>
      <c r="E45" s="79">
        <v>0.58050000000000002</v>
      </c>
      <c r="F45" s="79">
        <v>0</v>
      </c>
      <c r="G45" s="79">
        <v>0.58050000000000002</v>
      </c>
      <c r="H45" s="79">
        <v>0.55469999999999997</v>
      </c>
      <c r="J45" s="79">
        <v>0.1105</v>
      </c>
      <c r="K45" s="79">
        <v>6.4199999999999993E-2</v>
      </c>
      <c r="L45" t="s">
        <v>142</v>
      </c>
      <c r="M45" s="79">
        <v>0.1835</v>
      </c>
    </row>
    <row r="52" spans="1:15" x14ac:dyDescent="0.3">
      <c r="A52" t="s">
        <v>118</v>
      </c>
      <c r="B52" t="s">
        <v>119</v>
      </c>
      <c r="C52" t="s">
        <v>120</v>
      </c>
      <c r="D52" t="s">
        <v>121</v>
      </c>
      <c r="E52" t="s">
        <v>122</v>
      </c>
      <c r="F52" t="s">
        <v>123</v>
      </c>
      <c r="G52" t="s">
        <v>124</v>
      </c>
      <c r="H52" t="s">
        <v>125</v>
      </c>
      <c r="I52" t="s">
        <v>120</v>
      </c>
      <c r="J52" t="s">
        <v>126</v>
      </c>
      <c r="K52" t="s">
        <v>127</v>
      </c>
      <c r="L52" t="s">
        <v>128</v>
      </c>
      <c r="M52" t="s">
        <v>129</v>
      </c>
      <c r="O52" s="147" t="s">
        <v>122</v>
      </c>
    </row>
    <row r="53" spans="1:15" x14ac:dyDescent="0.3">
      <c r="A53" t="s">
        <v>130</v>
      </c>
      <c r="B53" t="s">
        <v>131</v>
      </c>
      <c r="D53" t="s">
        <v>132</v>
      </c>
      <c r="E53" t="s">
        <v>133</v>
      </c>
      <c r="F53" t="s">
        <v>134</v>
      </c>
      <c r="G53" t="s">
        <v>135</v>
      </c>
      <c r="H53" t="s">
        <v>136</v>
      </c>
      <c r="J53" t="s">
        <v>132</v>
      </c>
      <c r="K53" t="s">
        <v>137</v>
      </c>
      <c r="L53" t="s">
        <v>137</v>
      </c>
      <c r="M53" t="s">
        <v>137</v>
      </c>
      <c r="O53" s="148" t="s">
        <v>133</v>
      </c>
    </row>
    <row r="54" spans="1:15" x14ac:dyDescent="0.3">
      <c r="D54" s="80" t="s">
        <v>138</v>
      </c>
      <c r="E54" s="80" t="s">
        <v>138</v>
      </c>
      <c r="F54" s="80" t="s">
        <v>138</v>
      </c>
      <c r="G54" s="80" t="s">
        <v>138</v>
      </c>
      <c r="H54" s="80" t="s">
        <v>138</v>
      </c>
      <c r="I54" s="80" t="s">
        <v>138</v>
      </c>
      <c r="J54" s="80" t="s">
        <v>138</v>
      </c>
      <c r="K54" s="80" t="s">
        <v>138</v>
      </c>
      <c r="L54" s="80" t="s">
        <v>138</v>
      </c>
      <c r="M54" s="80" t="s">
        <v>138</v>
      </c>
      <c r="O54" s="149" t="s">
        <v>138</v>
      </c>
    </row>
    <row r="55" spans="1:15" x14ac:dyDescent="0.3">
      <c r="D55" s="187" t="s">
        <v>139</v>
      </c>
      <c r="E55" s="187" t="s">
        <v>139</v>
      </c>
      <c r="F55" s="187" t="s">
        <v>139</v>
      </c>
      <c r="G55" s="187" t="s">
        <v>139</v>
      </c>
      <c r="H55" s="187" t="s">
        <v>139</v>
      </c>
      <c r="I55" s="187" t="s">
        <v>139</v>
      </c>
      <c r="J55" s="187" t="s">
        <v>139</v>
      </c>
      <c r="K55" s="187" t="s">
        <v>139</v>
      </c>
      <c r="L55" s="187" t="s">
        <v>139</v>
      </c>
      <c r="M55" s="187" t="s">
        <v>139</v>
      </c>
      <c r="O55" s="188" t="s">
        <v>151</v>
      </c>
    </row>
    <row r="56" spans="1:15" x14ac:dyDescent="0.3">
      <c r="A56">
        <v>1</v>
      </c>
      <c r="B56" t="s">
        <v>140</v>
      </c>
      <c r="C56" t="s">
        <v>141</v>
      </c>
      <c r="D56" t="s">
        <v>142</v>
      </c>
      <c r="E56" t="s">
        <v>142</v>
      </c>
      <c r="F56" t="s">
        <v>142</v>
      </c>
      <c r="G56" t="s">
        <v>142</v>
      </c>
      <c r="H56" t="s">
        <v>142</v>
      </c>
      <c r="I56" t="s">
        <v>142</v>
      </c>
      <c r="J56" t="s">
        <v>142</v>
      </c>
      <c r="K56" t="s">
        <v>142</v>
      </c>
      <c r="L56" t="s">
        <v>142</v>
      </c>
      <c r="M56" t="s">
        <v>142</v>
      </c>
      <c r="O56" s="148"/>
    </row>
    <row r="57" spans="1:15" x14ac:dyDescent="0.3">
      <c r="A57">
        <v>2</v>
      </c>
      <c r="B57" t="s">
        <v>140</v>
      </c>
      <c r="C57" t="s">
        <v>141</v>
      </c>
      <c r="D57" t="s">
        <v>142</v>
      </c>
      <c r="E57" t="s">
        <v>142</v>
      </c>
      <c r="F57" t="s">
        <v>142</v>
      </c>
      <c r="G57" t="s">
        <v>142</v>
      </c>
      <c r="H57" t="s">
        <v>142</v>
      </c>
      <c r="I57" t="s">
        <v>142</v>
      </c>
      <c r="J57" t="s">
        <v>142</v>
      </c>
      <c r="K57" t="s">
        <v>142</v>
      </c>
      <c r="L57" t="s">
        <v>142</v>
      </c>
      <c r="M57" t="s">
        <v>142</v>
      </c>
      <c r="O57" s="148"/>
    </row>
    <row r="58" spans="1:15" x14ac:dyDescent="0.3">
      <c r="A58">
        <v>3</v>
      </c>
      <c r="B58" s="81" t="s">
        <v>219</v>
      </c>
      <c r="C58" t="s">
        <v>141</v>
      </c>
      <c r="D58">
        <v>12.9</v>
      </c>
      <c r="E58" s="81">
        <v>0.99070000000000003</v>
      </c>
      <c r="F58">
        <v>52.45</v>
      </c>
      <c r="G58">
        <v>13.0467</v>
      </c>
      <c r="H58">
        <v>28.15</v>
      </c>
      <c r="I58" t="s">
        <v>144</v>
      </c>
      <c r="J58">
        <v>0.42599999999999999</v>
      </c>
      <c r="K58">
        <v>1.31</v>
      </c>
      <c r="L58" t="s">
        <v>142</v>
      </c>
      <c r="M58">
        <v>5087</v>
      </c>
      <c r="O58" s="148"/>
    </row>
    <row r="59" spans="1:15" x14ac:dyDescent="0.3">
      <c r="A59">
        <v>4</v>
      </c>
      <c r="B59" t="s">
        <v>303</v>
      </c>
      <c r="C59" t="s">
        <v>145</v>
      </c>
      <c r="D59">
        <v>12.867000000000001</v>
      </c>
      <c r="E59">
        <v>1.0076000000000001</v>
      </c>
      <c r="F59">
        <v>48.62</v>
      </c>
      <c r="G59">
        <v>10.195</v>
      </c>
      <c r="H59">
        <v>32.17</v>
      </c>
      <c r="I59" t="s">
        <v>302</v>
      </c>
      <c r="J59" t="s">
        <v>142</v>
      </c>
      <c r="K59" t="s">
        <v>142</v>
      </c>
      <c r="L59" t="s">
        <v>142</v>
      </c>
      <c r="M59" t="s">
        <v>142</v>
      </c>
      <c r="O59" s="148">
        <v>0.56179999999999997</v>
      </c>
    </row>
    <row r="60" spans="1:15" x14ac:dyDescent="0.3">
      <c r="A60">
        <v>5</v>
      </c>
      <c r="B60" t="s">
        <v>304</v>
      </c>
      <c r="C60" t="s">
        <v>145</v>
      </c>
      <c r="D60">
        <v>12.833</v>
      </c>
      <c r="E60">
        <v>1.1508</v>
      </c>
      <c r="F60">
        <v>53.36</v>
      </c>
      <c r="G60">
        <v>12.801299999999999</v>
      </c>
      <c r="H60">
        <v>38.950000000000003</v>
      </c>
      <c r="I60" t="s">
        <v>302</v>
      </c>
      <c r="J60" t="s">
        <v>142</v>
      </c>
      <c r="K60" t="s">
        <v>142</v>
      </c>
      <c r="L60" t="s">
        <v>142</v>
      </c>
      <c r="M60" t="s">
        <v>142</v>
      </c>
      <c r="O60" s="159">
        <v>0.43380000000000002</v>
      </c>
    </row>
    <row r="61" spans="1:15" x14ac:dyDescent="0.3">
      <c r="A61">
        <v>6</v>
      </c>
      <c r="B61" t="s">
        <v>305</v>
      </c>
      <c r="C61" t="s">
        <v>145</v>
      </c>
      <c r="D61">
        <v>12.9</v>
      </c>
      <c r="E61">
        <v>2.0095999999999998</v>
      </c>
      <c r="F61">
        <v>100</v>
      </c>
      <c r="G61">
        <v>26.465800000000002</v>
      </c>
      <c r="H61">
        <v>54.86</v>
      </c>
      <c r="I61" t="s">
        <v>144</v>
      </c>
      <c r="J61">
        <v>0.42799999999999999</v>
      </c>
      <c r="K61">
        <v>1.49</v>
      </c>
      <c r="L61" t="s">
        <v>142</v>
      </c>
      <c r="M61">
        <v>5026</v>
      </c>
    </row>
    <row r="62" spans="1:15" x14ac:dyDescent="0.3">
      <c r="A62">
        <v>7</v>
      </c>
      <c r="B62" t="s">
        <v>306</v>
      </c>
      <c r="C62" t="s">
        <v>145</v>
      </c>
      <c r="D62">
        <v>12.9</v>
      </c>
      <c r="E62">
        <v>2.1943000000000001</v>
      </c>
      <c r="F62">
        <v>100</v>
      </c>
      <c r="G62">
        <v>28.8977</v>
      </c>
      <c r="H62">
        <v>61.55</v>
      </c>
      <c r="I62" t="s">
        <v>144</v>
      </c>
      <c r="J62">
        <v>0.42299999999999999</v>
      </c>
      <c r="K62">
        <v>1.44</v>
      </c>
      <c r="L62" t="s">
        <v>142</v>
      </c>
      <c r="M62">
        <v>5146</v>
      </c>
    </row>
    <row r="63" spans="1:15" x14ac:dyDescent="0.3">
      <c r="A63">
        <v>8</v>
      </c>
      <c r="B63" t="s">
        <v>307</v>
      </c>
      <c r="C63" t="s">
        <v>145</v>
      </c>
      <c r="D63">
        <v>12.9</v>
      </c>
      <c r="E63">
        <v>4.3262999999999998</v>
      </c>
      <c r="F63">
        <v>100</v>
      </c>
      <c r="G63">
        <v>56.975700000000003</v>
      </c>
      <c r="H63">
        <v>119.58</v>
      </c>
      <c r="I63" t="s">
        <v>144</v>
      </c>
      <c r="J63">
        <v>0.42499999999999999</v>
      </c>
      <c r="K63">
        <v>1.45</v>
      </c>
      <c r="L63" t="s">
        <v>142</v>
      </c>
      <c r="M63">
        <v>5108</v>
      </c>
    </row>
    <row r="64" spans="1:15" x14ac:dyDescent="0.3">
      <c r="A64">
        <v>9</v>
      </c>
      <c r="B64" t="s">
        <v>308</v>
      </c>
      <c r="C64" t="s">
        <v>145</v>
      </c>
      <c r="D64">
        <v>12.9</v>
      </c>
      <c r="E64">
        <v>4.7621000000000002</v>
      </c>
      <c r="F64">
        <v>100</v>
      </c>
      <c r="G64">
        <v>62.714700000000001</v>
      </c>
      <c r="H64">
        <v>133.41</v>
      </c>
      <c r="I64" t="s">
        <v>144</v>
      </c>
      <c r="J64">
        <v>0.42199999999999999</v>
      </c>
      <c r="K64">
        <v>1.49</v>
      </c>
      <c r="L64" t="s">
        <v>142</v>
      </c>
      <c r="M64">
        <v>5181</v>
      </c>
    </row>
    <row r="65" spans="1:13" x14ac:dyDescent="0.3">
      <c r="A65">
        <v>10</v>
      </c>
      <c r="B65" t="s">
        <v>309</v>
      </c>
      <c r="C65" t="s">
        <v>145</v>
      </c>
      <c r="D65">
        <v>12.9</v>
      </c>
      <c r="E65">
        <v>7.2622999999999998</v>
      </c>
      <c r="F65">
        <v>100</v>
      </c>
      <c r="G65">
        <v>95.642799999999994</v>
      </c>
      <c r="H65">
        <v>202.02</v>
      </c>
      <c r="I65" t="s">
        <v>144</v>
      </c>
      <c r="J65">
        <v>0.42299999999999999</v>
      </c>
      <c r="K65">
        <v>1.47</v>
      </c>
      <c r="L65" t="s">
        <v>142</v>
      </c>
      <c r="M65">
        <v>5164</v>
      </c>
    </row>
    <row r="66" spans="1:13" x14ac:dyDescent="0.3">
      <c r="A66">
        <v>11</v>
      </c>
      <c r="B66" t="s">
        <v>310</v>
      </c>
      <c r="C66" t="s">
        <v>145</v>
      </c>
      <c r="D66">
        <v>12.9</v>
      </c>
      <c r="E66">
        <v>7.8037999999999998</v>
      </c>
      <c r="F66">
        <v>100</v>
      </c>
      <c r="G66">
        <v>102.7731</v>
      </c>
      <c r="H66">
        <v>219.07</v>
      </c>
      <c r="I66" t="s">
        <v>144</v>
      </c>
      <c r="J66">
        <v>0.42099999999999999</v>
      </c>
      <c r="K66">
        <v>1.51</v>
      </c>
      <c r="L66" t="s">
        <v>142</v>
      </c>
      <c r="M66">
        <v>5209</v>
      </c>
    </row>
    <row r="67" spans="1:13" x14ac:dyDescent="0.3">
      <c r="A67">
        <v>12</v>
      </c>
      <c r="B67" t="s">
        <v>311</v>
      </c>
      <c r="C67" t="s">
        <v>145</v>
      </c>
      <c r="D67">
        <v>12.9</v>
      </c>
      <c r="E67">
        <v>10.0877</v>
      </c>
      <c r="F67">
        <v>100</v>
      </c>
      <c r="G67">
        <v>132.8518</v>
      </c>
      <c r="H67">
        <v>284.49</v>
      </c>
      <c r="I67" t="s">
        <v>144</v>
      </c>
      <c r="J67">
        <v>0.41899999999999998</v>
      </c>
      <c r="K67">
        <v>1.51</v>
      </c>
      <c r="L67" t="s">
        <v>142</v>
      </c>
      <c r="M67">
        <v>5244</v>
      </c>
    </row>
    <row r="68" spans="1:13" x14ac:dyDescent="0.3">
      <c r="A68">
        <v>13</v>
      </c>
      <c r="B68" t="s">
        <v>312</v>
      </c>
      <c r="C68" t="s">
        <v>145</v>
      </c>
      <c r="D68">
        <v>12.9</v>
      </c>
      <c r="E68">
        <v>10.716799999999999</v>
      </c>
      <c r="F68">
        <v>100</v>
      </c>
      <c r="G68">
        <v>141.13650000000001</v>
      </c>
      <c r="H68">
        <v>303.43</v>
      </c>
      <c r="I68" t="s">
        <v>144</v>
      </c>
      <c r="J68">
        <v>0.41799999999999998</v>
      </c>
      <c r="K68">
        <v>1.51</v>
      </c>
      <c r="L68" t="s">
        <v>142</v>
      </c>
      <c r="M68">
        <v>5275</v>
      </c>
    </row>
    <row r="69" spans="1:13" x14ac:dyDescent="0.3">
      <c r="A69">
        <v>14</v>
      </c>
      <c r="B69" t="s">
        <v>313</v>
      </c>
      <c r="C69" t="s">
        <v>145</v>
      </c>
      <c r="D69">
        <v>12.933</v>
      </c>
      <c r="E69">
        <v>13.065799999999999</v>
      </c>
      <c r="F69">
        <v>100</v>
      </c>
      <c r="G69">
        <v>172.0719</v>
      </c>
      <c r="H69">
        <v>368.97</v>
      </c>
      <c r="I69" t="s">
        <v>144</v>
      </c>
      <c r="J69">
        <v>0.41899999999999998</v>
      </c>
      <c r="K69">
        <v>1.39</v>
      </c>
      <c r="L69" t="s">
        <v>142</v>
      </c>
      <c r="M69">
        <v>5291</v>
      </c>
    </row>
    <row r="70" spans="1:13" x14ac:dyDescent="0.3">
      <c r="A70">
        <v>15</v>
      </c>
      <c r="B70" t="s">
        <v>314</v>
      </c>
      <c r="C70" t="s">
        <v>145</v>
      </c>
      <c r="D70">
        <v>12.933</v>
      </c>
      <c r="E70">
        <v>13.650600000000001</v>
      </c>
      <c r="F70">
        <v>100</v>
      </c>
      <c r="G70">
        <v>179.77379999999999</v>
      </c>
      <c r="H70">
        <v>382.22</v>
      </c>
      <c r="I70" t="s">
        <v>144</v>
      </c>
      <c r="J70">
        <v>0.42399999999999999</v>
      </c>
      <c r="K70">
        <v>1.4</v>
      </c>
      <c r="L70" t="s">
        <v>142</v>
      </c>
      <c r="M70">
        <v>5148</v>
      </c>
    </row>
    <row r="71" spans="1:13" x14ac:dyDescent="0.3">
      <c r="A71">
        <v>16</v>
      </c>
      <c r="B71" t="s">
        <v>315</v>
      </c>
      <c r="C71" t="s">
        <v>145</v>
      </c>
      <c r="D71">
        <v>12.933</v>
      </c>
      <c r="E71">
        <v>15.967700000000001</v>
      </c>
      <c r="F71">
        <v>100</v>
      </c>
      <c r="G71">
        <v>210.28919999999999</v>
      </c>
      <c r="H71">
        <v>456.43</v>
      </c>
      <c r="I71" t="s">
        <v>144</v>
      </c>
      <c r="J71">
        <v>0.41599999999999998</v>
      </c>
      <c r="K71">
        <v>1.39</v>
      </c>
      <c r="L71" t="s">
        <v>142</v>
      </c>
      <c r="M71">
        <v>5359</v>
      </c>
    </row>
    <row r="72" spans="1:13" x14ac:dyDescent="0.3">
      <c r="A72">
        <v>17</v>
      </c>
      <c r="B72" t="s">
        <v>316</v>
      </c>
      <c r="C72" t="s">
        <v>145</v>
      </c>
      <c r="D72">
        <v>12.933</v>
      </c>
      <c r="E72">
        <v>16.505600000000001</v>
      </c>
      <c r="F72">
        <v>100</v>
      </c>
      <c r="G72">
        <v>217.37370000000001</v>
      </c>
      <c r="H72">
        <v>478.02</v>
      </c>
      <c r="I72" t="s">
        <v>144</v>
      </c>
      <c r="J72">
        <v>0.41099999999999998</v>
      </c>
      <c r="K72">
        <v>1.38</v>
      </c>
      <c r="L72" t="s">
        <v>142</v>
      </c>
      <c r="M72">
        <v>5491</v>
      </c>
    </row>
    <row r="73" spans="1:13" x14ac:dyDescent="0.3">
      <c r="A73">
        <v>18</v>
      </c>
      <c r="B73" t="s">
        <v>317</v>
      </c>
      <c r="C73" t="s">
        <v>145</v>
      </c>
      <c r="D73">
        <v>12.933</v>
      </c>
      <c r="E73">
        <v>18.7014</v>
      </c>
      <c r="F73">
        <v>100</v>
      </c>
      <c r="G73">
        <v>246.2921</v>
      </c>
      <c r="H73">
        <v>545.55999999999995</v>
      </c>
      <c r="I73" t="s">
        <v>144</v>
      </c>
      <c r="J73">
        <v>0.40699999999999997</v>
      </c>
      <c r="K73">
        <v>1.37</v>
      </c>
      <c r="L73" t="s">
        <v>142</v>
      </c>
      <c r="M73">
        <v>5581</v>
      </c>
    </row>
    <row r="74" spans="1:13" x14ac:dyDescent="0.3">
      <c r="A74">
        <v>19</v>
      </c>
      <c r="B74" t="s">
        <v>318</v>
      </c>
      <c r="C74" t="s">
        <v>145</v>
      </c>
      <c r="D74">
        <v>12.933</v>
      </c>
      <c r="E74">
        <v>19.331800000000001</v>
      </c>
      <c r="F74">
        <v>100</v>
      </c>
      <c r="G74">
        <v>254.5932</v>
      </c>
      <c r="H74">
        <v>565.46</v>
      </c>
      <c r="I74" t="s">
        <v>144</v>
      </c>
      <c r="J74">
        <v>0.40600000000000003</v>
      </c>
      <c r="K74">
        <v>1.36</v>
      </c>
      <c r="L74" t="s">
        <v>142</v>
      </c>
      <c r="M74">
        <v>5610</v>
      </c>
    </row>
    <row r="75" spans="1:13" x14ac:dyDescent="0.3">
      <c r="A75">
        <v>20</v>
      </c>
      <c r="B75" s="81" t="s">
        <v>219</v>
      </c>
      <c r="C75" t="s">
        <v>141</v>
      </c>
      <c r="D75">
        <v>12.933</v>
      </c>
      <c r="E75" s="81">
        <v>0.96120000000000005</v>
      </c>
      <c r="F75">
        <v>100</v>
      </c>
      <c r="G75">
        <v>12.659000000000001</v>
      </c>
      <c r="H75">
        <v>27.43</v>
      </c>
      <c r="I75" t="s">
        <v>144</v>
      </c>
      <c r="J75">
        <v>0.42199999999999999</v>
      </c>
      <c r="K75">
        <v>1.21</v>
      </c>
      <c r="L75" t="s">
        <v>142</v>
      </c>
      <c r="M75">
        <v>5200</v>
      </c>
    </row>
    <row r="76" spans="1:13" x14ac:dyDescent="0.3">
      <c r="A76">
        <v>21</v>
      </c>
      <c r="B76" t="s">
        <v>140</v>
      </c>
      <c r="C76" t="s">
        <v>141</v>
      </c>
      <c r="D76" t="s">
        <v>142</v>
      </c>
      <c r="E76" t="s">
        <v>142</v>
      </c>
      <c r="F76" t="s">
        <v>142</v>
      </c>
      <c r="G76" t="s">
        <v>142</v>
      </c>
      <c r="H76" t="s">
        <v>142</v>
      </c>
      <c r="I76" t="s">
        <v>142</v>
      </c>
      <c r="J76" t="s">
        <v>142</v>
      </c>
      <c r="K76" t="s">
        <v>142</v>
      </c>
      <c r="L76" t="s">
        <v>142</v>
      </c>
      <c r="M76" t="s">
        <v>142</v>
      </c>
    </row>
    <row r="77" spans="1:13" x14ac:dyDescent="0.3">
      <c r="A77" t="s">
        <v>146</v>
      </c>
      <c r="D77">
        <v>12.933</v>
      </c>
      <c r="E77">
        <v>19.331800000000001</v>
      </c>
      <c r="F77">
        <v>100</v>
      </c>
      <c r="G77">
        <v>254.5932</v>
      </c>
      <c r="H77">
        <v>565.46</v>
      </c>
      <c r="J77">
        <v>0.42799999999999999</v>
      </c>
      <c r="K77">
        <v>1.51</v>
      </c>
      <c r="L77">
        <v>0</v>
      </c>
      <c r="M77">
        <v>5610</v>
      </c>
    </row>
    <row r="78" spans="1:13" x14ac:dyDescent="0.3">
      <c r="A78" t="s">
        <v>147</v>
      </c>
      <c r="D78">
        <v>12.907</v>
      </c>
      <c r="E78">
        <v>8.3379999999999992</v>
      </c>
      <c r="F78">
        <v>91.91</v>
      </c>
      <c r="G78">
        <v>109.8086</v>
      </c>
      <c r="H78">
        <v>238.99</v>
      </c>
      <c r="J78">
        <v>0.41899999999999998</v>
      </c>
      <c r="K78">
        <v>1.42</v>
      </c>
      <c r="L78" t="s">
        <v>142</v>
      </c>
      <c r="M78">
        <v>5258</v>
      </c>
    </row>
    <row r="79" spans="1:13" x14ac:dyDescent="0.3">
      <c r="A79" t="s">
        <v>148</v>
      </c>
      <c r="D79">
        <v>12.833</v>
      </c>
      <c r="E79">
        <v>0.77410000000000001</v>
      </c>
      <c r="F79">
        <v>48.62</v>
      </c>
      <c r="G79">
        <v>10.195</v>
      </c>
      <c r="H79">
        <v>27.43</v>
      </c>
      <c r="J79">
        <v>0.40600000000000003</v>
      </c>
      <c r="K79">
        <v>1.21</v>
      </c>
      <c r="L79">
        <v>0</v>
      </c>
      <c r="M79">
        <v>5026</v>
      </c>
    </row>
    <row r="80" spans="1:13" x14ac:dyDescent="0.3">
      <c r="A80" t="s">
        <v>149</v>
      </c>
      <c r="D80">
        <v>2.7E-2</v>
      </c>
      <c r="E80">
        <v>6.5998000000000001</v>
      </c>
      <c r="F80">
        <v>18.63</v>
      </c>
      <c r="G80">
        <v>86.916899999999998</v>
      </c>
      <c r="H80">
        <v>189.92</v>
      </c>
      <c r="J80">
        <v>6.0000000000000001E-3</v>
      </c>
      <c r="K80">
        <v>0.08</v>
      </c>
      <c r="L80" t="s">
        <v>142</v>
      </c>
      <c r="M80">
        <v>172</v>
      </c>
    </row>
    <row r="81" spans="1:13" x14ac:dyDescent="0.3">
      <c r="A81" t="s">
        <v>150</v>
      </c>
      <c r="D81" s="79">
        <v>2.0999999999999999E-3</v>
      </c>
      <c r="E81" s="79">
        <v>0.79149999999999998</v>
      </c>
      <c r="F81" s="79">
        <v>0.20269999999999999</v>
      </c>
      <c r="G81" s="79">
        <v>0.79149999999999998</v>
      </c>
      <c r="H81" s="79">
        <v>0.79469999999999996</v>
      </c>
      <c r="J81" s="79">
        <v>1.52E-2</v>
      </c>
      <c r="K81" s="79">
        <v>5.8099999999999999E-2</v>
      </c>
      <c r="L81" t="s">
        <v>142</v>
      </c>
      <c r="M81" s="79">
        <v>3.2800000000000003E-2</v>
      </c>
    </row>
    <row r="104" spans="4:13" x14ac:dyDescent="0.3">
      <c r="D104" s="79"/>
      <c r="E104" s="79"/>
      <c r="F104" s="79"/>
      <c r="G104" s="79"/>
      <c r="H104" s="79"/>
      <c r="J104" s="79"/>
      <c r="K104" s="79"/>
      <c r="M104" s="7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689C-B5A1-4CC8-A659-77C382125951}">
  <dimension ref="A1:M45"/>
  <sheetViews>
    <sheetView zoomScale="50" zoomScaleNormal="50" workbookViewId="0">
      <selection activeCell="Q25" sqref="Q25"/>
    </sheetView>
  </sheetViews>
  <sheetFormatPr baseColWidth="10" defaultColWidth="8.77734375" defaultRowHeight="14.4" x14ac:dyDescent="0.3"/>
  <cols>
    <col min="2" max="3" width="14.77734375" bestFit="1" customWidth="1"/>
  </cols>
  <sheetData>
    <row r="1" spans="1:13" x14ac:dyDescent="0.3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120</v>
      </c>
      <c r="J1" t="s">
        <v>126</v>
      </c>
      <c r="K1" t="s">
        <v>127</v>
      </c>
      <c r="L1" t="s">
        <v>128</v>
      </c>
      <c r="M1" t="s">
        <v>129</v>
      </c>
    </row>
    <row r="2" spans="1:13" x14ac:dyDescent="0.3">
      <c r="A2" t="s">
        <v>130</v>
      </c>
      <c r="B2" t="s">
        <v>131</v>
      </c>
      <c r="D2" t="s">
        <v>132</v>
      </c>
      <c r="E2" t="s">
        <v>133</v>
      </c>
      <c r="F2" t="s">
        <v>134</v>
      </c>
      <c r="G2" t="s">
        <v>152</v>
      </c>
      <c r="H2" t="s">
        <v>153</v>
      </c>
      <c r="J2" t="s">
        <v>132</v>
      </c>
      <c r="K2" t="s">
        <v>137</v>
      </c>
      <c r="L2" t="s">
        <v>137</v>
      </c>
      <c r="M2" t="s">
        <v>137</v>
      </c>
    </row>
    <row r="3" spans="1:13" x14ac:dyDescent="0.3">
      <c r="D3" s="82" t="s">
        <v>154</v>
      </c>
      <c r="E3" s="82" t="s">
        <v>154</v>
      </c>
      <c r="F3" s="82" t="s">
        <v>154</v>
      </c>
      <c r="G3" s="82" t="s">
        <v>154</v>
      </c>
      <c r="H3" s="82" t="s">
        <v>154</v>
      </c>
      <c r="I3" s="82" t="s">
        <v>154</v>
      </c>
      <c r="J3" s="82" t="s">
        <v>154</v>
      </c>
      <c r="K3" s="82" t="s">
        <v>154</v>
      </c>
      <c r="L3" s="82" t="s">
        <v>154</v>
      </c>
      <c r="M3" s="82" t="s">
        <v>154</v>
      </c>
    </row>
    <row r="4" spans="1:13" x14ac:dyDescent="0.3">
      <c r="D4" s="61" t="s">
        <v>139</v>
      </c>
      <c r="E4" s="61" t="s">
        <v>139</v>
      </c>
      <c r="F4" s="61" t="s">
        <v>139</v>
      </c>
      <c r="G4" s="61" t="s">
        <v>139</v>
      </c>
      <c r="H4" s="61" t="s">
        <v>139</v>
      </c>
      <c r="I4" s="61" t="s">
        <v>139</v>
      </c>
      <c r="J4" s="61" t="s">
        <v>139</v>
      </c>
      <c r="K4" s="61" t="s">
        <v>139</v>
      </c>
      <c r="L4" s="61" t="s">
        <v>139</v>
      </c>
      <c r="M4" s="61" t="s">
        <v>139</v>
      </c>
    </row>
    <row r="5" spans="1:13" x14ac:dyDescent="0.3">
      <c r="A5">
        <v>1</v>
      </c>
      <c r="B5" t="s">
        <v>140</v>
      </c>
      <c r="C5" t="s">
        <v>141</v>
      </c>
      <c r="D5" t="s">
        <v>142</v>
      </c>
      <c r="E5" t="s">
        <v>142</v>
      </c>
      <c r="F5" t="s">
        <v>142</v>
      </c>
      <c r="G5" t="s">
        <v>142</v>
      </c>
      <c r="H5" t="s">
        <v>142</v>
      </c>
      <c r="I5" t="s">
        <v>142</v>
      </c>
      <c r="J5" t="s">
        <v>142</v>
      </c>
      <c r="K5" t="s">
        <v>142</v>
      </c>
      <c r="L5" t="s">
        <v>142</v>
      </c>
      <c r="M5" t="s">
        <v>142</v>
      </c>
    </row>
    <row r="6" spans="1:13" x14ac:dyDescent="0.3">
      <c r="A6">
        <v>2</v>
      </c>
      <c r="B6" s="81" t="s">
        <v>143</v>
      </c>
      <c r="C6" t="s">
        <v>141</v>
      </c>
      <c r="D6">
        <v>13.708</v>
      </c>
      <c r="E6" s="81">
        <v>4.8122999999999996</v>
      </c>
      <c r="F6">
        <v>100</v>
      </c>
      <c r="G6">
        <v>46.142400000000002</v>
      </c>
      <c r="H6">
        <v>101.43</v>
      </c>
      <c r="I6" t="s">
        <v>144</v>
      </c>
      <c r="J6">
        <v>0.40699999999999997</v>
      </c>
      <c r="K6">
        <v>1.2</v>
      </c>
      <c r="L6" t="s">
        <v>142</v>
      </c>
      <c r="M6">
        <v>6270</v>
      </c>
    </row>
    <row r="7" spans="1:13" x14ac:dyDescent="0.3">
      <c r="A7">
        <v>3</v>
      </c>
      <c r="B7" s="153" t="s">
        <v>228</v>
      </c>
      <c r="C7" s="154" t="s">
        <v>145</v>
      </c>
      <c r="D7" s="154">
        <v>13.724</v>
      </c>
      <c r="E7" s="215">
        <f>2.0168*(5/E6)</f>
        <v>2.095463707582653</v>
      </c>
      <c r="F7" s="154">
        <v>100</v>
      </c>
      <c r="G7" s="154">
        <v>19.338000000000001</v>
      </c>
      <c r="H7" s="154">
        <v>40.520000000000003</v>
      </c>
      <c r="I7" s="154" t="s">
        <v>144</v>
      </c>
      <c r="J7" s="154">
        <v>0.42199999999999999</v>
      </c>
      <c r="K7" s="154">
        <v>1.2</v>
      </c>
      <c r="L7" s="154" t="s">
        <v>142</v>
      </c>
      <c r="M7" s="155">
        <v>5865</v>
      </c>
    </row>
    <row r="8" spans="1:13" x14ac:dyDescent="0.3">
      <c r="A8">
        <v>4</v>
      </c>
      <c r="B8" s="18" t="s">
        <v>229</v>
      </c>
      <c r="C8" t="s">
        <v>145</v>
      </c>
      <c r="D8">
        <v>13.733000000000001</v>
      </c>
      <c r="E8" s="216">
        <f>2.1895*(5/E6)</f>
        <v>2.2748997360929284</v>
      </c>
      <c r="F8">
        <v>100</v>
      </c>
      <c r="G8">
        <v>20.993400000000001</v>
      </c>
      <c r="H8">
        <v>43.32</v>
      </c>
      <c r="I8" t="s">
        <v>144</v>
      </c>
      <c r="J8">
        <v>0.43</v>
      </c>
      <c r="K8">
        <v>1.17</v>
      </c>
      <c r="L8" t="s">
        <v>142</v>
      </c>
      <c r="M8" s="156">
        <v>5652</v>
      </c>
    </row>
    <row r="9" spans="1:13" x14ac:dyDescent="0.3">
      <c r="A9">
        <v>5</v>
      </c>
      <c r="B9" s="18" t="s">
        <v>230</v>
      </c>
      <c r="C9" t="s">
        <v>145</v>
      </c>
      <c r="D9">
        <v>13.733000000000001</v>
      </c>
      <c r="E9" s="216">
        <f>2.2631*(5/E6)</f>
        <v>2.3513704465640135</v>
      </c>
      <c r="F9">
        <v>100</v>
      </c>
      <c r="G9">
        <v>21.6995</v>
      </c>
      <c r="H9">
        <v>44.07</v>
      </c>
      <c r="I9" t="s">
        <v>144</v>
      </c>
      <c r="J9">
        <v>0.438</v>
      </c>
      <c r="K9">
        <v>1.18</v>
      </c>
      <c r="L9" t="s">
        <v>142</v>
      </c>
      <c r="M9" s="156">
        <v>5457</v>
      </c>
    </row>
    <row r="10" spans="1:13" x14ac:dyDescent="0.3">
      <c r="A10">
        <v>6</v>
      </c>
      <c r="B10" s="157" t="s">
        <v>220</v>
      </c>
      <c r="C10" s="158" t="s">
        <v>145</v>
      </c>
      <c r="D10" s="158">
        <v>13.733000000000001</v>
      </c>
      <c r="E10" s="217">
        <v>2.5474000000000001</v>
      </c>
      <c r="F10" s="158">
        <v>100</v>
      </c>
      <c r="G10" s="158">
        <v>24.425000000000001</v>
      </c>
      <c r="H10" s="158">
        <v>49.97</v>
      </c>
      <c r="I10" s="158" t="s">
        <v>144</v>
      </c>
      <c r="J10" s="158">
        <v>0.443</v>
      </c>
      <c r="K10" s="158">
        <v>1.1100000000000001</v>
      </c>
      <c r="L10" s="158" t="s">
        <v>142</v>
      </c>
      <c r="M10" s="49">
        <v>5329</v>
      </c>
    </row>
    <row r="11" spans="1:13" x14ac:dyDescent="0.3">
      <c r="A11">
        <v>7</v>
      </c>
      <c r="B11" t="s">
        <v>231</v>
      </c>
      <c r="C11" t="s">
        <v>145</v>
      </c>
      <c r="D11">
        <v>13.741</v>
      </c>
      <c r="E11">
        <f>4.3091*(5/E6)</f>
        <v>4.4771730773226945</v>
      </c>
      <c r="F11">
        <v>100</v>
      </c>
      <c r="G11">
        <v>41.316899999999997</v>
      </c>
      <c r="H11">
        <v>82.43</v>
      </c>
      <c r="I11" t="s">
        <v>144</v>
      </c>
      <c r="J11">
        <v>0.45200000000000001</v>
      </c>
      <c r="K11">
        <v>1.1200000000000001</v>
      </c>
      <c r="L11" t="s">
        <v>142</v>
      </c>
      <c r="M11">
        <v>5128</v>
      </c>
    </row>
    <row r="12" spans="1:13" x14ac:dyDescent="0.3">
      <c r="A12">
        <v>8</v>
      </c>
      <c r="B12" t="s">
        <v>232</v>
      </c>
      <c r="C12" t="s">
        <v>145</v>
      </c>
      <c r="D12">
        <v>13.741</v>
      </c>
      <c r="E12">
        <f>4.2568*(5/E6)</f>
        <v>4.4228331567026169</v>
      </c>
      <c r="F12">
        <v>100</v>
      </c>
      <c r="G12">
        <v>40.815899999999999</v>
      </c>
      <c r="H12">
        <v>80.2</v>
      </c>
      <c r="I12" t="s">
        <v>144</v>
      </c>
      <c r="J12">
        <v>0.46</v>
      </c>
      <c r="K12">
        <v>1.1200000000000001</v>
      </c>
      <c r="L12" t="s">
        <v>142</v>
      </c>
      <c r="M12">
        <v>4933</v>
      </c>
    </row>
    <row r="13" spans="1:13" x14ac:dyDescent="0.3">
      <c r="A13">
        <v>9</v>
      </c>
      <c r="B13" t="s">
        <v>233</v>
      </c>
      <c r="C13" t="s">
        <v>145</v>
      </c>
      <c r="D13">
        <v>13.741</v>
      </c>
      <c r="E13">
        <f>4.8239*(5/E6)</f>
        <v>5.012052448932943</v>
      </c>
      <c r="F13">
        <v>100</v>
      </c>
      <c r="G13">
        <v>46.253399999999999</v>
      </c>
      <c r="H13">
        <v>89.81</v>
      </c>
      <c r="I13" t="s">
        <v>144</v>
      </c>
      <c r="J13">
        <v>0.46800000000000003</v>
      </c>
      <c r="K13">
        <v>1.1200000000000001</v>
      </c>
      <c r="L13" t="s">
        <v>142</v>
      </c>
      <c r="M13">
        <v>4772</v>
      </c>
    </row>
    <row r="14" spans="1:13" x14ac:dyDescent="0.3">
      <c r="A14">
        <v>10</v>
      </c>
      <c r="B14" t="s">
        <v>221</v>
      </c>
      <c r="C14" t="s">
        <v>145</v>
      </c>
      <c r="D14">
        <v>13.733000000000001</v>
      </c>
      <c r="E14">
        <v>4.8936999999999999</v>
      </c>
      <c r="F14">
        <v>100</v>
      </c>
      <c r="G14">
        <v>46.922800000000002</v>
      </c>
      <c r="H14">
        <v>96.35</v>
      </c>
      <c r="I14" t="s">
        <v>144</v>
      </c>
      <c r="J14">
        <v>0.44400000000000001</v>
      </c>
      <c r="K14">
        <v>1.1000000000000001</v>
      </c>
      <c r="L14" t="s">
        <v>142</v>
      </c>
      <c r="M14">
        <v>5308</v>
      </c>
    </row>
    <row r="15" spans="1:13" x14ac:dyDescent="0.3">
      <c r="A15">
        <v>11</v>
      </c>
      <c r="B15" t="s">
        <v>234</v>
      </c>
      <c r="C15" t="s">
        <v>145</v>
      </c>
      <c r="D15">
        <v>13.749000000000001</v>
      </c>
      <c r="E15">
        <f>6.8604*(5/E6)</f>
        <v>7.1279845396172323</v>
      </c>
      <c r="F15">
        <v>100</v>
      </c>
      <c r="G15">
        <v>65.779600000000002</v>
      </c>
      <c r="H15">
        <v>125.91</v>
      </c>
      <c r="I15" t="s">
        <v>144</v>
      </c>
      <c r="J15">
        <v>0.47899999999999998</v>
      </c>
      <c r="K15">
        <v>1.06</v>
      </c>
      <c r="L15" t="s">
        <v>142</v>
      </c>
      <c r="M15">
        <v>4559</v>
      </c>
    </row>
    <row r="16" spans="1:13" x14ac:dyDescent="0.3">
      <c r="A16">
        <v>12</v>
      </c>
      <c r="B16" t="s">
        <v>237</v>
      </c>
      <c r="C16" t="s">
        <v>145</v>
      </c>
      <c r="D16">
        <v>13.749000000000001</v>
      </c>
      <c r="E16">
        <f>6.9705*(5/E6)</f>
        <v>7.2423789040583513</v>
      </c>
      <c r="F16">
        <v>100</v>
      </c>
      <c r="G16">
        <v>66.835700000000003</v>
      </c>
      <c r="H16">
        <v>126.59</v>
      </c>
      <c r="I16" t="s">
        <v>144</v>
      </c>
      <c r="J16">
        <v>0.48599999999999999</v>
      </c>
      <c r="K16">
        <v>1.06</v>
      </c>
      <c r="L16" t="s">
        <v>142</v>
      </c>
      <c r="M16">
        <v>4428</v>
      </c>
    </row>
    <row r="17" spans="1:13" x14ac:dyDescent="0.3">
      <c r="A17">
        <v>13</v>
      </c>
      <c r="B17" t="s">
        <v>238</v>
      </c>
      <c r="C17" t="s">
        <v>145</v>
      </c>
      <c r="D17">
        <v>13.749000000000001</v>
      </c>
      <c r="E17">
        <f>7.5263*(5/E6)</f>
        <v>7.8198574486212422</v>
      </c>
      <c r="F17">
        <v>100</v>
      </c>
      <c r="G17">
        <v>72.164900000000003</v>
      </c>
      <c r="H17">
        <v>135.5</v>
      </c>
      <c r="I17" t="s">
        <v>144</v>
      </c>
      <c r="J17">
        <v>0.49199999999999999</v>
      </c>
      <c r="K17">
        <v>1.06</v>
      </c>
      <c r="L17" t="s">
        <v>142</v>
      </c>
      <c r="M17">
        <v>4326</v>
      </c>
    </row>
    <row r="18" spans="1:13" x14ac:dyDescent="0.3">
      <c r="A18">
        <v>14</v>
      </c>
      <c r="B18" t="s">
        <v>222</v>
      </c>
      <c r="C18" t="s">
        <v>145</v>
      </c>
      <c r="D18">
        <v>13.733000000000001</v>
      </c>
      <c r="E18">
        <v>7.4096000000000002</v>
      </c>
      <c r="F18">
        <v>100</v>
      </c>
      <c r="G18">
        <v>71.046000000000006</v>
      </c>
      <c r="H18">
        <v>145.68</v>
      </c>
      <c r="I18" t="s">
        <v>144</v>
      </c>
      <c r="J18">
        <v>0.44800000000000001</v>
      </c>
      <c r="K18">
        <v>1.07</v>
      </c>
      <c r="L18" t="s">
        <v>142</v>
      </c>
      <c r="M18">
        <v>5205</v>
      </c>
    </row>
    <row r="19" spans="1:13" x14ac:dyDescent="0.3">
      <c r="A19">
        <v>15</v>
      </c>
      <c r="B19" t="s">
        <v>239</v>
      </c>
      <c r="C19" t="s">
        <v>145</v>
      </c>
      <c r="D19">
        <v>13.741</v>
      </c>
      <c r="E19">
        <f>9.1996*(5/E6)</f>
        <v>9.5584232071982225</v>
      </c>
      <c r="F19">
        <v>100</v>
      </c>
      <c r="G19">
        <v>88.208699999999993</v>
      </c>
      <c r="H19">
        <v>171.53</v>
      </c>
      <c r="I19" t="s">
        <v>144</v>
      </c>
      <c r="J19">
        <v>0.47</v>
      </c>
      <c r="K19">
        <v>1.07</v>
      </c>
      <c r="L19" t="s">
        <v>142</v>
      </c>
      <c r="M19">
        <v>4742</v>
      </c>
    </row>
    <row r="20" spans="1:13" x14ac:dyDescent="0.3">
      <c r="A20">
        <v>16</v>
      </c>
      <c r="B20" t="s">
        <v>241</v>
      </c>
      <c r="C20" t="s">
        <v>145</v>
      </c>
      <c r="D20">
        <v>13.741</v>
      </c>
      <c r="E20">
        <f>9.5243*(5/E6)</f>
        <v>9.8957878768987815</v>
      </c>
      <c r="F20">
        <v>100</v>
      </c>
      <c r="G20">
        <v>91.322699999999998</v>
      </c>
      <c r="H20">
        <v>177.14</v>
      </c>
      <c r="I20" t="s">
        <v>144</v>
      </c>
      <c r="J20">
        <v>0.47199999999999998</v>
      </c>
      <c r="K20">
        <v>1.07</v>
      </c>
      <c r="L20" t="s">
        <v>142</v>
      </c>
      <c r="M20">
        <v>4701</v>
      </c>
    </row>
    <row r="21" spans="1:13" x14ac:dyDescent="0.3">
      <c r="A21">
        <v>17</v>
      </c>
      <c r="B21" t="s">
        <v>242</v>
      </c>
      <c r="C21" t="s">
        <v>145</v>
      </c>
      <c r="D21">
        <v>13.741</v>
      </c>
      <c r="E21">
        <f>10.1252*(5/E6)</f>
        <v>10.520125511709578</v>
      </c>
      <c r="F21">
        <v>100</v>
      </c>
      <c r="G21">
        <v>97.0839</v>
      </c>
      <c r="H21">
        <v>187.64</v>
      </c>
      <c r="I21" t="s">
        <v>144</v>
      </c>
      <c r="J21">
        <v>0.47399999999999998</v>
      </c>
      <c r="K21">
        <v>1.07</v>
      </c>
      <c r="L21" t="s">
        <v>142</v>
      </c>
      <c r="M21">
        <v>4654</v>
      </c>
    </row>
    <row r="22" spans="1:13" x14ac:dyDescent="0.3">
      <c r="A22">
        <v>18</v>
      </c>
      <c r="B22" t="s">
        <v>223</v>
      </c>
      <c r="C22" t="s">
        <v>145</v>
      </c>
      <c r="D22">
        <v>13.733000000000001</v>
      </c>
      <c r="E22">
        <v>9.8161000000000005</v>
      </c>
      <c r="F22">
        <v>100</v>
      </c>
      <c r="G22">
        <v>94.120599999999996</v>
      </c>
      <c r="H22">
        <v>190.42</v>
      </c>
      <c r="I22" t="s">
        <v>144</v>
      </c>
      <c r="J22">
        <v>0.45700000000000002</v>
      </c>
      <c r="K22">
        <v>1.06</v>
      </c>
      <c r="L22" t="s">
        <v>142</v>
      </c>
      <c r="M22">
        <v>5003</v>
      </c>
    </row>
    <row r="23" spans="1:13" x14ac:dyDescent="0.3">
      <c r="A23">
        <v>19</v>
      </c>
      <c r="B23" t="s">
        <v>240</v>
      </c>
      <c r="C23" t="s">
        <v>145</v>
      </c>
      <c r="D23">
        <v>13.741</v>
      </c>
      <c r="E23">
        <f>11.452*(5/E6)</f>
        <v>11.898676308625815</v>
      </c>
      <c r="F23">
        <v>100</v>
      </c>
      <c r="G23">
        <v>109.8057</v>
      </c>
      <c r="H23">
        <v>208.58</v>
      </c>
      <c r="I23" t="s">
        <v>144</v>
      </c>
      <c r="J23">
        <v>0.48499999999999999</v>
      </c>
      <c r="K23">
        <v>1.07</v>
      </c>
      <c r="L23" t="s">
        <v>142</v>
      </c>
      <c r="M23">
        <v>4453</v>
      </c>
    </row>
    <row r="24" spans="1:13" x14ac:dyDescent="0.3">
      <c r="A24">
        <v>20</v>
      </c>
      <c r="B24" t="s">
        <v>243</v>
      </c>
      <c r="C24" t="s">
        <v>145</v>
      </c>
      <c r="D24">
        <v>13.733000000000001</v>
      </c>
      <c r="E24">
        <f>11.7584*(5/E6)</f>
        <v>12.217027201130438</v>
      </c>
      <c r="F24">
        <v>100</v>
      </c>
      <c r="G24">
        <v>112.7432</v>
      </c>
      <c r="H24">
        <v>212.65</v>
      </c>
      <c r="I24" t="s">
        <v>144</v>
      </c>
      <c r="J24">
        <v>0.48899999999999999</v>
      </c>
      <c r="K24">
        <v>1.08</v>
      </c>
      <c r="L24" t="s">
        <v>142</v>
      </c>
      <c r="M24">
        <v>4362</v>
      </c>
    </row>
    <row r="25" spans="1:13" x14ac:dyDescent="0.3">
      <c r="A25">
        <v>21</v>
      </c>
      <c r="B25" t="s">
        <v>244</v>
      </c>
      <c r="C25" t="s">
        <v>145</v>
      </c>
      <c r="D25">
        <v>13.741</v>
      </c>
      <c r="E25">
        <f>12.6519*(5/E6)</f>
        <v>13.14537747023253</v>
      </c>
      <c r="F25">
        <v>100</v>
      </c>
      <c r="G25">
        <v>121.3107</v>
      </c>
      <c r="H25">
        <v>226.76</v>
      </c>
      <c r="I25" t="s">
        <v>144</v>
      </c>
      <c r="J25">
        <v>0.495</v>
      </c>
      <c r="K25">
        <v>1.07</v>
      </c>
      <c r="L25" t="s">
        <v>142</v>
      </c>
      <c r="M25">
        <v>4266</v>
      </c>
    </row>
    <row r="26" spans="1:13" x14ac:dyDescent="0.3">
      <c r="A26">
        <v>22</v>
      </c>
      <c r="B26" t="s">
        <v>224</v>
      </c>
      <c r="C26" t="s">
        <v>145</v>
      </c>
      <c r="D26">
        <v>13.733000000000001</v>
      </c>
      <c r="E26">
        <v>12.096500000000001</v>
      </c>
      <c r="F26">
        <v>100</v>
      </c>
      <c r="G26">
        <v>115.9855</v>
      </c>
      <c r="H26">
        <v>226.71</v>
      </c>
      <c r="I26" t="s">
        <v>144</v>
      </c>
      <c r="J26">
        <v>0.47699999999999998</v>
      </c>
      <c r="K26">
        <v>1.04</v>
      </c>
      <c r="L26" t="s">
        <v>142</v>
      </c>
      <c r="M26">
        <v>4598</v>
      </c>
    </row>
    <row r="27" spans="1:13" x14ac:dyDescent="0.3">
      <c r="A27">
        <v>23</v>
      </c>
      <c r="B27" t="s">
        <v>245</v>
      </c>
      <c r="C27" t="s">
        <v>145</v>
      </c>
      <c r="D27">
        <v>13.733000000000001</v>
      </c>
      <c r="E27">
        <f>13.4291*(5/E6)</f>
        <v>13.952891548739689</v>
      </c>
      <c r="F27">
        <v>100</v>
      </c>
      <c r="G27">
        <v>128.76259999999999</v>
      </c>
      <c r="H27">
        <v>235.04</v>
      </c>
      <c r="I27" t="s">
        <v>144</v>
      </c>
      <c r="J27">
        <v>0.50900000000000001</v>
      </c>
      <c r="K27">
        <v>1.08</v>
      </c>
      <c r="L27" t="s">
        <v>142</v>
      </c>
      <c r="M27">
        <v>4026</v>
      </c>
    </row>
    <row r="28" spans="1:13" x14ac:dyDescent="0.3">
      <c r="A28">
        <v>24</v>
      </c>
      <c r="B28" t="s">
        <v>246</v>
      </c>
      <c r="C28" t="s">
        <v>145</v>
      </c>
      <c r="D28">
        <v>13.733000000000001</v>
      </c>
      <c r="E28">
        <f>13.9937*(5/E6)</f>
        <v>14.539513330424123</v>
      </c>
      <c r="F28">
        <v>100</v>
      </c>
      <c r="G28">
        <v>134.17609999999999</v>
      </c>
      <c r="H28">
        <v>243.36</v>
      </c>
      <c r="I28" t="s">
        <v>144</v>
      </c>
      <c r="J28">
        <v>0.51400000000000001</v>
      </c>
      <c r="K28">
        <v>1.08</v>
      </c>
      <c r="L28" t="s">
        <v>142</v>
      </c>
      <c r="M28">
        <v>3952</v>
      </c>
    </row>
    <row r="29" spans="1:13" x14ac:dyDescent="0.3">
      <c r="A29">
        <v>25</v>
      </c>
      <c r="B29" t="s">
        <v>247</v>
      </c>
      <c r="C29" t="s">
        <v>145</v>
      </c>
      <c r="D29">
        <v>13.733000000000001</v>
      </c>
      <c r="E29">
        <f>14.8973*(5/E6)</f>
        <v>15.478357542131622</v>
      </c>
      <c r="F29">
        <v>100</v>
      </c>
      <c r="G29">
        <v>142.84010000000001</v>
      </c>
      <c r="H29">
        <v>255.45</v>
      </c>
      <c r="I29" t="s">
        <v>144</v>
      </c>
      <c r="J29">
        <v>0.52300000000000002</v>
      </c>
      <c r="K29">
        <v>1.08</v>
      </c>
      <c r="L29" t="s">
        <v>142</v>
      </c>
      <c r="M29">
        <v>3816</v>
      </c>
    </row>
    <row r="30" spans="1:13" x14ac:dyDescent="0.3">
      <c r="A30">
        <v>26</v>
      </c>
      <c r="B30" t="s">
        <v>225</v>
      </c>
      <c r="C30" t="s">
        <v>145</v>
      </c>
      <c r="D30">
        <v>13.733000000000001</v>
      </c>
      <c r="E30">
        <v>13.888</v>
      </c>
      <c r="F30">
        <v>100</v>
      </c>
      <c r="G30">
        <v>133.1628</v>
      </c>
      <c r="H30">
        <v>242.03</v>
      </c>
      <c r="I30" t="s">
        <v>144</v>
      </c>
      <c r="J30">
        <v>0.51900000000000002</v>
      </c>
      <c r="K30">
        <v>1.01</v>
      </c>
      <c r="L30" t="s">
        <v>142</v>
      </c>
      <c r="M30">
        <v>3885</v>
      </c>
    </row>
    <row r="31" spans="1:13" x14ac:dyDescent="0.3">
      <c r="A31">
        <v>27</v>
      </c>
      <c r="B31" t="s">
        <v>235</v>
      </c>
      <c r="C31" t="s">
        <v>145</v>
      </c>
      <c r="D31">
        <v>13.733000000000001</v>
      </c>
      <c r="E31">
        <f>15.3092*(5/E6)</f>
        <v>15.906323379672925</v>
      </c>
      <c r="F31">
        <v>100</v>
      </c>
      <c r="G31">
        <v>146.7902</v>
      </c>
      <c r="H31">
        <v>257.05</v>
      </c>
      <c r="I31" t="s">
        <v>144</v>
      </c>
      <c r="J31">
        <v>0.53700000000000003</v>
      </c>
      <c r="K31">
        <v>1.07</v>
      </c>
      <c r="L31" t="s">
        <v>142</v>
      </c>
      <c r="M31">
        <v>3621</v>
      </c>
    </row>
    <row r="32" spans="1:13" x14ac:dyDescent="0.3">
      <c r="A32">
        <v>28</v>
      </c>
      <c r="B32" t="s">
        <v>248</v>
      </c>
      <c r="C32" t="s">
        <v>145</v>
      </c>
      <c r="D32">
        <v>13.733000000000001</v>
      </c>
      <c r="E32">
        <f>16.1174*(5/E6)</f>
        <v>16.746046588949152</v>
      </c>
      <c r="F32">
        <v>100</v>
      </c>
      <c r="G32">
        <v>154.53880000000001</v>
      </c>
      <c r="H32">
        <v>269.08999999999997</v>
      </c>
      <c r="I32" t="s">
        <v>144</v>
      </c>
      <c r="J32">
        <v>0.54200000000000004</v>
      </c>
      <c r="K32">
        <v>1.07</v>
      </c>
      <c r="L32" t="s">
        <v>142</v>
      </c>
      <c r="M32">
        <v>3562</v>
      </c>
    </row>
    <row r="33" spans="1:13" x14ac:dyDescent="0.3">
      <c r="A33">
        <v>29</v>
      </c>
      <c r="B33" t="s">
        <v>249</v>
      </c>
      <c r="C33" t="s">
        <v>145</v>
      </c>
      <c r="D33">
        <v>13.733000000000001</v>
      </c>
      <c r="E33">
        <f>16.9573*(5/E6)</f>
        <v>17.618706231947304</v>
      </c>
      <c r="F33">
        <v>100</v>
      </c>
      <c r="G33">
        <v>162.5925</v>
      </c>
      <c r="H33">
        <v>279.54000000000002</v>
      </c>
      <c r="I33" t="s">
        <v>144</v>
      </c>
      <c r="J33">
        <v>0.55000000000000004</v>
      </c>
      <c r="K33">
        <v>1.08</v>
      </c>
      <c r="L33" t="s">
        <v>142</v>
      </c>
      <c r="M33">
        <v>3459</v>
      </c>
    </row>
    <row r="34" spans="1:13" x14ac:dyDescent="0.3">
      <c r="A34">
        <v>30</v>
      </c>
      <c r="B34" t="s">
        <v>226</v>
      </c>
      <c r="C34" t="s">
        <v>145</v>
      </c>
      <c r="D34">
        <v>13.741</v>
      </c>
      <c r="E34">
        <v>15.742000000000001</v>
      </c>
      <c r="F34">
        <v>100</v>
      </c>
      <c r="G34">
        <v>150.94</v>
      </c>
      <c r="H34">
        <v>238.4</v>
      </c>
      <c r="I34" t="s">
        <v>144</v>
      </c>
      <c r="J34">
        <v>0.61499999999999999</v>
      </c>
      <c r="K34">
        <v>0.97</v>
      </c>
      <c r="L34" t="s">
        <v>142</v>
      </c>
      <c r="M34">
        <v>2767</v>
      </c>
    </row>
    <row r="35" spans="1:13" x14ac:dyDescent="0.3">
      <c r="A35">
        <v>31</v>
      </c>
      <c r="B35" t="s">
        <v>236</v>
      </c>
      <c r="C35" t="s">
        <v>145</v>
      </c>
      <c r="D35">
        <v>13.733000000000001</v>
      </c>
      <c r="E35">
        <f>17.32*(5/E6)</f>
        <v>17.995553061945433</v>
      </c>
      <c r="F35">
        <v>100</v>
      </c>
      <c r="G35">
        <v>166.0702</v>
      </c>
      <c r="H35">
        <v>281.77</v>
      </c>
      <c r="I35" t="s">
        <v>144</v>
      </c>
      <c r="J35">
        <v>0.56100000000000005</v>
      </c>
      <c r="K35">
        <v>1.07</v>
      </c>
      <c r="L35" t="s">
        <v>142</v>
      </c>
      <c r="M35">
        <v>3324</v>
      </c>
    </row>
    <row r="36" spans="1:13" x14ac:dyDescent="0.3">
      <c r="A36">
        <v>32</v>
      </c>
      <c r="B36" t="s">
        <v>251</v>
      </c>
      <c r="C36" t="s">
        <v>145</v>
      </c>
      <c r="D36">
        <v>13.733000000000001</v>
      </c>
      <c r="E36">
        <f>18.0124*(5/E6)</f>
        <v>18.714959582735908</v>
      </c>
      <c r="F36">
        <v>100</v>
      </c>
      <c r="G36">
        <v>172.70910000000001</v>
      </c>
      <c r="H36">
        <v>289.86</v>
      </c>
      <c r="I36" t="s">
        <v>144</v>
      </c>
      <c r="J36">
        <v>0.56799999999999995</v>
      </c>
      <c r="K36">
        <v>1.07</v>
      </c>
      <c r="L36" t="s">
        <v>142</v>
      </c>
      <c r="M36">
        <v>3236</v>
      </c>
    </row>
    <row r="37" spans="1:13" x14ac:dyDescent="0.3">
      <c r="A37">
        <v>33</v>
      </c>
      <c r="B37" t="s">
        <v>250</v>
      </c>
      <c r="C37" t="s">
        <v>145</v>
      </c>
      <c r="D37">
        <v>13.741</v>
      </c>
      <c r="E37">
        <f>18.9595*(5/E6)</f>
        <v>19.69900047794194</v>
      </c>
      <c r="F37">
        <v>100</v>
      </c>
      <c r="G37">
        <v>181.79069999999999</v>
      </c>
      <c r="H37">
        <v>301.39</v>
      </c>
      <c r="I37" t="s">
        <v>144</v>
      </c>
      <c r="J37">
        <v>0.57699999999999996</v>
      </c>
      <c r="K37">
        <v>1.06</v>
      </c>
      <c r="L37" t="s">
        <v>142</v>
      </c>
      <c r="M37">
        <v>3139</v>
      </c>
    </row>
    <row r="38" spans="1:13" x14ac:dyDescent="0.3">
      <c r="A38">
        <v>34</v>
      </c>
      <c r="B38" t="s">
        <v>227</v>
      </c>
      <c r="C38" t="s">
        <v>145</v>
      </c>
      <c r="D38">
        <v>13.773999999999999</v>
      </c>
      <c r="E38">
        <v>17.5595</v>
      </c>
      <c r="F38">
        <v>100</v>
      </c>
      <c r="G38">
        <v>168.36609999999999</v>
      </c>
      <c r="H38">
        <v>246.86</v>
      </c>
      <c r="I38" t="s">
        <v>144</v>
      </c>
      <c r="J38">
        <v>0.67700000000000005</v>
      </c>
      <c r="K38">
        <v>0.91</v>
      </c>
      <c r="L38" t="s">
        <v>142</v>
      </c>
      <c r="M38">
        <v>2293</v>
      </c>
    </row>
    <row r="39" spans="1:13" x14ac:dyDescent="0.3">
      <c r="A39">
        <v>35</v>
      </c>
      <c r="B39" t="s">
        <v>140</v>
      </c>
      <c r="C39" t="s">
        <v>141</v>
      </c>
      <c r="D39" t="s">
        <v>142</v>
      </c>
      <c r="E39" t="s">
        <v>142</v>
      </c>
      <c r="F39" t="s">
        <v>142</v>
      </c>
      <c r="G39" t="s">
        <v>142</v>
      </c>
      <c r="H39" t="s">
        <v>142</v>
      </c>
      <c r="I39" t="s">
        <v>142</v>
      </c>
      <c r="J39" t="s">
        <v>142</v>
      </c>
      <c r="K39" t="s">
        <v>142</v>
      </c>
      <c r="L39" t="s">
        <v>142</v>
      </c>
      <c r="M39" t="s">
        <v>142</v>
      </c>
    </row>
    <row r="40" spans="1:13" x14ac:dyDescent="0.3">
      <c r="A40">
        <v>36</v>
      </c>
      <c r="B40" s="81" t="s">
        <v>143</v>
      </c>
      <c r="C40" t="s">
        <v>141</v>
      </c>
      <c r="D40">
        <v>13.733000000000001</v>
      </c>
      <c r="E40" s="81">
        <v>4.7831000000000001</v>
      </c>
      <c r="F40">
        <v>100</v>
      </c>
      <c r="G40">
        <v>45.862000000000002</v>
      </c>
      <c r="H40">
        <v>78.900000000000006</v>
      </c>
      <c r="I40" t="s">
        <v>144</v>
      </c>
      <c r="J40">
        <v>0.54500000000000004</v>
      </c>
      <c r="K40">
        <v>1.1000000000000001</v>
      </c>
      <c r="L40" t="s">
        <v>142</v>
      </c>
      <c r="M40">
        <v>3520</v>
      </c>
    </row>
    <row r="41" spans="1:13" x14ac:dyDescent="0.3">
      <c r="A41" t="s">
        <v>146</v>
      </c>
      <c r="D41">
        <v>13.757999999999999</v>
      </c>
      <c r="E41">
        <v>18.959499999999998</v>
      </c>
      <c r="F41">
        <v>100</v>
      </c>
      <c r="G41">
        <v>181.79069999999999</v>
      </c>
      <c r="H41">
        <v>301.39</v>
      </c>
      <c r="J41">
        <v>0.58499999999999996</v>
      </c>
      <c r="K41">
        <v>1.2</v>
      </c>
      <c r="L41">
        <v>0</v>
      </c>
      <c r="M41">
        <v>6270</v>
      </c>
    </row>
    <row r="42" spans="1:13" x14ac:dyDescent="0.3">
      <c r="A42" t="s">
        <v>147</v>
      </c>
      <c r="D42">
        <v>13.738</v>
      </c>
      <c r="E42">
        <v>9.6875999999999998</v>
      </c>
      <c r="F42">
        <v>97.7</v>
      </c>
      <c r="G42">
        <v>92.887799999999999</v>
      </c>
      <c r="H42">
        <v>168.19</v>
      </c>
      <c r="J42">
        <v>0.499</v>
      </c>
      <c r="K42">
        <v>1.0900000000000001</v>
      </c>
      <c r="L42" t="s">
        <v>142</v>
      </c>
      <c r="M42">
        <v>4312</v>
      </c>
    </row>
    <row r="43" spans="1:13" x14ac:dyDescent="0.3">
      <c r="A43" t="s">
        <v>148</v>
      </c>
      <c r="D43">
        <v>13.708</v>
      </c>
      <c r="E43">
        <v>0.53420000000000001</v>
      </c>
      <c r="F43">
        <v>21.95</v>
      </c>
      <c r="G43">
        <v>5.1218000000000004</v>
      </c>
      <c r="H43">
        <v>21.36</v>
      </c>
      <c r="J43">
        <v>0.40699999999999997</v>
      </c>
      <c r="K43">
        <v>1.06</v>
      </c>
      <c r="L43">
        <v>0</v>
      </c>
      <c r="M43">
        <v>3055</v>
      </c>
    </row>
    <row r="44" spans="1:13" x14ac:dyDescent="0.3">
      <c r="A44" t="s">
        <v>149</v>
      </c>
      <c r="D44">
        <v>8.9999999999999993E-3</v>
      </c>
      <c r="E44">
        <v>5.4686000000000003</v>
      </c>
      <c r="F44">
        <v>13.39</v>
      </c>
      <c r="G44">
        <v>52.435200000000002</v>
      </c>
      <c r="H44">
        <v>86.49</v>
      </c>
      <c r="J44">
        <v>4.5999999999999999E-2</v>
      </c>
      <c r="K44">
        <v>0.04</v>
      </c>
      <c r="L44" t="s">
        <v>142</v>
      </c>
      <c r="M44">
        <v>807</v>
      </c>
    </row>
    <row r="45" spans="1:13" x14ac:dyDescent="0.3">
      <c r="A45" t="s">
        <v>150</v>
      </c>
      <c r="D45" s="79">
        <v>6.9999999999999999E-4</v>
      </c>
      <c r="E45" s="79">
        <v>0.5645</v>
      </c>
      <c r="F45" s="79">
        <v>0.13700000000000001</v>
      </c>
      <c r="G45" s="79">
        <v>0.5645</v>
      </c>
      <c r="H45" s="79">
        <v>0.51419999999999999</v>
      </c>
      <c r="J45" s="79">
        <v>9.2600000000000002E-2</v>
      </c>
      <c r="K45" s="79">
        <v>3.6200000000000003E-2</v>
      </c>
      <c r="L45" t="s">
        <v>142</v>
      </c>
      <c r="M45" s="79">
        <v>0.18720000000000001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0F72-4138-428E-AC1F-CFC9DBD7A39E}">
  <dimension ref="A1:BC109"/>
  <sheetViews>
    <sheetView topLeftCell="A16" zoomScale="30" zoomScaleNormal="30" workbookViewId="0">
      <selection activeCell="AP101" sqref="AP101"/>
    </sheetView>
  </sheetViews>
  <sheetFormatPr baseColWidth="10" defaultColWidth="8.77734375" defaultRowHeight="14.4" x14ac:dyDescent="0.3"/>
  <cols>
    <col min="1" max="1" width="17.77734375" bestFit="1" customWidth="1"/>
    <col min="2" max="2" width="13.21875" bestFit="1" customWidth="1"/>
    <col min="3" max="3" width="12.77734375" customWidth="1"/>
    <col min="4" max="4" width="14.77734375" bestFit="1" customWidth="1"/>
    <col min="5" max="5" width="15.21875" bestFit="1" customWidth="1"/>
    <col min="6" max="6" width="23.77734375" bestFit="1" customWidth="1"/>
    <col min="7" max="7" width="11" bestFit="1" customWidth="1"/>
    <col min="8" max="8" width="16" bestFit="1" customWidth="1"/>
    <col min="14" max="14" width="11.21875" customWidth="1"/>
    <col min="15" max="15" width="11.21875" bestFit="1" customWidth="1"/>
    <col min="16" max="16" width="9.77734375" customWidth="1"/>
    <col min="17" max="17" width="10.77734375" customWidth="1"/>
    <col min="18" max="18" width="12.5546875" customWidth="1"/>
    <col min="19" max="19" width="11.77734375" customWidth="1"/>
    <col min="21" max="21" width="11.21875" bestFit="1" customWidth="1"/>
    <col min="22" max="22" width="12.5546875" bestFit="1" customWidth="1"/>
    <col min="24" max="24" width="10.21875" bestFit="1" customWidth="1"/>
    <col min="25" max="25" width="11.77734375" bestFit="1" customWidth="1"/>
    <col min="26" max="26" width="8.77734375" customWidth="1"/>
    <col min="27" max="27" width="10.77734375" customWidth="1"/>
    <col min="28" max="28" width="9.77734375" customWidth="1"/>
  </cols>
  <sheetData>
    <row r="1" spans="1:40" ht="16.8" thickBot="1" x14ac:dyDescent="0.35">
      <c r="A1" s="1" t="s">
        <v>92</v>
      </c>
      <c r="B1" s="1" t="s">
        <v>0</v>
      </c>
      <c r="C1" s="1" t="s">
        <v>1</v>
      </c>
      <c r="D1" s="1" t="s">
        <v>90</v>
      </c>
      <c r="E1" s="1" t="s">
        <v>91</v>
      </c>
      <c r="F1" s="1" t="s">
        <v>2</v>
      </c>
      <c r="G1" s="1" t="s">
        <v>202</v>
      </c>
      <c r="H1" s="1" t="s">
        <v>203</v>
      </c>
      <c r="I1" s="52" t="s">
        <v>20</v>
      </c>
      <c r="J1" s="1" t="s">
        <v>298</v>
      </c>
      <c r="O1" s="245" t="s">
        <v>38</v>
      </c>
      <c r="P1" s="245"/>
      <c r="Q1" s="246" t="s">
        <v>115</v>
      </c>
      <c r="R1" s="247"/>
      <c r="S1" s="247"/>
      <c r="T1" s="247"/>
      <c r="U1" s="10"/>
      <c r="V1" s="10"/>
      <c r="AC1" s="248" t="s">
        <v>194</v>
      </c>
      <c r="AD1" s="248"/>
      <c r="AE1" s="248"/>
      <c r="AF1" s="248"/>
      <c r="AG1" s="248"/>
      <c r="AH1" s="248"/>
      <c r="AI1" s="248"/>
      <c r="AJ1" s="248"/>
      <c r="AK1" s="248"/>
    </row>
    <row r="2" spans="1:40" x14ac:dyDescent="0.3">
      <c r="A2" s="223">
        <v>0</v>
      </c>
      <c r="B2" s="3">
        <v>46</v>
      </c>
      <c r="C2" s="252" t="s">
        <v>71</v>
      </c>
      <c r="D2" s="4">
        <v>138.30000000000001</v>
      </c>
      <c r="E2" s="4">
        <v>183</v>
      </c>
      <c r="F2" s="229">
        <v>2</v>
      </c>
      <c r="G2" s="72">
        <f>(E2-D2)/$F$2</f>
        <v>22.349999999999994</v>
      </c>
      <c r="H2" s="255">
        <f>AVERAGE(G2:G4)</f>
        <v>22.61666666666666</v>
      </c>
      <c r="I2" s="232">
        <f>STDEV(G2:G4)</f>
        <v>0.25166114784235816</v>
      </c>
      <c r="J2" s="235">
        <f>(I2/H2)*100</f>
        <v>1.112724308809248</v>
      </c>
      <c r="O2" s="245" t="s">
        <v>39</v>
      </c>
      <c r="P2" s="245"/>
      <c r="Q2" s="18" t="s">
        <v>114</v>
      </c>
      <c r="AC2" s="11" t="s">
        <v>24</v>
      </c>
      <c r="AD2" s="12" t="s">
        <v>195</v>
      </c>
      <c r="AE2" s="242" t="s">
        <v>25</v>
      </c>
      <c r="AF2" s="242"/>
      <c r="AG2" s="243" t="s">
        <v>26</v>
      </c>
      <c r="AH2" s="243"/>
      <c r="AI2" s="244" t="s">
        <v>199</v>
      </c>
      <c r="AJ2" s="219"/>
      <c r="AK2" s="13" t="s">
        <v>27</v>
      </c>
    </row>
    <row r="3" spans="1:40" x14ac:dyDescent="0.3">
      <c r="A3" s="224"/>
      <c r="B3" s="5">
        <v>47</v>
      </c>
      <c r="C3" s="253"/>
      <c r="D3" s="6">
        <v>137.9</v>
      </c>
      <c r="E3" s="6">
        <v>183.6</v>
      </c>
      <c r="F3" s="230"/>
      <c r="G3" s="63">
        <f t="shared" ref="G3:G37" si="0">(E3-D3)/$F$2</f>
        <v>22.849999999999994</v>
      </c>
      <c r="H3" s="256"/>
      <c r="I3" s="233"/>
      <c r="J3" s="236"/>
      <c r="O3" s="238" t="s">
        <v>28</v>
      </c>
      <c r="P3" s="239"/>
      <c r="Q3" s="246" t="s">
        <v>40</v>
      </c>
      <c r="R3" s="247"/>
      <c r="S3" s="247"/>
      <c r="T3" s="247"/>
      <c r="U3" s="247"/>
      <c r="V3" s="247"/>
      <c r="W3" s="247"/>
      <c r="X3" s="247"/>
      <c r="Y3" s="247"/>
      <c r="Z3" s="247"/>
      <c r="AA3" s="14"/>
      <c r="AB3" s="14"/>
      <c r="AC3" s="11" t="s">
        <v>29</v>
      </c>
      <c r="AD3" s="12">
        <v>5</v>
      </c>
      <c r="AE3" s="242" t="s">
        <v>196</v>
      </c>
      <c r="AF3" s="242"/>
      <c r="AG3" s="243" t="s">
        <v>30</v>
      </c>
      <c r="AH3" s="243"/>
      <c r="AI3" s="244" t="s">
        <v>256</v>
      </c>
      <c r="AJ3" s="219"/>
      <c r="AK3" s="13" t="s">
        <v>27</v>
      </c>
      <c r="AL3" s="14"/>
      <c r="AM3" s="14"/>
      <c r="AN3" s="14"/>
    </row>
    <row r="4" spans="1:40" ht="16.2" thickBot="1" x14ac:dyDescent="0.4">
      <c r="A4" s="225"/>
      <c r="B4" s="7">
        <v>48</v>
      </c>
      <c r="C4" s="254"/>
      <c r="D4" s="2">
        <v>137.9</v>
      </c>
      <c r="E4" s="62">
        <v>183.2</v>
      </c>
      <c r="F4" s="231"/>
      <c r="G4" s="62">
        <f>(E4-D4)/$F$2</f>
        <v>22.649999999999991</v>
      </c>
      <c r="H4" s="257"/>
      <c r="I4" s="234"/>
      <c r="J4" s="237"/>
      <c r="O4" s="238" t="s">
        <v>192</v>
      </c>
      <c r="P4" s="239"/>
      <c r="Q4" s="240">
        <v>44838</v>
      </c>
      <c r="R4" s="241"/>
      <c r="S4" s="241"/>
      <c r="T4" s="241"/>
      <c r="U4" s="91"/>
      <c r="V4" s="91"/>
      <c r="W4" s="15">
        <v>0.69791666666666663</v>
      </c>
      <c r="X4" s="15"/>
      <c r="Y4" s="15"/>
      <c r="Z4" s="16"/>
      <c r="AA4" s="16"/>
      <c r="AC4" s="11" t="s">
        <v>31</v>
      </c>
      <c r="AD4" s="12">
        <v>25</v>
      </c>
      <c r="AE4" s="242" t="s">
        <v>197</v>
      </c>
      <c r="AF4" s="242"/>
      <c r="AG4" s="243" t="s">
        <v>32</v>
      </c>
      <c r="AH4" s="243"/>
      <c r="AI4" s="244" t="s">
        <v>33</v>
      </c>
      <c r="AJ4" s="219"/>
      <c r="AK4" s="17"/>
      <c r="AL4" s="244" t="s">
        <v>33</v>
      </c>
      <c r="AM4" s="219"/>
      <c r="AN4" s="17"/>
    </row>
    <row r="5" spans="1:40" ht="15.6" x14ac:dyDescent="0.35">
      <c r="A5" s="223">
        <v>0</v>
      </c>
      <c r="B5" s="3">
        <v>49</v>
      </c>
      <c r="C5" s="249" t="s">
        <v>98</v>
      </c>
      <c r="D5" s="4">
        <v>137.69999999999999</v>
      </c>
      <c r="E5" s="4">
        <v>183</v>
      </c>
      <c r="F5" s="229">
        <v>2</v>
      </c>
      <c r="G5" s="72">
        <f t="shared" si="0"/>
        <v>22.650000000000006</v>
      </c>
      <c r="H5" s="223">
        <f t="shared" ref="H5" si="1">AVERAGE(G5:G7)</f>
        <v>22.683333333333334</v>
      </c>
      <c r="I5" s="232">
        <f t="shared" ref="I5" si="2">STDEV(G5:G7)</f>
        <v>0.10408329997330641</v>
      </c>
      <c r="J5" s="235">
        <f t="shared" ref="J5" si="3">(I5/H5)*100</f>
        <v>0.45885363691391512</v>
      </c>
      <c r="O5" s="238" t="s">
        <v>193</v>
      </c>
      <c r="P5" s="239"/>
      <c r="Q5" s="240">
        <v>44839</v>
      </c>
      <c r="R5" s="241"/>
      <c r="S5" s="241"/>
      <c r="T5" s="241"/>
      <c r="U5" s="91"/>
      <c r="V5" s="91"/>
      <c r="W5" s="15">
        <v>0.90972222222222221</v>
      </c>
      <c r="X5" s="15"/>
      <c r="Y5" s="15"/>
      <c r="AC5" s="11" t="s">
        <v>34</v>
      </c>
      <c r="AD5" s="12" t="s">
        <v>97</v>
      </c>
      <c r="AE5" s="242" t="s">
        <v>198</v>
      </c>
      <c r="AF5" s="242"/>
      <c r="AG5" s="243" t="s">
        <v>35</v>
      </c>
      <c r="AH5" s="243"/>
      <c r="AI5" s="244" t="s">
        <v>36</v>
      </c>
      <c r="AJ5" s="219"/>
      <c r="AK5" s="17"/>
      <c r="AL5" s="244" t="s">
        <v>36</v>
      </c>
      <c r="AM5" s="219"/>
      <c r="AN5" s="17"/>
    </row>
    <row r="6" spans="1:40" x14ac:dyDescent="0.3">
      <c r="A6" s="224"/>
      <c r="B6" s="5">
        <v>50</v>
      </c>
      <c r="C6" s="250"/>
      <c r="D6" s="6">
        <v>136</v>
      </c>
      <c r="E6" s="63">
        <v>181.2</v>
      </c>
      <c r="F6" s="230"/>
      <c r="G6" s="63">
        <f t="shared" si="0"/>
        <v>22.599999999999994</v>
      </c>
      <c r="H6" s="230"/>
      <c r="I6" s="233"/>
      <c r="J6" s="236"/>
      <c r="AI6" s="218" t="s">
        <v>37</v>
      </c>
      <c r="AJ6" s="219"/>
      <c r="AK6" s="17"/>
    </row>
    <row r="7" spans="1:40" ht="15" thickBot="1" x14ac:dyDescent="0.35">
      <c r="A7" s="225"/>
      <c r="B7" s="7">
        <v>51</v>
      </c>
      <c r="C7" s="251"/>
      <c r="D7" s="2">
        <v>136.6</v>
      </c>
      <c r="E7" s="62">
        <v>182.2</v>
      </c>
      <c r="F7" s="231"/>
      <c r="G7" s="62">
        <f t="shared" si="0"/>
        <v>22.799999999999997</v>
      </c>
      <c r="H7" s="231"/>
      <c r="I7" s="234"/>
      <c r="J7" s="237"/>
    </row>
    <row r="8" spans="1:40" x14ac:dyDescent="0.3">
      <c r="A8" s="223">
        <v>0</v>
      </c>
      <c r="B8" s="3">
        <v>52</v>
      </c>
      <c r="C8" s="264" t="s">
        <v>72</v>
      </c>
      <c r="D8" s="4">
        <v>136.30000000000001</v>
      </c>
      <c r="E8" s="4">
        <v>180.7</v>
      </c>
      <c r="F8" s="229">
        <v>2</v>
      </c>
      <c r="G8" s="72">
        <f t="shared" si="0"/>
        <v>22.199999999999989</v>
      </c>
      <c r="H8" s="223">
        <f>AVERAGE(G8:G9)</f>
        <v>22.424999999999997</v>
      </c>
      <c r="I8" s="232">
        <f>STDEV(G8:G9)</f>
        <v>0.31819805153395841</v>
      </c>
      <c r="J8" s="235">
        <f t="shared" ref="J8" si="4">(I8/H8)*100</f>
        <v>1.4189433736185439</v>
      </c>
    </row>
    <row r="9" spans="1:40" ht="15" thickBot="1" x14ac:dyDescent="0.35">
      <c r="A9" s="224"/>
      <c r="B9" s="5">
        <v>53</v>
      </c>
      <c r="C9" s="265"/>
      <c r="D9" s="6">
        <v>136.19999999999999</v>
      </c>
      <c r="E9" s="6">
        <v>181.5</v>
      </c>
      <c r="F9" s="230"/>
      <c r="G9" s="63">
        <f t="shared" si="0"/>
        <v>22.650000000000006</v>
      </c>
      <c r="H9" s="230"/>
      <c r="I9" s="233"/>
      <c r="J9" s="236"/>
    </row>
    <row r="10" spans="1:40" ht="15" thickBot="1" x14ac:dyDescent="0.35">
      <c r="A10" s="225"/>
      <c r="B10" s="7">
        <v>54</v>
      </c>
      <c r="C10" s="266"/>
      <c r="D10" s="62">
        <v>139.80000000000001</v>
      </c>
      <c r="E10" s="62">
        <v>179.2</v>
      </c>
      <c r="F10" s="116">
        <v>1.8</v>
      </c>
      <c r="G10" s="117">
        <f>(E10-D10)/F10</f>
        <v>21.888888888888875</v>
      </c>
      <c r="H10" s="231"/>
      <c r="I10" s="234"/>
      <c r="J10" s="237"/>
      <c r="N10" s="261" t="s">
        <v>116</v>
      </c>
      <c r="O10" s="262"/>
      <c r="P10" s="262"/>
      <c r="Q10" s="262"/>
      <c r="R10" s="262"/>
      <c r="S10" s="263"/>
      <c r="T10" s="258" t="s">
        <v>117</v>
      </c>
      <c r="U10" s="259"/>
      <c r="V10" s="259"/>
      <c r="W10" s="259"/>
      <c r="X10" s="259"/>
      <c r="Y10" s="260"/>
    </row>
    <row r="11" spans="1:40" ht="15" thickBot="1" x14ac:dyDescent="0.35">
      <c r="A11" s="223">
        <v>0</v>
      </c>
      <c r="B11" s="3">
        <v>1</v>
      </c>
      <c r="C11" s="267" t="s">
        <v>99</v>
      </c>
      <c r="D11" s="4">
        <v>137.30000000000001</v>
      </c>
      <c r="E11" s="4">
        <v>182</v>
      </c>
      <c r="F11" s="229">
        <v>2</v>
      </c>
      <c r="G11" s="4">
        <f>(E11-D11)/$F$2</f>
        <v>22.349999999999994</v>
      </c>
      <c r="H11" s="223">
        <f>AVERAGE(G11:G13)</f>
        <v>22.783333333333331</v>
      </c>
      <c r="I11" s="232">
        <f>STDEV(G11:G13)</f>
        <v>0.42524502740577336</v>
      </c>
      <c r="J11" s="235">
        <f>(I11/H11)*100</f>
        <v>1.8664741510129046</v>
      </c>
      <c r="M11" s="1" t="s">
        <v>1</v>
      </c>
      <c r="N11" s="1" t="s">
        <v>190</v>
      </c>
      <c r="O11" s="1" t="s">
        <v>181</v>
      </c>
      <c r="P11" s="1" t="s">
        <v>299</v>
      </c>
      <c r="Q11" s="1" t="s">
        <v>189</v>
      </c>
      <c r="R11" s="1" t="s">
        <v>181</v>
      </c>
      <c r="S11" s="1" t="s">
        <v>299</v>
      </c>
      <c r="T11" s="1" t="s">
        <v>190</v>
      </c>
      <c r="U11" s="1" t="s">
        <v>181</v>
      </c>
      <c r="V11" s="1" t="s">
        <v>299</v>
      </c>
      <c r="W11" s="1" t="s">
        <v>189</v>
      </c>
      <c r="X11" s="1" t="s">
        <v>181</v>
      </c>
      <c r="Y11" s="1" t="s">
        <v>299</v>
      </c>
    </row>
    <row r="12" spans="1:40" ht="15" thickBot="1" x14ac:dyDescent="0.35">
      <c r="A12" s="224"/>
      <c r="B12" s="5">
        <v>2</v>
      </c>
      <c r="C12" s="268"/>
      <c r="D12" s="6">
        <v>140.1</v>
      </c>
      <c r="E12" s="6">
        <v>185.7</v>
      </c>
      <c r="F12" s="230"/>
      <c r="G12" s="6">
        <f t="shared" ref="G12:G13" si="5">(E12-D12)/$F$2</f>
        <v>22.799999999999997</v>
      </c>
      <c r="H12" s="224"/>
      <c r="I12" s="233"/>
      <c r="J12" s="236"/>
      <c r="M12" s="133" t="s">
        <v>93</v>
      </c>
      <c r="N12" s="137">
        <f>AVERAGE('Raw DO600'!F2,'Raw DO600'!F5)</f>
        <v>0.57774999999999999</v>
      </c>
      <c r="O12" s="92">
        <f>N12*SQRT(('Raw DO600'!G2/'Raw DO600'!F2)^2+('Raw DO600'!G5/'Raw DO600'!F5)^2)</f>
        <v>2.4932257155334411E-2</v>
      </c>
      <c r="P12" s="93">
        <f>(O12/N12)*100</f>
        <v>4.3154058252417844</v>
      </c>
      <c r="Q12" s="137">
        <f>AVERAGE(H2,H5)/100</f>
        <v>0.22649999999999998</v>
      </c>
      <c r="R12" s="74">
        <f>AVERAGE(H2,H5)*SQRT((I2/H2)^2+(I5/H5)^2)</f>
        <v>0.27262001873962888</v>
      </c>
      <c r="S12" s="96">
        <f>(R12/AVERAGE(H2,H5))*100</f>
        <v>1.203620391786441</v>
      </c>
      <c r="T12" s="137">
        <f>AVERAGE('Raw DO600'!F8,'Raw DO600'!F11)</f>
        <v>0.56675000000000009</v>
      </c>
      <c r="U12" s="65">
        <f>T12*SQRT(('Raw DO600'!G8/'Raw DO600'!F8)^2+('Raw DO600'!G11/'Raw DO600'!F11)^2)</f>
        <v>2.1610393329768531E-2</v>
      </c>
      <c r="V12" s="93">
        <f>(U12/T12)*100</f>
        <v>3.813038082005916</v>
      </c>
      <c r="W12" s="137">
        <f>AVERAGE(H8,H11)/100</f>
        <v>0.22604166666666664</v>
      </c>
      <c r="X12" s="75">
        <f>AVERAGE(H8,H11)*SQRT((I8/H8)^2+(I11/H11)^2)</f>
        <v>0.52997617784365647</v>
      </c>
      <c r="Y12" s="93">
        <f>(X12/AVERAGE(H8,H11))*100</f>
        <v>2.3445950724880658</v>
      </c>
    </row>
    <row r="13" spans="1:40" ht="15" thickBot="1" x14ac:dyDescent="0.35">
      <c r="A13" s="225"/>
      <c r="B13" s="7">
        <v>3</v>
      </c>
      <c r="C13" s="269"/>
      <c r="D13" s="2">
        <v>137.4</v>
      </c>
      <c r="E13" s="62">
        <v>183.8</v>
      </c>
      <c r="F13" s="231"/>
      <c r="G13" s="2">
        <f t="shared" si="5"/>
        <v>23.200000000000003</v>
      </c>
      <c r="H13" s="225"/>
      <c r="I13" s="234"/>
      <c r="J13" s="237"/>
      <c r="M13" s="133" t="s">
        <v>74</v>
      </c>
      <c r="N13" s="137">
        <f>AVERAGE('Raw DO600'!F50,'Raw DO600'!F53)</f>
        <v>0.51149999999999995</v>
      </c>
      <c r="O13" s="65">
        <f>N13*SQRT(('Raw DO600'!G50/'Raw DO600'!F50)^2+('Raw DO600'!G53/'Raw DO600'!F53)^2)</f>
        <v>1.4279293736655438E-2</v>
      </c>
      <c r="P13" s="94">
        <f t="shared" ref="P13:P14" si="6">(O13/N13)*100</f>
        <v>2.7916507794047778</v>
      </c>
      <c r="Q13" s="137">
        <f>AVERAGE(H14,H17)/200</f>
        <v>0.17499999999999999</v>
      </c>
      <c r="R13" s="74">
        <f>AVERAGE(H14,H17)*SQRT((I14/H14)^2+(I17/H17)^2)</f>
        <v>0.37919096576166106</v>
      </c>
      <c r="S13" s="97">
        <f>(R13/AVERAGE(H14,H17))*100</f>
        <v>1.0834027593190316</v>
      </c>
      <c r="T13" s="137">
        <f>AVERAGE('Raw DO600'!F56,'Raw DO600'!F59)</f>
        <v>0.47483333333333333</v>
      </c>
      <c r="U13" s="65">
        <f>T13*SQRT(('Raw DO600'!G56/'Raw DO600'!F56)^2+('Raw DO600'!G59/'Raw DO600'!F59)^2)</f>
        <v>5.6944294441653989E-3</v>
      </c>
      <c r="V13" s="94">
        <f t="shared" ref="V13:V14" si="7">(U13/T13)*100</f>
        <v>1.1992480401892733</v>
      </c>
      <c r="W13" s="137">
        <f>AVERAGE(H20,H23)/200</f>
        <v>0.16308333333333333</v>
      </c>
      <c r="X13" s="74">
        <f>AVERAGE(H20,H23)*SQRT((I20/H20)^2+(I23/H23)^2)</f>
        <v>0.38051600658883761</v>
      </c>
      <c r="Y13" s="94">
        <f>(X13/AVERAGE(H20,H23))*100</f>
        <v>1.1666305771757923</v>
      </c>
    </row>
    <row r="14" spans="1:40" ht="15" thickBot="1" x14ac:dyDescent="0.35">
      <c r="A14" s="223">
        <v>21.8</v>
      </c>
      <c r="B14" s="3">
        <v>76</v>
      </c>
      <c r="C14" s="249" t="s">
        <v>9</v>
      </c>
      <c r="D14" s="4">
        <v>133.5</v>
      </c>
      <c r="E14" s="4">
        <v>202.3</v>
      </c>
      <c r="F14" s="229">
        <v>2</v>
      </c>
      <c r="G14" s="72">
        <f t="shared" si="0"/>
        <v>34.400000000000006</v>
      </c>
      <c r="H14" s="255">
        <f t="shared" ref="H14" si="8">AVERAGE(G14:G16)</f>
        <v>34.550000000000004</v>
      </c>
      <c r="I14" s="232">
        <f t="shared" ref="I14" si="9">STDEV(G14:G16)</f>
        <v>0.21794494717702945</v>
      </c>
      <c r="J14" s="235">
        <f t="shared" ref="J14" si="10">(I14/H14)*100</f>
        <v>0.63081026679313867</v>
      </c>
      <c r="M14" s="133" t="s">
        <v>77</v>
      </c>
      <c r="N14" s="139">
        <f>AVERAGE('Raw DO600'!F86,'Raw DO600'!F89)</f>
        <v>0.68158333333333332</v>
      </c>
      <c r="O14" s="66">
        <f>N14*SQRT(('Raw DO600'!G86/'Raw DO600'!F86)^2+('Raw DO600'!G89/'Raw DO600'!F89)^2)</f>
        <v>2.8438873341255159E-2</v>
      </c>
      <c r="P14" s="95">
        <f t="shared" si="6"/>
        <v>4.172471941497272</v>
      </c>
      <c r="Q14" s="139">
        <f>AVERAGE(H26,H29)/200</f>
        <v>0.24370833333333336</v>
      </c>
      <c r="R14" s="73">
        <f>AVERAGE(H26,H29)*SQRT((I26/H26)^2+(I29/H29)^2)</f>
        <v>1.2232151048915114</v>
      </c>
      <c r="S14" s="98">
        <f>(R14/AVERAGE(H26,H29))*100</f>
        <v>2.5095881789533485</v>
      </c>
      <c r="T14" s="139">
        <f>AVERAGE('Raw DO600'!F92,'Raw DO600'!F95)</f>
        <v>0.63483333333333336</v>
      </c>
      <c r="U14" s="66">
        <f>T14*SQRT(('Raw DO600'!G92/'Raw DO600'!F92)^2+('Raw DO600'!G95/'Raw DO600'!F95)^2)</f>
        <v>1.4818799494355626E-2</v>
      </c>
      <c r="V14" s="95">
        <f t="shared" si="7"/>
        <v>2.3342818841200779</v>
      </c>
      <c r="W14" s="139">
        <f>AVERAGE(H32,H35)/200</f>
        <v>0.22166666666666668</v>
      </c>
      <c r="X14" s="73">
        <f>AVERAGE(H32,H35)*SQRT((I32/H32)^2+(I35/H35)^2)</f>
        <v>0.6842420775997754</v>
      </c>
      <c r="Y14" s="95">
        <f>(X14/AVERAGE(H32,H35))*100</f>
        <v>1.5434031825558843</v>
      </c>
    </row>
    <row r="15" spans="1:40" x14ac:dyDescent="0.3">
      <c r="A15" s="224"/>
      <c r="B15" s="5">
        <v>77</v>
      </c>
      <c r="C15" s="250"/>
      <c r="D15" s="6">
        <v>136.1</v>
      </c>
      <c r="E15" s="6">
        <v>205.7</v>
      </c>
      <c r="F15" s="230"/>
      <c r="G15" s="63">
        <f t="shared" si="0"/>
        <v>34.799999999999997</v>
      </c>
      <c r="H15" s="256"/>
      <c r="I15" s="233"/>
      <c r="J15" s="236"/>
    </row>
    <row r="16" spans="1:40" ht="15" thickBot="1" x14ac:dyDescent="0.35">
      <c r="A16" s="225"/>
      <c r="B16" s="7">
        <v>78</v>
      </c>
      <c r="C16" s="251"/>
      <c r="D16" s="2">
        <v>133.9</v>
      </c>
      <c r="E16" s="62">
        <v>202.8</v>
      </c>
      <c r="F16" s="231"/>
      <c r="G16" s="62">
        <f t="shared" si="0"/>
        <v>34.450000000000003</v>
      </c>
      <c r="H16" s="257"/>
      <c r="I16" s="234"/>
      <c r="J16" s="237"/>
      <c r="Q16" s="110"/>
    </row>
    <row r="17" spans="1:52" x14ac:dyDescent="0.3">
      <c r="A17" s="223">
        <v>21.8</v>
      </c>
      <c r="B17" s="3">
        <v>79</v>
      </c>
      <c r="C17" s="249" t="s">
        <v>100</v>
      </c>
      <c r="D17" s="4">
        <v>133</v>
      </c>
      <c r="E17" s="4">
        <v>203.2</v>
      </c>
      <c r="F17" s="229">
        <v>2</v>
      </c>
      <c r="G17" s="72">
        <f t="shared" si="0"/>
        <v>35.099999999999994</v>
      </c>
      <c r="H17" s="223">
        <f t="shared" ref="H17" si="11">AVERAGE(G17:G19)</f>
        <v>35.450000000000003</v>
      </c>
      <c r="I17" s="232">
        <f t="shared" ref="I17" si="12">STDEV(G17:G19)</f>
        <v>0.31224989991992602</v>
      </c>
      <c r="J17" s="235">
        <f t="shared" ref="J17" si="13">(I17/H17)*100</f>
        <v>0.8808177712832892</v>
      </c>
    </row>
    <row r="18" spans="1:52" ht="15" thickBot="1" x14ac:dyDescent="0.35">
      <c r="A18" s="224"/>
      <c r="B18" s="5">
        <v>80</v>
      </c>
      <c r="C18" s="250"/>
      <c r="D18" s="6">
        <v>132.5</v>
      </c>
      <c r="E18" s="6">
        <v>203.9</v>
      </c>
      <c r="F18" s="230"/>
      <c r="G18" s="63">
        <f t="shared" si="0"/>
        <v>35.700000000000003</v>
      </c>
      <c r="H18" s="230"/>
      <c r="I18" s="233"/>
      <c r="J18" s="236"/>
    </row>
    <row r="19" spans="1:52" ht="15" thickBot="1" x14ac:dyDescent="0.35">
      <c r="A19" s="225"/>
      <c r="B19" s="7">
        <v>81</v>
      </c>
      <c r="C19" s="251"/>
      <c r="D19" s="2">
        <v>134.19999999999999</v>
      </c>
      <c r="E19" s="2">
        <v>205.3</v>
      </c>
      <c r="F19" s="231"/>
      <c r="G19" s="62">
        <f t="shared" si="0"/>
        <v>35.550000000000011</v>
      </c>
      <c r="H19" s="231"/>
      <c r="I19" s="234"/>
      <c r="J19" s="237"/>
      <c r="AK19" s="261" t="s">
        <v>172</v>
      </c>
      <c r="AL19" s="263"/>
      <c r="AU19" s="258" t="s">
        <v>173</v>
      </c>
      <c r="AV19" s="260"/>
    </row>
    <row r="20" spans="1:52" ht="15" thickBot="1" x14ac:dyDescent="0.35">
      <c r="A20" s="223">
        <v>21.8</v>
      </c>
      <c r="B20" s="3">
        <v>82</v>
      </c>
      <c r="C20" s="264" t="s">
        <v>10</v>
      </c>
      <c r="D20" s="4">
        <v>142.6</v>
      </c>
      <c r="E20" s="4">
        <v>208.1</v>
      </c>
      <c r="F20" s="229">
        <v>2</v>
      </c>
      <c r="G20" s="72">
        <f t="shared" si="0"/>
        <v>32.75</v>
      </c>
      <c r="H20" s="223">
        <f t="shared" ref="H20" si="14">AVERAGE(G20:G22)</f>
        <v>32.783333333333339</v>
      </c>
      <c r="I20" s="232">
        <f t="shared" ref="I20" si="15">STDEV(G20:G22)</f>
        <v>2.8867513459483751E-2</v>
      </c>
      <c r="J20" s="235">
        <f t="shared" ref="J20" si="16">(I20/H20)*100</f>
        <v>8.8055455392426277E-2</v>
      </c>
    </row>
    <row r="21" spans="1:52" ht="15" thickBot="1" x14ac:dyDescent="0.35">
      <c r="A21" s="224"/>
      <c r="B21" s="5">
        <v>83</v>
      </c>
      <c r="C21" s="265"/>
      <c r="D21" s="6">
        <v>140.19999999999999</v>
      </c>
      <c r="E21" s="6">
        <v>205.8</v>
      </c>
      <c r="F21" s="230"/>
      <c r="G21" s="63">
        <f t="shared" si="0"/>
        <v>32.800000000000011</v>
      </c>
      <c r="H21" s="230"/>
      <c r="I21" s="233"/>
      <c r="J21" s="236"/>
      <c r="N21" s="274"/>
      <c r="O21" s="274"/>
      <c r="P21" s="261" t="s">
        <v>172</v>
      </c>
      <c r="Q21" s="263"/>
      <c r="R21" s="258" t="s">
        <v>173</v>
      </c>
      <c r="S21" s="260"/>
      <c r="AK21" s="113" t="s">
        <v>354</v>
      </c>
      <c r="AL21" s="113"/>
      <c r="AU21" s="113" t="s">
        <v>354</v>
      </c>
      <c r="AV21" s="113"/>
    </row>
    <row r="22" spans="1:52" ht="15" thickBot="1" x14ac:dyDescent="0.35">
      <c r="A22" s="225"/>
      <c r="B22" s="7">
        <v>84</v>
      </c>
      <c r="C22" s="266"/>
      <c r="D22" s="2">
        <v>143.30000000000001</v>
      </c>
      <c r="E22" s="2">
        <v>208.9</v>
      </c>
      <c r="F22" s="231"/>
      <c r="G22" s="62">
        <f t="shared" si="0"/>
        <v>32.799999999999997</v>
      </c>
      <c r="H22" s="231"/>
      <c r="I22" s="234"/>
      <c r="J22" s="237"/>
      <c r="N22" s="56"/>
      <c r="O22" s="1" t="s">
        <v>1</v>
      </c>
      <c r="P22" s="120" t="s">
        <v>190</v>
      </c>
      <c r="Q22" s="1" t="s">
        <v>189</v>
      </c>
      <c r="R22" s="1" t="s">
        <v>190</v>
      </c>
      <c r="S22" s="1" t="s">
        <v>200</v>
      </c>
      <c r="AK22" t="s">
        <v>355</v>
      </c>
      <c r="AL22">
        <v>0.99943868234727695</v>
      </c>
      <c r="AU22" t="s">
        <v>355</v>
      </c>
      <c r="AV22">
        <v>0.99915712250129207</v>
      </c>
    </row>
    <row r="23" spans="1:52" ht="15" thickBot="1" x14ac:dyDescent="0.35">
      <c r="A23" s="223">
        <v>21.8</v>
      </c>
      <c r="B23" s="3">
        <v>10</v>
      </c>
      <c r="C23" s="267" t="s">
        <v>101</v>
      </c>
      <c r="D23" s="4">
        <v>138.9</v>
      </c>
      <c r="E23" s="4">
        <v>203.1</v>
      </c>
      <c r="F23" s="229">
        <v>2</v>
      </c>
      <c r="G23" s="4">
        <f t="shared" si="0"/>
        <v>32.099999999999994</v>
      </c>
      <c r="H23" s="223">
        <f t="shared" ref="H23" si="17">AVERAGE(G23:G25)</f>
        <v>32.449999999999996</v>
      </c>
      <c r="I23" s="232">
        <f t="shared" ref="I23" si="18">STDEV(G23:G25)</f>
        <v>0.37749172176353674</v>
      </c>
      <c r="J23" s="235">
        <f t="shared" ref="J23" si="19">(I23/H23)*100</f>
        <v>1.1633026864823937</v>
      </c>
      <c r="N23" s="123"/>
      <c r="O23" s="64" t="s">
        <v>93</v>
      </c>
      <c r="P23" s="121">
        <v>0.51933333333333342</v>
      </c>
      <c r="Q23" s="103">
        <f>21.6/100</f>
        <v>0.21600000000000003</v>
      </c>
      <c r="R23" s="103">
        <v>0.48733333333333334</v>
      </c>
      <c r="S23" s="103">
        <f>21.3/100</f>
        <v>0.21299999999999999</v>
      </c>
      <c r="AK23" t="s">
        <v>356</v>
      </c>
      <c r="AL23">
        <v>0.9988776797720611</v>
      </c>
      <c r="AU23" t="s">
        <v>356</v>
      </c>
      <c r="AV23">
        <v>0.99831495544506199</v>
      </c>
    </row>
    <row r="24" spans="1:52" ht="15" thickBot="1" x14ac:dyDescent="0.35">
      <c r="A24" s="224"/>
      <c r="B24" s="5">
        <v>11</v>
      </c>
      <c r="C24" s="268"/>
      <c r="D24" s="6">
        <v>138.5</v>
      </c>
      <c r="E24" s="6">
        <v>203.3</v>
      </c>
      <c r="F24" s="230"/>
      <c r="G24" s="6">
        <f t="shared" si="0"/>
        <v>32.400000000000006</v>
      </c>
      <c r="H24" s="224"/>
      <c r="I24" s="233"/>
      <c r="J24" s="236"/>
      <c r="N24" s="19"/>
      <c r="O24" s="133" t="s">
        <v>93</v>
      </c>
      <c r="P24" s="134">
        <f>N12</f>
        <v>0.57774999999999999</v>
      </c>
      <c r="Q24" s="135">
        <f>Q12</f>
        <v>0.22649999999999998</v>
      </c>
      <c r="R24" s="135">
        <f>T12</f>
        <v>0.56675000000000009</v>
      </c>
      <c r="S24" s="135">
        <f>W12</f>
        <v>0.22604166666666664</v>
      </c>
      <c r="AK24" t="s">
        <v>357</v>
      </c>
      <c r="AL24">
        <v>0.79887767977206114</v>
      </c>
      <c r="AU24" t="s">
        <v>357</v>
      </c>
      <c r="AV24">
        <v>0.79831495544506192</v>
      </c>
    </row>
    <row r="25" spans="1:52" ht="15" thickBot="1" x14ac:dyDescent="0.35">
      <c r="A25" s="225"/>
      <c r="B25" s="7">
        <v>12</v>
      </c>
      <c r="C25" s="269"/>
      <c r="D25" s="2">
        <v>138</v>
      </c>
      <c r="E25" s="2">
        <v>203.7</v>
      </c>
      <c r="F25" s="231"/>
      <c r="G25" s="2">
        <f t="shared" si="0"/>
        <v>32.849999999999994</v>
      </c>
      <c r="H25" s="225"/>
      <c r="I25" s="234"/>
      <c r="J25" s="237"/>
      <c r="N25" s="19"/>
      <c r="O25" s="64" t="s">
        <v>95</v>
      </c>
      <c r="P25" s="122">
        <v>0.31966666666666671</v>
      </c>
      <c r="Q25" s="74">
        <f>24.9/200</f>
        <v>0.1245</v>
      </c>
      <c r="R25" s="74">
        <v>0.28933333333333333</v>
      </c>
      <c r="S25" s="74">
        <f>22.7/200</f>
        <v>0.11349999999999999</v>
      </c>
      <c r="AK25" t="s">
        <v>358</v>
      </c>
      <c r="AL25">
        <v>6.8642617912777057E-3</v>
      </c>
      <c r="AU25" t="s">
        <v>358</v>
      </c>
      <c r="AV25">
        <v>7.6960373439103075E-3</v>
      </c>
    </row>
    <row r="26" spans="1:52" ht="15" thickBot="1" x14ac:dyDescent="0.35">
      <c r="A26" s="223">
        <v>39.299999999999997</v>
      </c>
      <c r="B26" s="3">
        <v>88</v>
      </c>
      <c r="C26" s="249" t="s">
        <v>15</v>
      </c>
      <c r="D26" s="4">
        <v>140.69999999999999</v>
      </c>
      <c r="E26" s="4">
        <v>238.6</v>
      </c>
      <c r="F26" s="229">
        <v>2</v>
      </c>
      <c r="G26" s="72">
        <f t="shared" si="0"/>
        <v>48.95</v>
      </c>
      <c r="H26" s="255">
        <f>AVERAGE(G26:G28)</f>
        <v>47.966666666666676</v>
      </c>
      <c r="I26" s="232">
        <f>STDEV(G26:G28)</f>
        <v>1.0866615541801983</v>
      </c>
      <c r="J26" s="235">
        <f t="shared" ref="J26" si="20">(I26/H26)*100</f>
        <v>2.2654514680615665</v>
      </c>
      <c r="N26" s="19"/>
      <c r="O26" s="64" t="s">
        <v>74</v>
      </c>
      <c r="P26" s="122">
        <v>0.38666666666666671</v>
      </c>
      <c r="Q26" s="74">
        <f>28.7/200</f>
        <v>0.14349999999999999</v>
      </c>
      <c r="R26" s="74">
        <v>0.34166666666666662</v>
      </c>
      <c r="S26" s="74">
        <f>26.3/200</f>
        <v>0.13150000000000001</v>
      </c>
      <c r="AK26" s="111" t="s">
        <v>344</v>
      </c>
      <c r="AL26" s="111">
        <v>6</v>
      </c>
      <c r="AU26" s="111" t="s">
        <v>344</v>
      </c>
      <c r="AV26" s="111">
        <v>6</v>
      </c>
    </row>
    <row r="27" spans="1:52" ht="15" thickBot="1" x14ac:dyDescent="0.35">
      <c r="A27" s="224"/>
      <c r="B27" s="5">
        <v>89</v>
      </c>
      <c r="C27" s="250"/>
      <c r="D27" s="6">
        <v>141.19999999999999</v>
      </c>
      <c r="E27" s="6">
        <v>237.5</v>
      </c>
      <c r="F27" s="230"/>
      <c r="G27" s="63">
        <f t="shared" si="0"/>
        <v>48.150000000000006</v>
      </c>
      <c r="H27" s="256"/>
      <c r="I27" s="233"/>
      <c r="J27" s="236"/>
      <c r="N27" s="19"/>
      <c r="O27" s="133" t="s">
        <v>74</v>
      </c>
      <c r="P27" s="136">
        <f>N13</f>
        <v>0.51149999999999995</v>
      </c>
      <c r="Q27" s="137">
        <f>Q13</f>
        <v>0.17499999999999999</v>
      </c>
      <c r="R27" s="137">
        <f>T13</f>
        <v>0.47483333333333333</v>
      </c>
      <c r="S27" s="137">
        <f>W13</f>
        <v>0.16308333333333333</v>
      </c>
    </row>
    <row r="28" spans="1:52" ht="15" thickBot="1" x14ac:dyDescent="0.35">
      <c r="A28" s="225"/>
      <c r="B28" s="7">
        <v>90</v>
      </c>
      <c r="C28" s="251"/>
      <c r="D28" s="2">
        <v>141.69999999999999</v>
      </c>
      <c r="E28" s="2">
        <v>235.3</v>
      </c>
      <c r="F28" s="231"/>
      <c r="G28" s="62">
        <f t="shared" si="0"/>
        <v>46.800000000000011</v>
      </c>
      <c r="H28" s="257"/>
      <c r="I28" s="234"/>
      <c r="J28" s="237"/>
      <c r="N28" s="19"/>
      <c r="O28" s="64" t="s">
        <v>76</v>
      </c>
      <c r="P28" s="122">
        <v>0.56133333333333335</v>
      </c>
      <c r="Q28" s="74">
        <f>39.1/200</f>
        <v>0.19550000000000001</v>
      </c>
      <c r="R28" s="74">
        <v>0.50466666666666671</v>
      </c>
      <c r="S28" s="74">
        <f>36/200</f>
        <v>0.18</v>
      </c>
      <c r="AK28" t="s">
        <v>359</v>
      </c>
      <c r="AU28" t="s">
        <v>359</v>
      </c>
    </row>
    <row r="29" spans="1:52" ht="15" thickBot="1" x14ac:dyDescent="0.35">
      <c r="A29" s="270">
        <v>39.299999999999997</v>
      </c>
      <c r="B29" s="3">
        <v>91</v>
      </c>
      <c r="C29" s="249" t="s">
        <v>102</v>
      </c>
      <c r="D29" s="4">
        <v>141.19999999999999</v>
      </c>
      <c r="E29" s="4">
        <v>240.9</v>
      </c>
      <c r="F29" s="229">
        <v>2</v>
      </c>
      <c r="G29" s="72">
        <f t="shared" si="0"/>
        <v>49.850000000000009</v>
      </c>
      <c r="H29" s="223">
        <f t="shared" ref="H29" si="21">AVERAGE(G29:G31)</f>
        <v>49.516666666666673</v>
      </c>
      <c r="I29" s="232">
        <f t="shared" ref="I29" si="22">STDEV(G29:G31)</f>
        <v>0.53463383107817997</v>
      </c>
      <c r="J29" s="235">
        <f t="shared" ref="J29" si="23">(I29/H29)*100</f>
        <v>1.0797048086398786</v>
      </c>
      <c r="N29" s="19"/>
      <c r="O29" s="64" t="s">
        <v>77</v>
      </c>
      <c r="P29" s="122">
        <v>0.61233333333333329</v>
      </c>
      <c r="Q29" s="74">
        <f>42.7/200</f>
        <v>0.21350000000000002</v>
      </c>
      <c r="R29" s="74">
        <v>0.56099999999999994</v>
      </c>
      <c r="S29" s="74">
        <f>38.7/200</f>
        <v>0.19350000000000001</v>
      </c>
      <c r="AK29" s="112"/>
      <c r="AL29" s="112" t="s">
        <v>347</v>
      </c>
      <c r="AM29" s="112" t="s">
        <v>361</v>
      </c>
      <c r="AN29" s="112" t="s">
        <v>362</v>
      </c>
      <c r="AO29" s="112" t="s">
        <v>183</v>
      </c>
      <c r="AP29" s="112" t="s">
        <v>363</v>
      </c>
      <c r="AU29" s="112"/>
      <c r="AV29" s="112" t="s">
        <v>347</v>
      </c>
      <c r="AW29" s="112" t="s">
        <v>361</v>
      </c>
      <c r="AX29" s="112" t="s">
        <v>362</v>
      </c>
      <c r="AY29" s="112" t="s">
        <v>183</v>
      </c>
      <c r="AZ29" s="112" t="s">
        <v>363</v>
      </c>
    </row>
    <row r="30" spans="1:52" ht="15" thickBot="1" x14ac:dyDescent="0.35">
      <c r="A30" s="271"/>
      <c r="B30" s="5">
        <v>92</v>
      </c>
      <c r="C30" s="250"/>
      <c r="D30" s="6">
        <v>140.1</v>
      </c>
      <c r="E30" s="6">
        <v>239.7</v>
      </c>
      <c r="F30" s="230"/>
      <c r="G30" s="63">
        <f t="shared" si="0"/>
        <v>49.8</v>
      </c>
      <c r="H30" s="230"/>
      <c r="I30" s="233"/>
      <c r="J30" s="236"/>
      <c r="N30" s="19"/>
      <c r="O30" s="133" t="s">
        <v>77</v>
      </c>
      <c r="P30" s="138">
        <f>N14</f>
        <v>0.68158333333333332</v>
      </c>
      <c r="Q30" s="139">
        <f>Q14</f>
        <v>0.24370833333333336</v>
      </c>
      <c r="R30" s="139">
        <f>T14</f>
        <v>0.63483333333333336</v>
      </c>
      <c r="S30" s="139">
        <f>W14</f>
        <v>0.22166666666666668</v>
      </c>
      <c r="AK30" t="s">
        <v>191</v>
      </c>
      <c r="AL30">
        <v>1</v>
      </c>
      <c r="AM30">
        <v>0.20967816128641517</v>
      </c>
      <c r="AN30">
        <v>0.20967816128641517</v>
      </c>
      <c r="AO30">
        <v>4450.0564763342654</v>
      </c>
      <c r="AP30">
        <v>3.0253098740599965E-7</v>
      </c>
      <c r="AU30" t="s">
        <v>191</v>
      </c>
      <c r="AV30">
        <v>1</v>
      </c>
      <c r="AW30">
        <v>0.17545288976822795</v>
      </c>
      <c r="AX30">
        <v>0.17545288976822795</v>
      </c>
      <c r="AY30">
        <v>2962.2805893157133</v>
      </c>
      <c r="AZ30">
        <v>6.8221632708526376E-7</v>
      </c>
    </row>
    <row r="31" spans="1:52" ht="15" thickBot="1" x14ac:dyDescent="0.35">
      <c r="A31" s="272"/>
      <c r="B31" s="7">
        <v>93</v>
      </c>
      <c r="C31" s="251"/>
      <c r="D31" s="2">
        <v>137.6</v>
      </c>
      <c r="E31" s="2">
        <v>235.4</v>
      </c>
      <c r="F31" s="231"/>
      <c r="G31" s="62">
        <f t="shared" si="0"/>
        <v>48.900000000000006</v>
      </c>
      <c r="H31" s="231"/>
      <c r="I31" s="234"/>
      <c r="J31" s="237"/>
      <c r="N31" s="247"/>
      <c r="O31" s="247"/>
      <c r="P31" s="273"/>
      <c r="Q31" s="273"/>
      <c r="R31" s="273"/>
      <c r="S31" s="273"/>
      <c r="AK31" t="s">
        <v>360</v>
      </c>
      <c r="AL31">
        <v>5</v>
      </c>
      <c r="AM31">
        <v>2.3559044969597508E-4</v>
      </c>
      <c r="AN31">
        <v>4.7118089939195013E-5</v>
      </c>
      <c r="AU31" t="s">
        <v>360</v>
      </c>
      <c r="AV31">
        <v>5</v>
      </c>
      <c r="AW31">
        <v>2.9614495399431012E-4</v>
      </c>
      <c r="AX31">
        <v>5.9228990798862025E-5</v>
      </c>
    </row>
    <row r="32" spans="1:52" ht="15" thickBot="1" x14ac:dyDescent="0.35">
      <c r="A32" s="223">
        <v>39.299999999999997</v>
      </c>
      <c r="B32" s="3">
        <v>94</v>
      </c>
      <c r="C32" s="264" t="s">
        <v>16</v>
      </c>
      <c r="D32" s="4">
        <v>140.6</v>
      </c>
      <c r="E32" s="4">
        <v>231.7</v>
      </c>
      <c r="F32" s="229">
        <v>2</v>
      </c>
      <c r="G32" s="72">
        <f t="shared" si="0"/>
        <v>45.55</v>
      </c>
      <c r="H32" s="223">
        <f t="shared" ref="H32" si="24">AVERAGE(G32:G34)</f>
        <v>45.85</v>
      </c>
      <c r="I32" s="232">
        <f t="shared" ref="I32" si="25">STDEV(G32:G34)</f>
        <v>0.36055512754640012</v>
      </c>
      <c r="J32" s="235">
        <f t="shared" ref="J32" si="26">(I32/H32)*100</f>
        <v>0.78637977654612889</v>
      </c>
      <c r="P32" t="s">
        <v>322</v>
      </c>
      <c r="AK32" s="111" t="s">
        <v>182</v>
      </c>
      <c r="AL32" s="111">
        <v>6</v>
      </c>
      <c r="AM32" s="111">
        <v>0.20991375173611115</v>
      </c>
      <c r="AN32" s="111"/>
      <c r="AO32" s="111"/>
      <c r="AP32" s="111"/>
      <c r="AU32" s="111" t="s">
        <v>182</v>
      </c>
      <c r="AV32" s="111">
        <v>6</v>
      </c>
      <c r="AW32" s="111">
        <v>0.17574903472222225</v>
      </c>
      <c r="AX32" s="111"/>
      <c r="AY32" s="111"/>
      <c r="AZ32" s="111"/>
    </row>
    <row r="33" spans="1:55" ht="15" thickBot="1" x14ac:dyDescent="0.35">
      <c r="A33" s="224"/>
      <c r="B33" s="5">
        <v>95</v>
      </c>
      <c r="C33" s="265"/>
      <c r="D33" s="6">
        <v>139.5</v>
      </c>
      <c r="E33" s="6">
        <v>231</v>
      </c>
      <c r="F33" s="230"/>
      <c r="G33" s="63">
        <f t="shared" si="0"/>
        <v>45.75</v>
      </c>
      <c r="H33" s="230"/>
      <c r="I33" s="233"/>
      <c r="J33" s="236"/>
      <c r="O33" s="140"/>
      <c r="P33" t="s">
        <v>323</v>
      </c>
    </row>
    <row r="34" spans="1:55" ht="15" thickBot="1" x14ac:dyDescent="0.35">
      <c r="A34" s="225"/>
      <c r="B34" s="7">
        <v>96</v>
      </c>
      <c r="C34" s="266"/>
      <c r="D34" s="2">
        <v>140.1</v>
      </c>
      <c r="E34" s="2">
        <v>232.6</v>
      </c>
      <c r="F34" s="231"/>
      <c r="G34" s="62">
        <f t="shared" si="0"/>
        <v>46.25</v>
      </c>
      <c r="H34" s="231"/>
      <c r="I34" s="234"/>
      <c r="J34" s="237"/>
      <c r="P34" s="81" t="s">
        <v>201</v>
      </c>
      <c r="AK34" s="112"/>
      <c r="AL34" s="112" t="s">
        <v>365</v>
      </c>
      <c r="AM34" s="112" t="s">
        <v>358</v>
      </c>
      <c r="AN34" s="112" t="s">
        <v>348</v>
      </c>
      <c r="AO34" s="112" t="s">
        <v>366</v>
      </c>
      <c r="AP34" s="112" t="s">
        <v>367</v>
      </c>
      <c r="AQ34" s="112" t="s">
        <v>368</v>
      </c>
      <c r="AR34" s="112" t="s">
        <v>369</v>
      </c>
      <c r="AS34" s="112" t="s">
        <v>370</v>
      </c>
      <c r="AU34" s="112"/>
      <c r="AV34" s="112" t="s">
        <v>365</v>
      </c>
      <c r="AW34" s="112" t="s">
        <v>358</v>
      </c>
      <c r="AX34" s="112" t="s">
        <v>348</v>
      </c>
      <c r="AY34" s="112" t="s">
        <v>366</v>
      </c>
      <c r="AZ34" s="112" t="s">
        <v>367</v>
      </c>
      <c r="BA34" s="112" t="s">
        <v>368</v>
      </c>
      <c r="BB34" s="112" t="s">
        <v>369</v>
      </c>
      <c r="BC34" s="112" t="s">
        <v>370</v>
      </c>
    </row>
    <row r="35" spans="1:55" x14ac:dyDescent="0.3">
      <c r="A35" s="223">
        <v>39.299999999999997</v>
      </c>
      <c r="B35" s="3">
        <v>16</v>
      </c>
      <c r="C35" s="267" t="s">
        <v>103</v>
      </c>
      <c r="D35" s="4">
        <v>138.1</v>
      </c>
      <c r="E35" s="4">
        <v>222.8</v>
      </c>
      <c r="F35" s="229">
        <v>2</v>
      </c>
      <c r="G35" s="4">
        <f t="shared" si="0"/>
        <v>42.350000000000009</v>
      </c>
      <c r="H35" s="223">
        <f t="shared" ref="H35" si="27">AVERAGE(G35:G37)</f>
        <v>42.81666666666667</v>
      </c>
      <c r="I35" s="232">
        <f t="shared" ref="I35" si="28">STDEV(G35:G37)</f>
        <v>0.56862407030772999</v>
      </c>
      <c r="J35" s="235">
        <f t="shared" ref="J35" si="29">(I35/H35)*100</f>
        <v>1.3280437609366991</v>
      </c>
      <c r="AK35" t="s">
        <v>364</v>
      </c>
      <c r="AL35">
        <v>0</v>
      </c>
      <c r="AM35" t="e">
        <v>#N/A</v>
      </c>
      <c r="AN35" t="e">
        <v>#N/A</v>
      </c>
      <c r="AO35" t="e">
        <v>#N/A</v>
      </c>
      <c r="AP35" t="e">
        <v>#N/A</v>
      </c>
      <c r="AQ35" t="e">
        <v>#N/A</v>
      </c>
      <c r="AR35" t="e">
        <v>#N/A</v>
      </c>
      <c r="AS35" t="e">
        <v>#N/A</v>
      </c>
      <c r="AU35" t="s">
        <v>364</v>
      </c>
      <c r="AV35">
        <v>0</v>
      </c>
      <c r="AW35" t="e">
        <v>#N/A</v>
      </c>
      <c r="AX35" t="e">
        <v>#N/A</v>
      </c>
      <c r="AY35" t="e">
        <v>#N/A</v>
      </c>
      <c r="AZ35" t="e">
        <v>#N/A</v>
      </c>
      <c r="BA35" t="e">
        <v>#N/A</v>
      </c>
      <c r="BB35" t="e">
        <v>#N/A</v>
      </c>
      <c r="BC35" t="e">
        <v>#N/A</v>
      </c>
    </row>
    <row r="36" spans="1:55" ht="15" thickBot="1" x14ac:dyDescent="0.35">
      <c r="A36" s="224"/>
      <c r="B36" s="5">
        <v>17</v>
      </c>
      <c r="C36" s="268"/>
      <c r="D36" s="6">
        <v>142.5</v>
      </c>
      <c r="E36" s="6">
        <v>227.8</v>
      </c>
      <c r="F36" s="230"/>
      <c r="G36" s="6">
        <f t="shared" si="0"/>
        <v>42.650000000000006</v>
      </c>
      <c r="H36" s="224"/>
      <c r="I36" s="233"/>
      <c r="J36" s="236"/>
      <c r="AK36" s="111" t="s">
        <v>184</v>
      </c>
      <c r="AL36" s="111">
        <v>0.35455798691578466</v>
      </c>
      <c r="AM36" s="111">
        <v>5.3150152084505443E-3</v>
      </c>
      <c r="AN36" s="111">
        <v>66.708743627310696</v>
      </c>
      <c r="AO36" s="111">
        <v>1.433326016071377E-8</v>
      </c>
      <c r="AP36" s="111">
        <v>0.34089530536481094</v>
      </c>
      <c r="AQ36" s="111">
        <v>0.36822066846675838</v>
      </c>
      <c r="AR36" s="111">
        <v>0.34089530536481094</v>
      </c>
      <c r="AS36" s="111">
        <v>0.36822066846675838</v>
      </c>
      <c r="AU36" s="111" t="s">
        <v>184</v>
      </c>
      <c r="AV36" s="111">
        <v>0.35422072466988519</v>
      </c>
      <c r="AW36" s="111">
        <v>6.5081997041487993E-3</v>
      </c>
      <c r="AX36" s="111">
        <v>54.426837032071887</v>
      </c>
      <c r="AY36" s="111">
        <v>3.9597599634897638E-8</v>
      </c>
      <c r="AZ36" s="111">
        <v>0.33749086472770662</v>
      </c>
      <c r="BA36" s="111">
        <v>0.37095058461206376</v>
      </c>
      <c r="BB36" s="111">
        <v>0.33749086472770662</v>
      </c>
      <c r="BC36" s="111">
        <v>0.37095058461206376</v>
      </c>
    </row>
    <row r="37" spans="1:55" ht="15" thickBot="1" x14ac:dyDescent="0.35">
      <c r="A37" s="225"/>
      <c r="B37" s="7">
        <v>18</v>
      </c>
      <c r="C37" s="269"/>
      <c r="D37" s="2">
        <v>137.5</v>
      </c>
      <c r="E37" s="2">
        <v>224.4</v>
      </c>
      <c r="F37" s="231"/>
      <c r="G37" s="2">
        <f t="shared" si="0"/>
        <v>43.45</v>
      </c>
      <c r="H37" s="225"/>
      <c r="I37" s="234"/>
      <c r="J37" s="237"/>
    </row>
    <row r="40" spans="1:55" ht="15" thickBot="1" x14ac:dyDescent="0.35">
      <c r="G40" s="247"/>
      <c r="H40" s="247"/>
      <c r="J40" s="247"/>
      <c r="K40" s="247"/>
    </row>
    <row r="41" spans="1:55" ht="15" thickBot="1" x14ac:dyDescent="0.35">
      <c r="B41" s="8" t="s">
        <v>172</v>
      </c>
    </row>
    <row r="42" spans="1:55" ht="15" thickBot="1" x14ac:dyDescent="0.35">
      <c r="B42" s="9" t="s">
        <v>173</v>
      </c>
    </row>
    <row r="57" spans="2:34" ht="16.2" x14ac:dyDescent="0.3">
      <c r="O57" s="245" t="s">
        <v>38</v>
      </c>
      <c r="P57" s="245"/>
      <c r="Q57" s="246" t="s">
        <v>319</v>
      </c>
      <c r="R57" s="247"/>
      <c r="W57" s="248" t="s">
        <v>194</v>
      </c>
      <c r="X57" s="248"/>
      <c r="Y57" s="248"/>
      <c r="Z57" s="248"/>
      <c r="AA57" s="248"/>
      <c r="AB57" s="248"/>
      <c r="AC57" s="248"/>
      <c r="AD57" s="248"/>
      <c r="AE57" s="248"/>
    </row>
    <row r="58" spans="2:34" x14ac:dyDescent="0.3">
      <c r="O58" s="245" t="s">
        <v>39</v>
      </c>
      <c r="P58" s="245"/>
      <c r="Q58" s="18" t="s">
        <v>255</v>
      </c>
      <c r="W58" s="11" t="s">
        <v>24</v>
      </c>
      <c r="X58" s="12" t="s">
        <v>195</v>
      </c>
      <c r="Y58" s="242" t="s">
        <v>25</v>
      </c>
      <c r="Z58" s="242"/>
      <c r="AA58" s="243" t="s">
        <v>26</v>
      </c>
      <c r="AB58" s="243"/>
      <c r="AC58" s="244" t="s">
        <v>199</v>
      </c>
      <c r="AD58" s="219"/>
      <c r="AE58" s="13" t="s">
        <v>27</v>
      </c>
    </row>
    <row r="59" spans="2:34" ht="15" thickBot="1" x14ac:dyDescent="0.35">
      <c r="O59" s="238" t="s">
        <v>28</v>
      </c>
      <c r="P59" s="239"/>
      <c r="Q59" s="246" t="s">
        <v>40</v>
      </c>
      <c r="R59" s="247"/>
      <c r="S59" s="247"/>
      <c r="T59" s="247"/>
      <c r="U59" s="14"/>
      <c r="V59" s="14"/>
      <c r="W59" s="11" t="s">
        <v>29</v>
      </c>
      <c r="X59" s="12">
        <v>5</v>
      </c>
      <c r="Y59" s="242" t="s">
        <v>196</v>
      </c>
      <c r="Z59" s="242"/>
      <c r="AA59" s="243" t="s">
        <v>30</v>
      </c>
      <c r="AB59" s="243"/>
      <c r="AC59" s="244" t="s">
        <v>256</v>
      </c>
      <c r="AD59" s="219"/>
      <c r="AE59" s="13" t="s">
        <v>27</v>
      </c>
      <c r="AF59" s="14"/>
      <c r="AG59" s="14"/>
      <c r="AH59" s="14"/>
    </row>
    <row r="60" spans="2:34" ht="16.2" thickBot="1" x14ac:dyDescent="0.4">
      <c r="B60" s="160" t="s">
        <v>254</v>
      </c>
      <c r="O60" s="238" t="s">
        <v>192</v>
      </c>
      <c r="P60" s="239"/>
      <c r="Q60" s="240">
        <v>45033</v>
      </c>
      <c r="R60" s="241"/>
      <c r="S60" s="15">
        <v>0.73125000000000007</v>
      </c>
      <c r="T60" s="16"/>
      <c r="U60" s="16"/>
      <c r="W60" s="11" t="s">
        <v>31</v>
      </c>
      <c r="X60" s="12">
        <v>25</v>
      </c>
      <c r="Y60" s="242" t="s">
        <v>197</v>
      </c>
      <c r="Z60" s="242"/>
      <c r="AA60" s="243" t="s">
        <v>32</v>
      </c>
      <c r="AB60" s="243"/>
      <c r="AC60" s="244" t="s">
        <v>33</v>
      </c>
      <c r="AD60" s="219"/>
      <c r="AE60" s="17"/>
      <c r="AF60" s="244" t="s">
        <v>33</v>
      </c>
      <c r="AG60" s="219"/>
      <c r="AH60" s="17"/>
    </row>
    <row r="61" spans="2:34" x14ac:dyDescent="0.3">
      <c r="O61" s="144"/>
      <c r="P61" s="145"/>
      <c r="Q61" s="146"/>
      <c r="R61" s="91"/>
      <c r="S61" s="15"/>
      <c r="T61" s="16"/>
      <c r="U61" s="16"/>
      <c r="W61" s="11"/>
      <c r="X61" s="12"/>
      <c r="Y61" s="11"/>
      <c r="Z61" s="11"/>
      <c r="AA61" s="13"/>
      <c r="AB61" s="13"/>
      <c r="AC61" s="142"/>
      <c r="AD61" s="143"/>
      <c r="AE61" s="17"/>
      <c r="AF61" s="142"/>
      <c r="AG61" s="143"/>
      <c r="AH61" s="17"/>
    </row>
    <row r="62" spans="2:34" x14ac:dyDescent="0.3">
      <c r="O62" s="144"/>
      <c r="P62" s="145"/>
      <c r="Q62" s="146"/>
      <c r="R62" s="91"/>
      <c r="S62" s="15"/>
      <c r="T62" s="16"/>
      <c r="U62" s="16"/>
      <c r="W62" s="11"/>
      <c r="X62" s="12"/>
      <c r="Y62" s="11"/>
      <c r="Z62" s="11"/>
      <c r="AA62" s="13"/>
      <c r="AB62" s="13"/>
      <c r="AC62" s="142"/>
      <c r="AD62" s="143"/>
      <c r="AE62" s="17"/>
      <c r="AF62" s="142"/>
      <c r="AG62" s="143"/>
      <c r="AH62" s="17"/>
    </row>
    <row r="63" spans="2:34" x14ac:dyDescent="0.3">
      <c r="O63" s="144"/>
      <c r="P63" s="145"/>
      <c r="Q63" s="146"/>
      <c r="R63" s="91"/>
      <c r="S63" s="15"/>
      <c r="T63" s="16"/>
      <c r="U63" s="16"/>
      <c r="W63" s="11"/>
      <c r="X63" s="12"/>
      <c r="Y63" s="11"/>
      <c r="Z63" s="11"/>
      <c r="AA63" s="13"/>
      <c r="AB63" s="13"/>
      <c r="AC63" s="142"/>
      <c r="AD63" s="143"/>
      <c r="AE63" s="17"/>
      <c r="AF63" s="142"/>
      <c r="AG63" s="143"/>
      <c r="AH63" s="17"/>
    </row>
    <row r="64" spans="2:34" ht="16.2" thickBot="1" x14ac:dyDescent="0.4">
      <c r="O64" s="238" t="s">
        <v>193</v>
      </c>
      <c r="P64" s="239"/>
      <c r="Q64" s="240">
        <v>45034</v>
      </c>
      <c r="R64" s="241"/>
      <c r="S64" s="15">
        <v>0.88888888888888884</v>
      </c>
      <c r="W64" s="11" t="s">
        <v>34</v>
      </c>
      <c r="X64" s="12" t="s">
        <v>97</v>
      </c>
      <c r="Y64" s="242" t="s">
        <v>198</v>
      </c>
      <c r="Z64" s="242"/>
      <c r="AA64" s="243" t="s">
        <v>35</v>
      </c>
      <c r="AB64" s="243"/>
      <c r="AC64" s="244" t="s">
        <v>36</v>
      </c>
      <c r="AD64" s="219"/>
      <c r="AE64" s="17"/>
      <c r="AF64" s="244" t="s">
        <v>36</v>
      </c>
      <c r="AG64" s="219"/>
      <c r="AH64" s="17"/>
    </row>
    <row r="65" spans="1:40" ht="15" thickBot="1" x14ac:dyDescent="0.35">
      <c r="A65" s="1" t="s">
        <v>92</v>
      </c>
      <c r="B65" s="1" t="s">
        <v>0</v>
      </c>
      <c r="C65" s="1" t="s">
        <v>1</v>
      </c>
      <c r="D65" s="1" t="s">
        <v>90</v>
      </c>
      <c r="E65" s="1" t="s">
        <v>91</v>
      </c>
      <c r="F65" s="1" t="s">
        <v>2</v>
      </c>
      <c r="G65" s="1" t="s">
        <v>252</v>
      </c>
      <c r="H65" s="1" t="s">
        <v>253</v>
      </c>
      <c r="I65" s="52" t="s">
        <v>20</v>
      </c>
      <c r="J65" s="52" t="s">
        <v>297</v>
      </c>
      <c r="AC65" s="218" t="s">
        <v>37</v>
      </c>
      <c r="AD65" s="219"/>
      <c r="AE65" s="17"/>
    </row>
    <row r="66" spans="1:40" x14ac:dyDescent="0.3">
      <c r="A66" s="223">
        <v>0</v>
      </c>
      <c r="B66" s="3">
        <v>1</v>
      </c>
      <c r="C66" s="226" t="s">
        <v>267</v>
      </c>
      <c r="D66" s="4">
        <v>133.5</v>
      </c>
      <c r="E66" s="4">
        <v>173.9</v>
      </c>
      <c r="F66" s="229">
        <v>2</v>
      </c>
      <c r="G66" s="4">
        <f t="shared" ref="G66:G89" si="30">(E66-D66)/$F$2</f>
        <v>20.200000000000003</v>
      </c>
      <c r="H66" s="223">
        <f>AVERAGE(G66:G68)</f>
        <v>20.349999999999998</v>
      </c>
      <c r="I66" s="232">
        <f>STDEV(G66:G68)</f>
        <v>0.14999999999999858</v>
      </c>
      <c r="J66" s="235">
        <f t="shared" ref="J66" si="31">(I66/H66)*100</f>
        <v>0.73710073710073021</v>
      </c>
    </row>
    <row r="67" spans="1:40" x14ac:dyDescent="0.3">
      <c r="A67" s="224"/>
      <c r="B67" s="5">
        <v>2</v>
      </c>
      <c r="C67" s="227"/>
      <c r="D67" s="6">
        <v>135</v>
      </c>
      <c r="E67" s="63">
        <v>176</v>
      </c>
      <c r="F67" s="230"/>
      <c r="G67" s="6">
        <f t="shared" si="30"/>
        <v>20.5</v>
      </c>
      <c r="H67" s="224"/>
      <c r="I67" s="233"/>
      <c r="J67" s="236"/>
    </row>
    <row r="68" spans="1:40" ht="15" thickBot="1" x14ac:dyDescent="0.35">
      <c r="A68" s="225"/>
      <c r="B68" s="7">
        <v>3</v>
      </c>
      <c r="C68" s="228"/>
      <c r="D68" s="2">
        <v>135.80000000000001</v>
      </c>
      <c r="E68" s="62">
        <v>176.5</v>
      </c>
      <c r="F68" s="231"/>
      <c r="G68" s="2">
        <f t="shared" si="30"/>
        <v>20.349999999999994</v>
      </c>
      <c r="H68" s="225"/>
      <c r="I68" s="234"/>
      <c r="J68" s="237"/>
    </row>
    <row r="69" spans="1:40" x14ac:dyDescent="0.3">
      <c r="A69" s="223">
        <v>0</v>
      </c>
      <c r="B69" s="5">
        <v>4</v>
      </c>
      <c r="C69" s="226" t="s">
        <v>268</v>
      </c>
      <c r="D69" s="6">
        <v>133.5</v>
      </c>
      <c r="E69" s="63">
        <v>174.4</v>
      </c>
      <c r="F69" s="229">
        <v>2</v>
      </c>
      <c r="G69" s="4">
        <f t="shared" si="30"/>
        <v>20.450000000000003</v>
      </c>
      <c r="H69" s="223">
        <f>AVERAGE(G69:G71)</f>
        <v>20.299999999999997</v>
      </c>
      <c r="I69" s="232">
        <f>STDEV(G69:G71)</f>
        <v>0.15000000000000568</v>
      </c>
      <c r="J69" s="235">
        <f t="shared" ref="J69" si="32">(I69/H69)*100</f>
        <v>0.73891625615766354</v>
      </c>
    </row>
    <row r="70" spans="1:40" x14ac:dyDescent="0.3">
      <c r="A70" s="224"/>
      <c r="B70" s="5">
        <v>5</v>
      </c>
      <c r="C70" s="227"/>
      <c r="D70" s="6">
        <v>133.4</v>
      </c>
      <c r="E70" s="63">
        <v>173.7</v>
      </c>
      <c r="F70" s="230"/>
      <c r="G70" s="6">
        <f t="shared" si="30"/>
        <v>20.149999999999991</v>
      </c>
      <c r="H70" s="224"/>
      <c r="I70" s="233"/>
      <c r="J70" s="236"/>
    </row>
    <row r="71" spans="1:40" ht="15" thickBot="1" x14ac:dyDescent="0.35">
      <c r="A71" s="225"/>
      <c r="B71" s="5">
        <v>6</v>
      </c>
      <c r="C71" s="228"/>
      <c r="D71" s="6">
        <v>136.30000000000001</v>
      </c>
      <c r="E71" s="63">
        <v>176.9</v>
      </c>
      <c r="F71" s="231"/>
      <c r="G71" s="2">
        <f t="shared" si="30"/>
        <v>20.299999999999997</v>
      </c>
      <c r="H71" s="225"/>
      <c r="I71" s="234"/>
      <c r="J71" s="237"/>
    </row>
    <row r="72" spans="1:40" x14ac:dyDescent="0.3">
      <c r="A72" s="223">
        <v>21.8</v>
      </c>
      <c r="B72" s="3">
        <v>7</v>
      </c>
      <c r="C72" s="226" t="s">
        <v>271</v>
      </c>
      <c r="D72" s="4">
        <v>135.80000000000001</v>
      </c>
      <c r="E72" s="4">
        <v>190.6</v>
      </c>
      <c r="F72" s="229">
        <v>2</v>
      </c>
      <c r="G72" s="4">
        <f t="shared" si="30"/>
        <v>27.399999999999991</v>
      </c>
      <c r="H72" s="223">
        <f t="shared" ref="H72" si="33">AVERAGE(G72:G74)</f>
        <v>27.599999999999991</v>
      </c>
      <c r="I72" s="232">
        <f t="shared" ref="I72" si="34">STDEV(G72:G74)</f>
        <v>0.17320508075688609</v>
      </c>
      <c r="J72" s="235">
        <f t="shared" ref="J72" si="35">(I72/H72)*100</f>
        <v>0.62755464042350051</v>
      </c>
    </row>
    <row r="73" spans="1:40" x14ac:dyDescent="0.3">
      <c r="A73" s="224"/>
      <c r="B73" s="5">
        <v>8</v>
      </c>
      <c r="C73" s="227"/>
      <c r="D73" s="6">
        <v>134.30000000000001</v>
      </c>
      <c r="E73" s="6">
        <v>189.7</v>
      </c>
      <c r="F73" s="230"/>
      <c r="G73" s="6">
        <f t="shared" si="30"/>
        <v>27.699999999999989</v>
      </c>
      <c r="H73" s="224"/>
      <c r="I73" s="233"/>
      <c r="J73" s="236"/>
    </row>
    <row r="74" spans="1:40" ht="15" thickBot="1" x14ac:dyDescent="0.35">
      <c r="A74" s="225"/>
      <c r="B74" s="7">
        <v>9</v>
      </c>
      <c r="C74" s="228"/>
      <c r="D74" s="62">
        <v>135.30000000000001</v>
      </c>
      <c r="E74" s="62">
        <v>190.7</v>
      </c>
      <c r="F74" s="231"/>
      <c r="G74" s="2">
        <f t="shared" si="30"/>
        <v>27.699999999999989</v>
      </c>
      <c r="H74" s="225"/>
      <c r="I74" s="234"/>
      <c r="J74" s="237"/>
    </row>
    <row r="75" spans="1:40" ht="15" thickBot="1" x14ac:dyDescent="0.35">
      <c r="A75" s="223">
        <v>21.8</v>
      </c>
      <c r="B75" s="5">
        <v>10</v>
      </c>
      <c r="C75" s="226" t="s">
        <v>272</v>
      </c>
      <c r="D75" s="63">
        <v>133.9</v>
      </c>
      <c r="E75" s="63">
        <v>190</v>
      </c>
      <c r="F75" s="229">
        <v>2</v>
      </c>
      <c r="G75" s="4">
        <f t="shared" si="30"/>
        <v>28.049999999999997</v>
      </c>
      <c r="H75" s="223">
        <f>AVERAGE(G75:G77)</f>
        <v>28.116666666666664</v>
      </c>
      <c r="I75" s="232">
        <f>STDEV(G75:G77)</f>
        <v>7.6376261582600746E-2</v>
      </c>
      <c r="J75" s="235">
        <f t="shared" ref="J75" si="36">(I75/H75)*100</f>
        <v>0.27164052726473298</v>
      </c>
    </row>
    <row r="76" spans="1:40" ht="15" thickBot="1" x14ac:dyDescent="0.35">
      <c r="A76" s="224"/>
      <c r="B76" s="5">
        <v>11</v>
      </c>
      <c r="C76" s="227"/>
      <c r="D76" s="63">
        <v>133.4</v>
      </c>
      <c r="E76" s="63">
        <v>189.6</v>
      </c>
      <c r="F76" s="230"/>
      <c r="G76" s="6">
        <f t="shared" si="30"/>
        <v>28.099999999999994</v>
      </c>
      <c r="H76" s="224"/>
      <c r="I76" s="233"/>
      <c r="J76" s="236"/>
      <c r="P76" s="220" t="s">
        <v>254</v>
      </c>
      <c r="Q76" s="221"/>
      <c r="R76" s="221"/>
      <c r="S76" s="221"/>
      <c r="T76" s="221"/>
      <c r="U76" s="222"/>
    </row>
    <row r="77" spans="1:40" ht="15" thickBot="1" x14ac:dyDescent="0.35">
      <c r="A77" s="225"/>
      <c r="B77" s="5">
        <v>12</v>
      </c>
      <c r="C77" s="228"/>
      <c r="D77" s="63">
        <v>136.1</v>
      </c>
      <c r="E77" s="63">
        <v>192.5</v>
      </c>
      <c r="F77" s="231"/>
      <c r="G77" s="2">
        <f t="shared" si="30"/>
        <v>28.200000000000003</v>
      </c>
      <c r="H77" s="225"/>
      <c r="I77" s="234"/>
      <c r="J77" s="237"/>
      <c r="O77" s="1" t="s">
        <v>1</v>
      </c>
      <c r="P77" s="52" t="s">
        <v>190</v>
      </c>
      <c r="Q77" s="52" t="s">
        <v>181</v>
      </c>
      <c r="R77" s="52" t="s">
        <v>299</v>
      </c>
      <c r="S77" s="52" t="s">
        <v>189</v>
      </c>
      <c r="T77" s="52" t="s">
        <v>181</v>
      </c>
      <c r="U77" s="161" t="s">
        <v>299</v>
      </c>
    </row>
    <row r="78" spans="1:40" ht="15" thickBot="1" x14ac:dyDescent="0.35">
      <c r="A78" s="223">
        <v>33.299999999999997</v>
      </c>
      <c r="B78" s="3">
        <v>13</v>
      </c>
      <c r="C78" s="226" t="s">
        <v>278</v>
      </c>
      <c r="D78" s="4">
        <v>133.5</v>
      </c>
      <c r="E78" s="4">
        <v>200.3</v>
      </c>
      <c r="F78" s="229">
        <v>2</v>
      </c>
      <c r="G78" s="4">
        <f t="shared" si="30"/>
        <v>33.400000000000006</v>
      </c>
      <c r="H78" s="223">
        <f>AVERAGE(G78:G80)</f>
        <v>33.666666666666679</v>
      </c>
      <c r="I78" s="232">
        <f>STDEV(G78:G80)</f>
        <v>0.2309401076758536</v>
      </c>
      <c r="J78" s="235">
        <f t="shared" ref="J78" si="37">(I78/H78)*100</f>
        <v>0.68596071586887186</v>
      </c>
      <c r="O78" s="191" t="s">
        <v>93</v>
      </c>
      <c r="P78" s="192">
        <f>AVERAGE('Raw DO600'!F102:F107)</f>
        <v>0.52316666666666667</v>
      </c>
      <c r="Q78" s="193">
        <f>P78*SQRT((0.007/0.529)^2+(0.012/0.517)^2)</f>
        <v>1.3977875131894465E-2</v>
      </c>
      <c r="R78" s="176">
        <f>(Q78/P78)*100</f>
        <v>2.6717824399925707</v>
      </c>
      <c r="S78" s="193">
        <f>AVERAGE(H66:H71)/100</f>
        <v>0.20324999999999996</v>
      </c>
      <c r="T78" s="192">
        <f>S78*SQRT((I66/H66)^2+(I69/H69)^2)</f>
        <v>2.1213251576809524E-3</v>
      </c>
      <c r="U78" s="176">
        <f>(T78/S78)*100</f>
        <v>1.0437024146031748</v>
      </c>
      <c r="AM78" s="275" t="s">
        <v>254</v>
      </c>
      <c r="AN78" s="276"/>
    </row>
    <row r="79" spans="1:40" ht="15" thickBot="1" x14ac:dyDescent="0.35">
      <c r="A79" s="224"/>
      <c r="B79" s="5">
        <v>14</v>
      </c>
      <c r="C79" s="227"/>
      <c r="D79" s="6">
        <v>136.19999999999999</v>
      </c>
      <c r="E79" s="6">
        <v>203.8</v>
      </c>
      <c r="F79" s="230"/>
      <c r="G79" s="6">
        <f t="shared" si="30"/>
        <v>33.800000000000011</v>
      </c>
      <c r="H79" s="224"/>
      <c r="I79" s="233"/>
      <c r="J79" s="236"/>
      <c r="O79" s="189" t="s">
        <v>95</v>
      </c>
      <c r="P79" s="74">
        <v>0.37116666666666664</v>
      </c>
      <c r="Q79" s="19">
        <v>1.6472634533368957E-2</v>
      </c>
      <c r="R79" s="177">
        <v>4.4380694746391445</v>
      </c>
      <c r="S79" s="19">
        <v>0.12758333333333333</v>
      </c>
      <c r="T79" s="74">
        <v>2.004366052015379E-3</v>
      </c>
      <c r="U79" s="177">
        <v>1.5710249917821391</v>
      </c>
    </row>
    <row r="80" spans="1:40" ht="15" thickBot="1" x14ac:dyDescent="0.35">
      <c r="A80" s="225"/>
      <c r="B80" s="7">
        <v>15</v>
      </c>
      <c r="C80" s="228"/>
      <c r="D80" s="2">
        <v>133.69999999999999</v>
      </c>
      <c r="E80" s="62">
        <v>201.3</v>
      </c>
      <c r="F80" s="231"/>
      <c r="G80" s="2">
        <f t="shared" si="30"/>
        <v>33.800000000000011</v>
      </c>
      <c r="H80" s="225"/>
      <c r="I80" s="234"/>
      <c r="J80" s="237"/>
      <c r="O80" s="191" t="s">
        <v>74</v>
      </c>
      <c r="P80" s="137">
        <f>AVERAGE('Raw DO600'!F126:F131)</f>
        <v>0.41483333333333328</v>
      </c>
      <c r="Q80" s="194">
        <f>P80*SQRT((0.003/0.421)^2+(0.016/0.408)^2)</f>
        <v>1.6534365618785695E-2</v>
      </c>
      <c r="R80" s="177">
        <f>(Q80/P80)*100</f>
        <v>3.9857852034035428</v>
      </c>
      <c r="S80" s="194">
        <f>AVERAGE(H72:H77)/200</f>
        <v>0.13929166666666665</v>
      </c>
      <c r="T80" s="137">
        <f>S80*SQRT((I72/H72)^2+(I75/H75)^2)</f>
        <v>9.5250795208933956E-4</v>
      </c>
      <c r="U80" s="177">
        <f>(T80/S80)*100</f>
        <v>0.68382263984876324</v>
      </c>
      <c r="AM80" s="113" t="s">
        <v>354</v>
      </c>
      <c r="AN80" s="113"/>
    </row>
    <row r="81" spans="1:47" ht="15" thickBot="1" x14ac:dyDescent="0.35">
      <c r="A81" s="223">
        <v>33.299999999999997</v>
      </c>
      <c r="B81" s="5">
        <v>16</v>
      </c>
      <c r="C81" s="226" t="s">
        <v>282</v>
      </c>
      <c r="D81" s="6">
        <v>133.4</v>
      </c>
      <c r="E81" s="63">
        <v>201.9</v>
      </c>
      <c r="F81" s="229">
        <v>2</v>
      </c>
      <c r="G81" s="4">
        <f t="shared" si="30"/>
        <v>34.25</v>
      </c>
      <c r="H81" s="223">
        <f>AVERAGE(G81:G83)</f>
        <v>34.466666666666661</v>
      </c>
      <c r="I81" s="232">
        <f>STDEV(G81:G83)</f>
        <v>0.18929694486000648</v>
      </c>
      <c r="J81" s="235">
        <f t="shared" ref="J81" si="38">(I81/H81)*100</f>
        <v>0.54921744156675001</v>
      </c>
      <c r="O81" s="191" t="s">
        <v>76</v>
      </c>
      <c r="P81" s="137">
        <f>AVERAGE('Raw DO600'!F138:F143)</f>
        <v>0.47766666666666668</v>
      </c>
      <c r="Q81" s="194">
        <f>P81*SQRT((0.01/0.474)^2+(0.003/0.481)^2)</f>
        <v>1.0508510492106349E-2</v>
      </c>
      <c r="R81" s="177">
        <f>(Q81/P81)*100</f>
        <v>2.1999673046977701</v>
      </c>
      <c r="S81" s="194">
        <f>AVERAGE(H78:H83)/200</f>
        <v>0.17033333333333334</v>
      </c>
      <c r="T81" s="137">
        <f>S81*SQRT((I78/H78)^2+(I81/H81)^2)</f>
        <v>1.4967851118292709E-3</v>
      </c>
      <c r="U81" s="177">
        <f>(T81/S81)*100</f>
        <v>0.87873881320700842</v>
      </c>
      <c r="AM81" t="s">
        <v>355</v>
      </c>
      <c r="AN81">
        <v>0.99948532351832986</v>
      </c>
    </row>
    <row r="82" spans="1:47" ht="15" thickBot="1" x14ac:dyDescent="0.35">
      <c r="A82" s="224"/>
      <c r="B82" s="5">
        <v>17</v>
      </c>
      <c r="C82" s="227"/>
      <c r="D82" s="6">
        <v>134.9</v>
      </c>
      <c r="E82" s="63">
        <v>204.1</v>
      </c>
      <c r="F82" s="230"/>
      <c r="G82" s="6">
        <f t="shared" si="30"/>
        <v>34.599999999999994</v>
      </c>
      <c r="H82" s="224"/>
      <c r="I82" s="233"/>
      <c r="J82" s="236"/>
      <c r="O82" s="191" t="s">
        <v>77</v>
      </c>
      <c r="P82" s="139">
        <f>AVERAGE('Raw DO600'!F144:F149)</f>
        <v>0.53200000000000003</v>
      </c>
      <c r="Q82" s="195">
        <f>P82*SQRT((0.003/0.526)^2+(0.006/0.538)^2)</f>
        <v>6.6639326085364114E-3</v>
      </c>
      <c r="R82" s="178">
        <f>(Q82/P82)*100</f>
        <v>1.2526189113790247</v>
      </c>
      <c r="S82" s="195">
        <f>AVERAGE(H84:H89)/200</f>
        <v>0.1940833333333333</v>
      </c>
      <c r="T82" s="139">
        <f>S82*SQRT((I84/H84)^2+(I87/H87)^2)</f>
        <v>7.2207845827639667E-4</v>
      </c>
      <c r="U82" s="178">
        <f>(T82/S82)*100</f>
        <v>0.37204557747173728</v>
      </c>
      <c r="AM82" t="s">
        <v>356</v>
      </c>
      <c r="AN82">
        <v>0.99897091192854048</v>
      </c>
    </row>
    <row r="83" spans="1:47" ht="15" thickBot="1" x14ac:dyDescent="0.35">
      <c r="A83" s="225"/>
      <c r="B83" s="5">
        <v>18</v>
      </c>
      <c r="C83" s="228"/>
      <c r="D83" s="6">
        <v>135.6</v>
      </c>
      <c r="E83" s="63">
        <v>204.7</v>
      </c>
      <c r="F83" s="231"/>
      <c r="G83" s="2">
        <f t="shared" si="30"/>
        <v>34.549999999999997</v>
      </c>
      <c r="H83" s="225"/>
      <c r="I83" s="234"/>
      <c r="J83" s="237"/>
      <c r="AM83" t="s">
        <v>357</v>
      </c>
      <c r="AN83">
        <v>0.66563757859520711</v>
      </c>
    </row>
    <row r="84" spans="1:47" x14ac:dyDescent="0.3">
      <c r="A84" s="223">
        <v>39.299999999999997</v>
      </c>
      <c r="B84" s="3">
        <v>19</v>
      </c>
      <c r="C84" s="226" t="s">
        <v>273</v>
      </c>
      <c r="D84" s="4">
        <v>134.6</v>
      </c>
      <c r="E84" s="4">
        <v>211.4</v>
      </c>
      <c r="F84" s="229">
        <v>2</v>
      </c>
      <c r="G84" s="4">
        <f t="shared" si="30"/>
        <v>38.400000000000006</v>
      </c>
      <c r="H84" s="223">
        <f t="shared" ref="H84" si="39">AVERAGE(G84:G86)</f>
        <v>38.433333333333337</v>
      </c>
      <c r="I84" s="232">
        <f t="shared" ref="I84" si="40">STDEV(G84:G86)</f>
        <v>0.10408329997330072</v>
      </c>
      <c r="J84" s="235">
        <f t="shared" ref="J84" si="41">(I84/H84)*100</f>
        <v>0.27081517772758207</v>
      </c>
      <c r="AM84" t="s">
        <v>358</v>
      </c>
      <c r="AN84">
        <v>5.9256211357865728E-3</v>
      </c>
    </row>
    <row r="85" spans="1:47" ht="15" thickBot="1" x14ac:dyDescent="0.35">
      <c r="A85" s="224"/>
      <c r="B85" s="5">
        <v>20</v>
      </c>
      <c r="C85" s="227"/>
      <c r="D85" s="6">
        <v>132.19999999999999</v>
      </c>
      <c r="E85" s="6">
        <v>208.9</v>
      </c>
      <c r="F85" s="230"/>
      <c r="G85" s="6">
        <f t="shared" si="30"/>
        <v>38.350000000000009</v>
      </c>
      <c r="H85" s="224"/>
      <c r="I85" s="233"/>
      <c r="J85" s="236"/>
      <c r="AM85" s="111" t="s">
        <v>344</v>
      </c>
      <c r="AN85" s="111">
        <v>4</v>
      </c>
    </row>
    <row r="86" spans="1:47" ht="15" thickBot="1" x14ac:dyDescent="0.35">
      <c r="A86" s="225"/>
      <c r="B86" s="7">
        <v>21</v>
      </c>
      <c r="C86" s="228"/>
      <c r="D86" s="2">
        <v>133.9</v>
      </c>
      <c r="E86" s="2">
        <v>211</v>
      </c>
      <c r="F86" s="231"/>
      <c r="G86" s="2">
        <f t="shared" si="30"/>
        <v>38.549999999999997</v>
      </c>
      <c r="H86" s="225"/>
      <c r="I86" s="234"/>
      <c r="J86" s="237"/>
    </row>
    <row r="87" spans="1:47" ht="15" thickBot="1" x14ac:dyDescent="0.35">
      <c r="A87" s="223">
        <v>39.299999999999997</v>
      </c>
      <c r="B87" s="3">
        <v>22</v>
      </c>
      <c r="C87" s="226" t="s">
        <v>274</v>
      </c>
      <c r="D87" s="4">
        <v>135</v>
      </c>
      <c r="E87" s="72">
        <v>213.2</v>
      </c>
      <c r="F87" s="229">
        <v>2</v>
      </c>
      <c r="G87" s="4">
        <f t="shared" si="30"/>
        <v>39.099999999999994</v>
      </c>
      <c r="H87" s="223">
        <f>AVERAGE(G87:G89)</f>
        <v>39.199999999999996</v>
      </c>
      <c r="I87" s="232">
        <f>STDEV(G87:G89)</f>
        <v>0.10000000000000142</v>
      </c>
      <c r="J87" s="235">
        <f t="shared" ref="J87" si="42">(I87/H87)*100</f>
        <v>0.2551020408163302</v>
      </c>
      <c r="AM87" t="s">
        <v>359</v>
      </c>
    </row>
    <row r="88" spans="1:47" ht="15" thickBot="1" x14ac:dyDescent="0.35">
      <c r="A88" s="224"/>
      <c r="B88" s="5">
        <v>23</v>
      </c>
      <c r="C88" s="227"/>
      <c r="D88" s="6">
        <v>133.4</v>
      </c>
      <c r="E88" s="63">
        <v>212</v>
      </c>
      <c r="F88" s="230"/>
      <c r="G88" s="6">
        <f t="shared" si="30"/>
        <v>39.299999999999997</v>
      </c>
      <c r="H88" s="224"/>
      <c r="I88" s="233"/>
      <c r="J88" s="236"/>
      <c r="P88" s="275" t="s">
        <v>254</v>
      </c>
      <c r="Q88" s="276"/>
      <c r="AM88" s="112"/>
      <c r="AN88" s="112" t="s">
        <v>347</v>
      </c>
      <c r="AO88" s="112" t="s">
        <v>361</v>
      </c>
      <c r="AP88" s="112" t="s">
        <v>362</v>
      </c>
      <c r="AQ88" s="112" t="s">
        <v>183</v>
      </c>
      <c r="AR88" s="112" t="s">
        <v>363</v>
      </c>
    </row>
    <row r="89" spans="1:47" ht="15" thickBot="1" x14ac:dyDescent="0.35">
      <c r="A89" s="225"/>
      <c r="B89" s="7">
        <v>24</v>
      </c>
      <c r="C89" s="228"/>
      <c r="D89" s="2">
        <v>134.9</v>
      </c>
      <c r="E89" s="62">
        <v>213.3</v>
      </c>
      <c r="F89" s="231"/>
      <c r="G89" s="2">
        <f t="shared" si="30"/>
        <v>39.200000000000003</v>
      </c>
      <c r="H89" s="225"/>
      <c r="I89" s="234"/>
      <c r="J89" s="237"/>
      <c r="O89" s="1" t="s">
        <v>1</v>
      </c>
      <c r="P89" s="120" t="s">
        <v>190</v>
      </c>
      <c r="Q89" s="1" t="s">
        <v>189</v>
      </c>
      <c r="AM89" t="s">
        <v>191</v>
      </c>
      <c r="AN89">
        <v>1</v>
      </c>
      <c r="AO89">
        <v>0.10225612111190979</v>
      </c>
      <c r="AP89">
        <v>0.10225612111190979</v>
      </c>
      <c r="AQ89">
        <v>2912.202384714562</v>
      </c>
      <c r="AR89">
        <v>3.4320596183697093E-4</v>
      </c>
    </row>
    <row r="90" spans="1:47" ht="15" thickBot="1" x14ac:dyDescent="0.35">
      <c r="A90" s="10"/>
      <c r="B90" s="10"/>
      <c r="E90" s="10"/>
      <c r="F90" s="10"/>
      <c r="G90" s="10"/>
      <c r="H90" s="10"/>
      <c r="I90" s="10"/>
      <c r="O90" s="133" t="s">
        <v>93</v>
      </c>
      <c r="P90" s="196">
        <v>0.52316666666666667</v>
      </c>
      <c r="Q90" s="196">
        <v>0.20324999999999996</v>
      </c>
      <c r="AM90" t="s">
        <v>360</v>
      </c>
      <c r="AN90">
        <v>3</v>
      </c>
      <c r="AO90">
        <v>1.0533895753464165E-4</v>
      </c>
      <c r="AP90">
        <v>3.5112985844880548E-5</v>
      </c>
    </row>
    <row r="91" spans="1:47" ht="15" thickBot="1" x14ac:dyDescent="0.35">
      <c r="A91" s="10"/>
      <c r="B91" s="10"/>
      <c r="C91" s="10"/>
      <c r="D91" s="10"/>
      <c r="E91" s="10"/>
      <c r="F91" s="10"/>
      <c r="G91" s="10"/>
      <c r="H91" s="10"/>
      <c r="I91" s="10"/>
      <c r="O91" s="5" t="s">
        <v>95</v>
      </c>
      <c r="P91" s="74">
        <f>P79</f>
        <v>0.37116666666666664</v>
      </c>
      <c r="Q91" s="74">
        <f>S79</f>
        <v>0.12758333333333333</v>
      </c>
      <c r="AM91" s="111" t="s">
        <v>182</v>
      </c>
      <c r="AN91" s="111">
        <v>4</v>
      </c>
      <c r="AO91" s="111">
        <v>0.10236146006944444</v>
      </c>
      <c r="AP91" s="111"/>
      <c r="AQ91" s="111"/>
      <c r="AR91" s="111"/>
    </row>
    <row r="92" spans="1:47" ht="15" thickBot="1" x14ac:dyDescent="0.35">
      <c r="O92" s="133" t="s">
        <v>74</v>
      </c>
      <c r="P92" s="137">
        <v>0.41483333333333328</v>
      </c>
      <c r="Q92" s="137">
        <v>0.13929166666666665</v>
      </c>
    </row>
    <row r="93" spans="1:47" ht="15" thickBot="1" x14ac:dyDescent="0.35">
      <c r="O93" s="133" t="s">
        <v>76</v>
      </c>
      <c r="P93" s="137">
        <v>0.47766666666666668</v>
      </c>
      <c r="Q93" s="137">
        <v>0.17033333333333334</v>
      </c>
      <c r="AM93" s="112"/>
      <c r="AN93" s="112" t="s">
        <v>365</v>
      </c>
      <c r="AO93" s="112" t="s">
        <v>358</v>
      </c>
      <c r="AP93" s="112" t="s">
        <v>348</v>
      </c>
      <c r="AQ93" s="112" t="s">
        <v>366</v>
      </c>
      <c r="AR93" s="112" t="s">
        <v>367</v>
      </c>
      <c r="AS93" s="112" t="s">
        <v>368</v>
      </c>
      <c r="AT93" s="112" t="s">
        <v>369</v>
      </c>
      <c r="AU93" s="112" t="s">
        <v>370</v>
      </c>
    </row>
    <row r="94" spans="1:47" ht="15" thickBot="1" x14ac:dyDescent="0.35">
      <c r="L94" s="19"/>
      <c r="M94" s="19"/>
      <c r="O94" s="133" t="s">
        <v>77</v>
      </c>
      <c r="P94" s="139">
        <v>0.53200000000000003</v>
      </c>
      <c r="Q94" s="139">
        <v>0.1940833333333333</v>
      </c>
      <c r="AM94" t="s">
        <v>371</v>
      </c>
      <c r="AN94">
        <v>0</v>
      </c>
      <c r="AO94" t="e">
        <v>#N/A</v>
      </c>
      <c r="AP94" t="e">
        <v>#N/A</v>
      </c>
      <c r="AQ94" t="e">
        <v>#N/A</v>
      </c>
      <c r="AR94" t="e">
        <v>#N/A</v>
      </c>
      <c r="AS94" t="e">
        <v>#N/A</v>
      </c>
      <c r="AT94" t="e">
        <v>#N/A</v>
      </c>
      <c r="AU94" t="e">
        <v>#N/A</v>
      </c>
    </row>
    <row r="95" spans="1:47" ht="15" thickBot="1" x14ac:dyDescent="0.35">
      <c r="L95" s="19"/>
      <c r="M95" s="19"/>
      <c r="AM95" s="111" t="s">
        <v>184</v>
      </c>
      <c r="AN95" s="111">
        <v>0.35290863020414126</v>
      </c>
      <c r="AO95" s="111">
        <v>6.539604776445663E-3</v>
      </c>
      <c r="AP95" s="111">
        <v>53.964825439489395</v>
      </c>
      <c r="AQ95" s="111">
        <v>1.4015281064515719E-5</v>
      </c>
      <c r="AR95" s="111">
        <v>0.33209668914532608</v>
      </c>
      <c r="AS95" s="111">
        <v>0.37372057126295644</v>
      </c>
      <c r="AT95" s="111">
        <v>0.33209668914532608</v>
      </c>
      <c r="AU95" s="111">
        <v>0.37372057126295644</v>
      </c>
    </row>
    <row r="96" spans="1:47" x14ac:dyDescent="0.3">
      <c r="L96" s="19"/>
      <c r="M96" s="19"/>
      <c r="P96" t="s">
        <v>320</v>
      </c>
    </row>
    <row r="97" spans="12:17" x14ac:dyDescent="0.3">
      <c r="L97" s="19"/>
      <c r="M97" s="19"/>
      <c r="O97" s="140"/>
      <c r="P97" t="s">
        <v>321</v>
      </c>
    </row>
    <row r="98" spans="12:17" x14ac:dyDescent="0.3">
      <c r="L98" s="19"/>
      <c r="M98" s="19"/>
      <c r="O98" s="81" t="s">
        <v>201</v>
      </c>
    </row>
    <row r="99" spans="12:17" x14ac:dyDescent="0.3">
      <c r="M99" s="19"/>
    </row>
    <row r="104" spans="12:17" x14ac:dyDescent="0.3">
      <c r="N104" s="19"/>
      <c r="O104" s="19"/>
    </row>
    <row r="105" spans="12:17" x14ac:dyDescent="0.3">
      <c r="N105" s="19"/>
      <c r="O105" s="19"/>
    </row>
    <row r="106" spans="12:17" x14ac:dyDescent="0.3">
      <c r="N106" s="19"/>
      <c r="O106" s="19"/>
    </row>
    <row r="107" spans="12:17" x14ac:dyDescent="0.3">
      <c r="N107" s="19"/>
      <c r="O107" s="19"/>
      <c r="P107" s="19"/>
      <c r="Q107" s="19"/>
    </row>
    <row r="108" spans="12:17" x14ac:dyDescent="0.3">
      <c r="N108" s="19"/>
      <c r="P108" s="19"/>
    </row>
    <row r="109" spans="12:17" x14ac:dyDescent="0.3">
      <c r="N109" s="19"/>
      <c r="P109" s="19"/>
    </row>
  </sheetData>
  <mergeCells count="185">
    <mergeCell ref="AM78:AN78"/>
    <mergeCell ref="H75:H77"/>
    <mergeCell ref="H81:H83"/>
    <mergeCell ref="H87:H89"/>
    <mergeCell ref="I69:I71"/>
    <mergeCell ref="I75:I77"/>
    <mergeCell ref="I81:I83"/>
    <mergeCell ref="I87:I89"/>
    <mergeCell ref="J69:J71"/>
    <mergeCell ref="J75:J77"/>
    <mergeCell ref="J81:J83"/>
    <mergeCell ref="J87:J89"/>
    <mergeCell ref="P88:Q88"/>
    <mergeCell ref="F87:F89"/>
    <mergeCell ref="AU19:AV19"/>
    <mergeCell ref="I14:I16"/>
    <mergeCell ref="H17:H19"/>
    <mergeCell ref="I17:I19"/>
    <mergeCell ref="H14:H16"/>
    <mergeCell ref="J29:J31"/>
    <mergeCell ref="J32:J34"/>
    <mergeCell ref="J35:J37"/>
    <mergeCell ref="N31:O31"/>
    <mergeCell ref="P31:Q31"/>
    <mergeCell ref="R31:S31"/>
    <mergeCell ref="G40:H40"/>
    <mergeCell ref="J40:K40"/>
    <mergeCell ref="J14:J16"/>
    <mergeCell ref="J17:J19"/>
    <mergeCell ref="J20:J22"/>
    <mergeCell ref="J23:J25"/>
    <mergeCell ref="J26:J28"/>
    <mergeCell ref="N21:O21"/>
    <mergeCell ref="P21:Q21"/>
    <mergeCell ref="R21:S21"/>
    <mergeCell ref="AK19:AL19"/>
    <mergeCell ref="F32:F34"/>
    <mergeCell ref="F35:F37"/>
    <mergeCell ref="I23:I25"/>
    <mergeCell ref="H23:H25"/>
    <mergeCell ref="H20:H22"/>
    <mergeCell ref="I20:I22"/>
    <mergeCell ref="F26:F28"/>
    <mergeCell ref="H32:H34"/>
    <mergeCell ref="I32:I34"/>
    <mergeCell ref="H35:H37"/>
    <mergeCell ref="I35:I37"/>
    <mergeCell ref="H26:H28"/>
    <mergeCell ref="I26:I28"/>
    <mergeCell ref="H29:H31"/>
    <mergeCell ref="I29:I31"/>
    <mergeCell ref="A35:A37"/>
    <mergeCell ref="A5:A7"/>
    <mergeCell ref="A8:A10"/>
    <mergeCell ref="C32:C34"/>
    <mergeCell ref="C35:C37"/>
    <mergeCell ref="C20:C22"/>
    <mergeCell ref="C23:C25"/>
    <mergeCell ref="C26:C28"/>
    <mergeCell ref="C11:C13"/>
    <mergeCell ref="A11:A13"/>
    <mergeCell ref="A32:A34"/>
    <mergeCell ref="A14:A16"/>
    <mergeCell ref="A17:A19"/>
    <mergeCell ref="C14:C16"/>
    <mergeCell ref="A20:A22"/>
    <mergeCell ref="A23:A25"/>
    <mergeCell ref="A26:A28"/>
    <mergeCell ref="A29:A31"/>
    <mergeCell ref="C8:C10"/>
    <mergeCell ref="AI6:AJ6"/>
    <mergeCell ref="I11:I13"/>
    <mergeCell ref="H2:H4"/>
    <mergeCell ref="I2:I4"/>
    <mergeCell ref="H5:H7"/>
    <mergeCell ref="I5:I7"/>
    <mergeCell ref="H11:H13"/>
    <mergeCell ref="J2:J4"/>
    <mergeCell ref="J5:J7"/>
    <mergeCell ref="J8:J10"/>
    <mergeCell ref="J11:J13"/>
    <mergeCell ref="H8:H10"/>
    <mergeCell ref="I8:I10"/>
    <mergeCell ref="T10:Y10"/>
    <mergeCell ref="N10:S10"/>
    <mergeCell ref="AL4:AM4"/>
    <mergeCell ref="O5:P5"/>
    <mergeCell ref="Q5:T5"/>
    <mergeCell ref="AE5:AF5"/>
    <mergeCell ref="AG5:AH5"/>
    <mergeCell ref="AI5:AJ5"/>
    <mergeCell ref="AL5:AM5"/>
    <mergeCell ref="O4:P4"/>
    <mergeCell ref="Q4:T4"/>
    <mergeCell ref="AE4:AF4"/>
    <mergeCell ref="AG4:AH4"/>
    <mergeCell ref="AI4:AJ4"/>
    <mergeCell ref="Q1:T1"/>
    <mergeCell ref="Q3:Z3"/>
    <mergeCell ref="AG3:AH3"/>
    <mergeCell ref="O1:P1"/>
    <mergeCell ref="AC1:AK1"/>
    <mergeCell ref="O2:P2"/>
    <mergeCell ref="AE2:AF2"/>
    <mergeCell ref="AG2:AH2"/>
    <mergeCell ref="AI2:AJ2"/>
    <mergeCell ref="AI3:AJ3"/>
    <mergeCell ref="O3:P3"/>
    <mergeCell ref="AE3:AF3"/>
    <mergeCell ref="A2:A4"/>
    <mergeCell ref="F20:F22"/>
    <mergeCell ref="F23:F25"/>
    <mergeCell ref="F14:F16"/>
    <mergeCell ref="F17:F19"/>
    <mergeCell ref="C17:C19"/>
    <mergeCell ref="F29:F31"/>
    <mergeCell ref="C29:C31"/>
    <mergeCell ref="F2:F4"/>
    <mergeCell ref="F5:F7"/>
    <mergeCell ref="F11:F13"/>
    <mergeCell ref="F8:F9"/>
    <mergeCell ref="C2:C4"/>
    <mergeCell ref="C5:C7"/>
    <mergeCell ref="A66:A68"/>
    <mergeCell ref="C66:C68"/>
    <mergeCell ref="F66:F68"/>
    <mergeCell ref="H66:H68"/>
    <mergeCell ref="I66:I68"/>
    <mergeCell ref="J66:J68"/>
    <mergeCell ref="A72:A74"/>
    <mergeCell ref="C72:C74"/>
    <mergeCell ref="F72:F74"/>
    <mergeCell ref="H72:H74"/>
    <mergeCell ref="I72:I74"/>
    <mergeCell ref="J72:J74"/>
    <mergeCell ref="F69:F71"/>
    <mergeCell ref="H69:H71"/>
    <mergeCell ref="O57:P57"/>
    <mergeCell ref="Q57:R57"/>
    <mergeCell ref="W57:AE57"/>
    <mergeCell ref="O58:P58"/>
    <mergeCell ref="Y58:Z58"/>
    <mergeCell ref="AA58:AB58"/>
    <mergeCell ref="AC58:AD58"/>
    <mergeCell ref="O59:P59"/>
    <mergeCell ref="Q59:T59"/>
    <mergeCell ref="Y59:Z59"/>
    <mergeCell ref="AA59:AB59"/>
    <mergeCell ref="AC59:AD59"/>
    <mergeCell ref="O60:P60"/>
    <mergeCell ref="Q60:R60"/>
    <mergeCell ref="Y60:Z60"/>
    <mergeCell ref="AA60:AB60"/>
    <mergeCell ref="AC60:AD60"/>
    <mergeCell ref="AF60:AG60"/>
    <mergeCell ref="O64:P64"/>
    <mergeCell ref="Q64:R64"/>
    <mergeCell ref="Y64:Z64"/>
    <mergeCell ref="AA64:AB64"/>
    <mergeCell ref="AC64:AD64"/>
    <mergeCell ref="AF64:AG64"/>
    <mergeCell ref="AC65:AD65"/>
    <mergeCell ref="P76:U76"/>
    <mergeCell ref="A69:A71"/>
    <mergeCell ref="A75:A77"/>
    <mergeCell ref="A81:A83"/>
    <mergeCell ref="A87:A89"/>
    <mergeCell ref="C69:C71"/>
    <mergeCell ref="C75:C77"/>
    <mergeCell ref="C81:C83"/>
    <mergeCell ref="C87:C89"/>
    <mergeCell ref="A78:A80"/>
    <mergeCell ref="C78:C80"/>
    <mergeCell ref="F78:F80"/>
    <mergeCell ref="H78:H80"/>
    <mergeCell ref="I78:I80"/>
    <mergeCell ref="J78:J80"/>
    <mergeCell ref="A84:A86"/>
    <mergeCell ref="C84:C86"/>
    <mergeCell ref="F84:F86"/>
    <mergeCell ref="H84:H86"/>
    <mergeCell ref="I84:I86"/>
    <mergeCell ref="J84:J86"/>
    <mergeCell ref="F75:F77"/>
    <mergeCell ref="F81:F83"/>
  </mergeCells>
  <pageMargins left="0.7" right="0.7" top="0.75" bottom="0.75" header="0.3" footer="0.3"/>
  <pageSetup paperSize="9" orientation="portrait" r:id="rId1"/>
  <ignoredErrors>
    <ignoredError sqref="G10 H8:I8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F4DF-AAAA-4B54-AA0E-29DBC5A208DD}">
  <dimension ref="A1:T157"/>
  <sheetViews>
    <sheetView topLeftCell="A22" zoomScale="40" zoomScaleNormal="40" workbookViewId="0">
      <selection activeCell="D164" sqref="D164"/>
    </sheetView>
  </sheetViews>
  <sheetFormatPr baseColWidth="10" defaultColWidth="8.77734375" defaultRowHeight="14.4" x14ac:dyDescent="0.3"/>
  <cols>
    <col min="1" max="1" width="10.77734375" bestFit="1" customWidth="1"/>
    <col min="2" max="2" width="10.21875" bestFit="1" customWidth="1"/>
    <col min="3" max="3" width="12.77734375" bestFit="1" customWidth="1"/>
    <col min="4" max="4" width="23.44140625" bestFit="1" customWidth="1"/>
    <col min="5" max="5" width="14.77734375" bestFit="1" customWidth="1"/>
    <col min="6" max="6" width="19.77734375" bestFit="1" customWidth="1"/>
    <col min="7" max="7" width="13.44140625" bestFit="1" customWidth="1"/>
    <col min="8" max="8" width="11.21875" bestFit="1" customWidth="1"/>
    <col min="13" max="13" width="8.21875" bestFit="1" customWidth="1"/>
    <col min="14" max="14" width="9.77734375" customWidth="1"/>
    <col min="15" max="15" width="13.77734375" customWidth="1"/>
    <col min="16" max="16" width="27" bestFit="1" customWidth="1"/>
  </cols>
  <sheetData>
    <row r="1" spans="1:15" ht="15" thickBot="1" x14ac:dyDescent="0.35">
      <c r="A1" s="1" t="s">
        <v>17</v>
      </c>
      <c r="B1" s="1" t="s">
        <v>1</v>
      </c>
      <c r="C1" s="1" t="s">
        <v>18</v>
      </c>
      <c r="D1" s="1" t="s">
        <v>80</v>
      </c>
      <c r="E1" s="1" t="s">
        <v>21</v>
      </c>
      <c r="F1" s="1" t="s">
        <v>19</v>
      </c>
      <c r="G1" s="1" t="s">
        <v>181</v>
      </c>
      <c r="H1" s="1" t="s">
        <v>297</v>
      </c>
      <c r="K1" s="53" t="s">
        <v>81</v>
      </c>
      <c r="L1" s="53" t="s">
        <v>82</v>
      </c>
      <c r="M1" s="53" t="s">
        <v>83</v>
      </c>
      <c r="N1" s="53" t="s">
        <v>84</v>
      </c>
      <c r="O1" s="76" t="s">
        <v>260</v>
      </c>
    </row>
    <row r="2" spans="1:15" x14ac:dyDescent="0.3">
      <c r="A2" s="255">
        <v>0</v>
      </c>
      <c r="B2" s="249" t="s">
        <v>71</v>
      </c>
      <c r="C2" s="280" t="s">
        <v>78</v>
      </c>
      <c r="D2" s="229">
        <v>300</v>
      </c>
      <c r="E2" s="103">
        <v>0.60699999999999998</v>
      </c>
      <c r="F2" s="232">
        <f>AVERAGE(E3:E4)</f>
        <v>0.5475000000000001</v>
      </c>
      <c r="G2" s="232">
        <f>STDEV(E3:E4)</f>
        <v>3.5355339059327407E-3</v>
      </c>
      <c r="H2" s="286">
        <f>(G2/F2)*100</f>
        <v>0.64575961752196165</v>
      </c>
      <c r="J2" s="252" t="s">
        <v>71</v>
      </c>
      <c r="K2" s="280">
        <v>6</v>
      </c>
      <c r="L2" s="280">
        <v>2</v>
      </c>
      <c r="M2" s="280">
        <f>D2/1000</f>
        <v>0.3</v>
      </c>
      <c r="N2" s="277">
        <f>SUM(K2:M4)</f>
        <v>8.3000000000000007</v>
      </c>
      <c r="O2" s="277">
        <v>9</v>
      </c>
    </row>
    <row r="3" spans="1:15" x14ac:dyDescent="0.3">
      <c r="A3" s="256"/>
      <c r="B3" s="250"/>
      <c r="C3" s="281"/>
      <c r="D3" s="230"/>
      <c r="E3" s="74">
        <v>0.55000000000000004</v>
      </c>
      <c r="F3" s="233"/>
      <c r="G3" s="233"/>
      <c r="H3" s="287"/>
      <c r="J3" s="253"/>
      <c r="K3" s="281"/>
      <c r="L3" s="281"/>
      <c r="M3" s="281"/>
      <c r="N3" s="278"/>
      <c r="O3" s="278"/>
    </row>
    <row r="4" spans="1:15" ht="15" thickBot="1" x14ac:dyDescent="0.35">
      <c r="A4" s="256"/>
      <c r="B4" s="251"/>
      <c r="C4" s="281"/>
      <c r="D4" s="231"/>
      <c r="E4" s="73">
        <v>0.54500000000000004</v>
      </c>
      <c r="F4" s="234"/>
      <c r="G4" s="234"/>
      <c r="H4" s="288"/>
      <c r="J4" s="254"/>
      <c r="K4" s="282"/>
      <c r="L4" s="282"/>
      <c r="M4" s="282"/>
      <c r="N4" s="279"/>
      <c r="O4" s="279"/>
    </row>
    <row r="5" spans="1:15" x14ac:dyDescent="0.3">
      <c r="A5" s="256"/>
      <c r="B5" s="249" t="s">
        <v>98</v>
      </c>
      <c r="C5" s="281"/>
      <c r="D5" s="229">
        <v>300</v>
      </c>
      <c r="E5" s="75">
        <v>0.58699999999999997</v>
      </c>
      <c r="F5" s="232">
        <f>AVERAGE(E5:E7)</f>
        <v>0.60799999999999998</v>
      </c>
      <c r="G5" s="232">
        <f>STDEV(E5:E7)</f>
        <v>2.5942243542145717E-2</v>
      </c>
      <c r="H5" s="286">
        <f t="shared" ref="H5" si="0">(G5/F5)*100</f>
        <v>4.26681637206344</v>
      </c>
    </row>
    <row r="6" spans="1:15" x14ac:dyDescent="0.3">
      <c r="A6" s="256"/>
      <c r="B6" s="250"/>
      <c r="C6" s="281"/>
      <c r="D6" s="230"/>
      <c r="E6" s="74">
        <v>0.63700000000000001</v>
      </c>
      <c r="F6" s="233"/>
      <c r="G6" s="233"/>
      <c r="H6" s="287"/>
    </row>
    <row r="7" spans="1:15" ht="15" thickBot="1" x14ac:dyDescent="0.35">
      <c r="A7" s="256"/>
      <c r="B7" s="251"/>
      <c r="C7" s="281"/>
      <c r="D7" s="231"/>
      <c r="E7" s="73">
        <v>0.6</v>
      </c>
      <c r="F7" s="234"/>
      <c r="G7" s="234"/>
      <c r="H7" s="288"/>
    </row>
    <row r="8" spans="1:15" x14ac:dyDescent="0.3">
      <c r="A8" s="256"/>
      <c r="B8" s="267" t="s">
        <v>72</v>
      </c>
      <c r="C8" s="281"/>
      <c r="D8" s="229">
        <v>300</v>
      </c>
      <c r="E8" s="75">
        <v>0.59</v>
      </c>
      <c r="F8" s="232">
        <f>AVERAGE(E8:E10)</f>
        <v>0.57900000000000007</v>
      </c>
      <c r="G8" s="232">
        <f>STDEV(E8:E10)</f>
        <v>1.5716233645501662E-2</v>
      </c>
      <c r="H8" s="286">
        <f t="shared" ref="H8" si="1">(G8/F8)*100</f>
        <v>2.7143754137308567</v>
      </c>
    </row>
    <row r="9" spans="1:15" x14ac:dyDescent="0.3">
      <c r="A9" s="256"/>
      <c r="B9" s="268"/>
      <c r="C9" s="281"/>
      <c r="D9" s="230"/>
      <c r="E9" s="74">
        <v>0.58599999999999997</v>
      </c>
      <c r="F9" s="233"/>
      <c r="G9" s="233"/>
      <c r="H9" s="287"/>
    </row>
    <row r="10" spans="1:15" ht="15" thickBot="1" x14ac:dyDescent="0.35">
      <c r="A10" s="256"/>
      <c r="B10" s="269"/>
      <c r="C10" s="281"/>
      <c r="D10" s="231"/>
      <c r="E10" s="73">
        <v>0.56100000000000005</v>
      </c>
      <c r="F10" s="234"/>
      <c r="G10" s="234"/>
      <c r="H10" s="288"/>
    </row>
    <row r="11" spans="1:15" x14ac:dyDescent="0.3">
      <c r="A11" s="256"/>
      <c r="B11" s="267" t="s">
        <v>99</v>
      </c>
      <c r="C11" s="281"/>
      <c r="D11" s="229">
        <v>300</v>
      </c>
      <c r="E11" s="75">
        <v>0.56499999999999995</v>
      </c>
      <c r="F11" s="232">
        <f>AVERAGE(E11,E13)</f>
        <v>0.55449999999999999</v>
      </c>
      <c r="G11" s="232">
        <f>STDEV(E11,E13)</f>
        <v>1.4849242404917433E-2</v>
      </c>
      <c r="H11" s="286">
        <f>(G11/F11)*100</f>
        <v>2.6779517411934055</v>
      </c>
    </row>
    <row r="12" spans="1:15" x14ac:dyDescent="0.3">
      <c r="A12" s="256"/>
      <c r="B12" s="268"/>
      <c r="C12" s="281"/>
      <c r="D12" s="230"/>
      <c r="E12" s="105">
        <v>0.61399999999999999</v>
      </c>
      <c r="F12" s="233"/>
      <c r="G12" s="233"/>
      <c r="H12" s="287"/>
    </row>
    <row r="13" spans="1:15" ht="15" thickBot="1" x14ac:dyDescent="0.35">
      <c r="A13" s="257"/>
      <c r="B13" s="269"/>
      <c r="C13" s="282"/>
      <c r="D13" s="231"/>
      <c r="E13" s="73">
        <v>0.54400000000000004</v>
      </c>
      <c r="F13" s="234"/>
      <c r="G13" s="234"/>
      <c r="H13" s="288"/>
    </row>
    <row r="14" spans="1:15" x14ac:dyDescent="0.3">
      <c r="A14" s="255">
        <v>5.3</v>
      </c>
      <c r="B14" s="249" t="s">
        <v>3</v>
      </c>
      <c r="C14" s="280" t="s">
        <v>79</v>
      </c>
      <c r="D14" s="229">
        <v>150</v>
      </c>
      <c r="E14" s="75">
        <v>0.36499999999999999</v>
      </c>
      <c r="F14" s="232">
        <f>AVERAGE(E14:E16)</f>
        <v>0.36866666666666664</v>
      </c>
      <c r="G14" s="232">
        <f>STDEV(E14:E16)</f>
        <v>4.0414518843273836E-3</v>
      </c>
      <c r="H14" s="286">
        <f t="shared" ref="H14" si="2">(G14/F14)*100</f>
        <v>1.0962346883347334</v>
      </c>
      <c r="J14" s="252" t="s">
        <v>3</v>
      </c>
      <c r="K14" s="283">
        <v>0</v>
      </c>
      <c r="L14" s="283">
        <v>2</v>
      </c>
      <c r="M14" s="283">
        <f>D17/1000</f>
        <v>0.15</v>
      </c>
      <c r="N14" s="277">
        <f>SUM(K14:M16)</f>
        <v>2.15</v>
      </c>
      <c r="O14" s="277">
        <v>2.2999999999999998</v>
      </c>
    </row>
    <row r="15" spans="1:15" x14ac:dyDescent="0.3">
      <c r="A15" s="256"/>
      <c r="B15" s="250"/>
      <c r="C15" s="281"/>
      <c r="D15" s="230"/>
      <c r="E15" s="74">
        <v>0.36799999999999999</v>
      </c>
      <c r="F15" s="233"/>
      <c r="G15" s="233"/>
      <c r="H15" s="287"/>
      <c r="J15" s="253"/>
      <c r="K15" s="284"/>
      <c r="L15" s="284"/>
      <c r="M15" s="284"/>
      <c r="N15" s="278"/>
      <c r="O15" s="278"/>
    </row>
    <row r="16" spans="1:15" ht="15" thickBot="1" x14ac:dyDescent="0.35">
      <c r="A16" s="256"/>
      <c r="B16" s="251"/>
      <c r="C16" s="281"/>
      <c r="D16" s="231"/>
      <c r="E16" s="73">
        <v>0.373</v>
      </c>
      <c r="F16" s="234"/>
      <c r="G16" s="234"/>
      <c r="H16" s="288"/>
      <c r="J16" s="254"/>
      <c r="K16" s="285"/>
      <c r="L16" s="285"/>
      <c r="M16" s="285"/>
      <c r="N16" s="279"/>
      <c r="O16" s="279">
        <v>2</v>
      </c>
    </row>
    <row r="17" spans="1:15" x14ac:dyDescent="0.3">
      <c r="A17" s="256"/>
      <c r="B17" s="249" t="s">
        <v>104</v>
      </c>
      <c r="C17" s="281"/>
      <c r="D17" s="229">
        <v>150</v>
      </c>
      <c r="E17" s="75">
        <v>0.36899999999999999</v>
      </c>
      <c r="F17" s="232">
        <f>AVERAGE(E17:E19)</f>
        <v>0.36533333333333334</v>
      </c>
      <c r="G17" s="232">
        <f>STDEV(E17:E19)</f>
        <v>1.1930353445448865E-2</v>
      </c>
      <c r="H17" s="286">
        <f>(G17/F17)*100</f>
        <v>3.2656076949221347</v>
      </c>
    </row>
    <row r="18" spans="1:15" x14ac:dyDescent="0.3">
      <c r="A18" s="256"/>
      <c r="B18" s="250"/>
      <c r="C18" s="281"/>
      <c r="D18" s="230"/>
      <c r="E18" s="74">
        <v>0.35199999999999998</v>
      </c>
      <c r="F18" s="233"/>
      <c r="G18" s="233"/>
      <c r="H18" s="287"/>
    </row>
    <row r="19" spans="1:15" ht="15" thickBot="1" x14ac:dyDescent="0.35">
      <c r="A19" s="256"/>
      <c r="B19" s="251"/>
      <c r="C19" s="281"/>
      <c r="D19" s="231"/>
      <c r="E19" s="73">
        <v>0.375</v>
      </c>
      <c r="F19" s="234"/>
      <c r="G19" s="234"/>
      <c r="H19" s="288"/>
    </row>
    <row r="20" spans="1:15" x14ac:dyDescent="0.3">
      <c r="A20" s="256"/>
      <c r="B20" s="267" t="s">
        <v>4</v>
      </c>
      <c r="C20" s="281"/>
      <c r="D20" s="229">
        <v>150</v>
      </c>
      <c r="E20" s="75">
        <v>0.34699999999999998</v>
      </c>
      <c r="F20" s="232">
        <f>AVERAGE(E20:E22)</f>
        <v>0.36066666666666664</v>
      </c>
      <c r="G20" s="232">
        <f>STDEV(E20:E22)</f>
        <v>1.4011899704655814E-2</v>
      </c>
      <c r="H20" s="286">
        <f t="shared" ref="H20" si="3">(G20/F20)*100</f>
        <v>3.884999918111594</v>
      </c>
    </row>
    <row r="21" spans="1:15" x14ac:dyDescent="0.3">
      <c r="A21" s="256"/>
      <c r="B21" s="268"/>
      <c r="C21" s="281"/>
      <c r="D21" s="230"/>
      <c r="E21" s="74">
        <v>0.36</v>
      </c>
      <c r="F21" s="233"/>
      <c r="G21" s="233"/>
      <c r="H21" s="287"/>
    </row>
    <row r="22" spans="1:15" ht="15" thickBot="1" x14ac:dyDescent="0.35">
      <c r="A22" s="256"/>
      <c r="B22" s="269"/>
      <c r="C22" s="281"/>
      <c r="D22" s="230"/>
      <c r="E22" s="73">
        <v>0.375</v>
      </c>
      <c r="F22" s="234"/>
      <c r="G22" s="234"/>
      <c r="H22" s="288"/>
    </row>
    <row r="23" spans="1:15" x14ac:dyDescent="0.3">
      <c r="A23" s="256"/>
      <c r="B23" s="267" t="s">
        <v>105</v>
      </c>
      <c r="C23" s="281"/>
      <c r="D23" s="229">
        <v>150</v>
      </c>
      <c r="E23" s="75">
        <v>0.35399999999999998</v>
      </c>
      <c r="F23" s="232">
        <f>AVERAGE(E23:E25)</f>
        <v>0.36466666666666664</v>
      </c>
      <c r="G23" s="232">
        <f>STDEV(E23:E25)</f>
        <v>1.2220201853215585E-2</v>
      </c>
      <c r="H23" s="286">
        <f t="shared" ref="H23" si="4">(G23/F23)*100</f>
        <v>3.3510608372620441</v>
      </c>
    </row>
    <row r="24" spans="1:15" x14ac:dyDescent="0.3">
      <c r="A24" s="256"/>
      <c r="B24" s="268"/>
      <c r="C24" s="281"/>
      <c r="D24" s="230"/>
      <c r="E24" s="74">
        <v>0.36199999999999999</v>
      </c>
      <c r="F24" s="233"/>
      <c r="G24" s="233"/>
      <c r="H24" s="287"/>
    </row>
    <row r="25" spans="1:15" ht="15" thickBot="1" x14ac:dyDescent="0.35">
      <c r="A25" s="257"/>
      <c r="B25" s="269"/>
      <c r="C25" s="282"/>
      <c r="D25" s="230"/>
      <c r="E25" s="73">
        <v>0.378</v>
      </c>
      <c r="F25" s="234"/>
      <c r="G25" s="234"/>
      <c r="H25" s="288"/>
    </row>
    <row r="26" spans="1:15" x14ac:dyDescent="0.3">
      <c r="A26" s="255">
        <v>10.8</v>
      </c>
      <c r="B26" s="249" t="s">
        <v>5</v>
      </c>
      <c r="C26" s="280" t="s">
        <v>79</v>
      </c>
      <c r="D26" s="229">
        <v>150</v>
      </c>
      <c r="E26" s="75">
        <v>0.38100000000000001</v>
      </c>
      <c r="F26" s="232">
        <f>AVERAGE(E26:E28)</f>
        <v>0.37833333333333335</v>
      </c>
      <c r="G26" s="232">
        <f>STDEV(E26:E28)</f>
        <v>4.6188021535170107E-3</v>
      </c>
      <c r="H26" s="286">
        <f t="shared" ref="H26" si="5">(G26/F26)*100</f>
        <v>1.2208287630441437</v>
      </c>
      <c r="J26" s="252" t="s">
        <v>5</v>
      </c>
      <c r="K26" s="283">
        <v>0</v>
      </c>
      <c r="L26" s="283">
        <v>1.5</v>
      </c>
      <c r="M26" s="283">
        <f>D29/1000</f>
        <v>0.15</v>
      </c>
      <c r="N26" s="277">
        <f>SUM(K26:M28)</f>
        <v>1.65</v>
      </c>
      <c r="O26" s="277">
        <v>2</v>
      </c>
    </row>
    <row r="27" spans="1:15" x14ac:dyDescent="0.3">
      <c r="A27" s="256"/>
      <c r="B27" s="250"/>
      <c r="C27" s="281"/>
      <c r="D27" s="230"/>
      <c r="E27" s="74">
        <v>0.38100000000000001</v>
      </c>
      <c r="F27" s="233"/>
      <c r="G27" s="233"/>
      <c r="H27" s="287"/>
      <c r="J27" s="253"/>
      <c r="K27" s="284"/>
      <c r="L27" s="284"/>
      <c r="M27" s="284"/>
      <c r="N27" s="278"/>
      <c r="O27" s="278"/>
    </row>
    <row r="28" spans="1:15" ht="15" thickBot="1" x14ac:dyDescent="0.35">
      <c r="A28" s="256"/>
      <c r="B28" s="251"/>
      <c r="C28" s="281"/>
      <c r="D28" s="231"/>
      <c r="E28" s="73">
        <v>0.373</v>
      </c>
      <c r="F28" s="234"/>
      <c r="G28" s="234"/>
      <c r="H28" s="288"/>
      <c r="J28" s="254"/>
      <c r="K28" s="285"/>
      <c r="L28" s="285"/>
      <c r="M28" s="285"/>
      <c r="N28" s="279"/>
      <c r="O28" s="279">
        <v>8</v>
      </c>
    </row>
    <row r="29" spans="1:15" x14ac:dyDescent="0.3">
      <c r="A29" s="256"/>
      <c r="B29" s="249" t="s">
        <v>106</v>
      </c>
      <c r="C29" s="281"/>
      <c r="D29" s="229">
        <v>150</v>
      </c>
      <c r="E29" s="75">
        <v>0.39</v>
      </c>
      <c r="F29" s="232">
        <f>AVERAGE(E29:E31)</f>
        <v>0.39833333333333337</v>
      </c>
      <c r="G29" s="232">
        <f>STDEV(E29:E31)</f>
        <v>7.3711147958319999E-3</v>
      </c>
      <c r="H29" s="286">
        <f t="shared" ref="H29" si="6">(G29/F29)*100</f>
        <v>1.8504890700833472</v>
      </c>
    </row>
    <row r="30" spans="1:15" x14ac:dyDescent="0.3">
      <c r="A30" s="256"/>
      <c r="B30" s="250"/>
      <c r="C30" s="281"/>
      <c r="D30" s="230"/>
      <c r="E30" s="74">
        <v>0.40400000000000003</v>
      </c>
      <c r="F30" s="233"/>
      <c r="G30" s="233"/>
      <c r="H30" s="287"/>
    </row>
    <row r="31" spans="1:15" ht="15" thickBot="1" x14ac:dyDescent="0.35">
      <c r="A31" s="256"/>
      <c r="B31" s="251"/>
      <c r="C31" s="281"/>
      <c r="D31" s="231"/>
      <c r="E31" s="73">
        <v>0.40100000000000002</v>
      </c>
      <c r="F31" s="234"/>
      <c r="G31" s="234"/>
      <c r="H31" s="288"/>
    </row>
    <row r="32" spans="1:15" x14ac:dyDescent="0.3">
      <c r="A32" s="256"/>
      <c r="B32" s="267" t="s">
        <v>6</v>
      </c>
      <c r="C32" s="281"/>
      <c r="D32" s="229">
        <v>150</v>
      </c>
      <c r="E32" s="75">
        <v>0.39300000000000002</v>
      </c>
      <c r="F32" s="232">
        <f>AVERAGE(E32:E34)</f>
        <v>0.38100000000000001</v>
      </c>
      <c r="G32" s="232">
        <f>STDEV(E32:E34)</f>
        <v>1.0583005244258372E-2</v>
      </c>
      <c r="H32" s="286">
        <f t="shared" ref="H32" si="7">(G32/F32)*100</f>
        <v>2.7776916651596775</v>
      </c>
    </row>
    <row r="33" spans="1:15" x14ac:dyDescent="0.3">
      <c r="A33" s="256"/>
      <c r="B33" s="268"/>
      <c r="C33" s="281"/>
      <c r="D33" s="230"/>
      <c r="E33" s="74">
        <v>0.373</v>
      </c>
      <c r="F33" s="233"/>
      <c r="G33" s="233"/>
      <c r="H33" s="287"/>
    </row>
    <row r="34" spans="1:15" ht="15" thickBot="1" x14ac:dyDescent="0.35">
      <c r="A34" s="256"/>
      <c r="B34" s="269"/>
      <c r="C34" s="281"/>
      <c r="D34" s="230"/>
      <c r="E34" s="73">
        <v>0.377</v>
      </c>
      <c r="F34" s="234"/>
      <c r="G34" s="234"/>
      <c r="H34" s="288"/>
    </row>
    <row r="35" spans="1:15" x14ac:dyDescent="0.3">
      <c r="A35" s="256"/>
      <c r="B35" s="267" t="s">
        <v>107</v>
      </c>
      <c r="C35" s="281"/>
      <c r="D35" s="229">
        <v>150</v>
      </c>
      <c r="E35" s="75">
        <v>0.38700000000000001</v>
      </c>
      <c r="F35" s="232">
        <f>AVERAGE(E35:E37)</f>
        <v>0.39500000000000002</v>
      </c>
      <c r="G35" s="232">
        <f>STDEV(E35:E37)</f>
        <v>7.5498344352707561E-3</v>
      </c>
      <c r="H35" s="286">
        <f t="shared" ref="H35" si="8">(G35/F35)*100</f>
        <v>1.9113504899419635</v>
      </c>
    </row>
    <row r="36" spans="1:15" x14ac:dyDescent="0.3">
      <c r="A36" s="256"/>
      <c r="B36" s="268"/>
      <c r="C36" s="281"/>
      <c r="D36" s="230"/>
      <c r="E36" s="74">
        <v>0.40200000000000002</v>
      </c>
      <c r="F36" s="233"/>
      <c r="G36" s="233"/>
      <c r="H36" s="287"/>
    </row>
    <row r="37" spans="1:15" ht="15" thickBot="1" x14ac:dyDescent="0.35">
      <c r="A37" s="257"/>
      <c r="B37" s="269"/>
      <c r="C37" s="282"/>
      <c r="D37" s="230"/>
      <c r="E37" s="73">
        <v>0.39600000000000002</v>
      </c>
      <c r="F37" s="234"/>
      <c r="G37" s="234"/>
      <c r="H37" s="288"/>
    </row>
    <row r="38" spans="1:15" x14ac:dyDescent="0.3">
      <c r="A38" s="255">
        <v>16.3</v>
      </c>
      <c r="B38" s="249" t="s">
        <v>7</v>
      </c>
      <c r="C38" s="280" t="s">
        <v>79</v>
      </c>
      <c r="D38" s="229">
        <v>150</v>
      </c>
      <c r="E38" s="75">
        <v>0.44700000000000001</v>
      </c>
      <c r="F38" s="232">
        <f>AVERAGE(E38:E40)</f>
        <v>0.45633333333333331</v>
      </c>
      <c r="G38" s="232">
        <f>STDEV(E38:E40)</f>
        <v>1.0066445913694341E-2</v>
      </c>
      <c r="H38" s="286">
        <f t="shared" ref="H38" si="9">(G38/F38)*100</f>
        <v>2.2059413981799141</v>
      </c>
      <c r="J38" s="252" t="s">
        <v>7</v>
      </c>
      <c r="K38" s="283">
        <v>0</v>
      </c>
      <c r="L38" s="283">
        <v>2</v>
      </c>
      <c r="M38" s="283">
        <f>D41/1000</f>
        <v>0.15</v>
      </c>
      <c r="N38" s="277">
        <f>SUM(K38:M40)</f>
        <v>2.15</v>
      </c>
      <c r="O38" s="277">
        <v>2.2999999999999998</v>
      </c>
    </row>
    <row r="39" spans="1:15" x14ac:dyDescent="0.3">
      <c r="A39" s="256"/>
      <c r="B39" s="250"/>
      <c r="C39" s="281"/>
      <c r="D39" s="230"/>
      <c r="E39" s="74">
        <v>0.46700000000000003</v>
      </c>
      <c r="F39" s="233"/>
      <c r="G39" s="233"/>
      <c r="H39" s="287"/>
      <c r="J39" s="253"/>
      <c r="K39" s="284"/>
      <c r="L39" s="284"/>
      <c r="M39" s="284"/>
      <c r="N39" s="278"/>
      <c r="O39" s="278"/>
    </row>
    <row r="40" spans="1:15" ht="15" thickBot="1" x14ac:dyDescent="0.35">
      <c r="A40" s="256"/>
      <c r="B40" s="251"/>
      <c r="C40" s="281"/>
      <c r="D40" s="231"/>
      <c r="E40" s="73">
        <v>0.45500000000000002</v>
      </c>
      <c r="F40" s="234"/>
      <c r="G40" s="234"/>
      <c r="H40" s="288"/>
      <c r="J40" s="254"/>
      <c r="K40" s="285"/>
      <c r="L40" s="285"/>
      <c r="M40" s="285"/>
      <c r="N40" s="279"/>
      <c r="O40" s="279">
        <v>2</v>
      </c>
    </row>
    <row r="41" spans="1:15" x14ac:dyDescent="0.3">
      <c r="A41" s="256"/>
      <c r="B41" s="249" t="s">
        <v>108</v>
      </c>
      <c r="C41" s="281"/>
      <c r="D41" s="229">
        <v>150</v>
      </c>
      <c r="E41" s="75">
        <v>0.45300000000000001</v>
      </c>
      <c r="F41" s="232">
        <f>AVERAGE(E41:E43)</f>
        <v>0.46333333333333337</v>
      </c>
      <c r="G41" s="232">
        <f>STDEV(E41:E43)</f>
        <v>8.9628864398324914E-3</v>
      </c>
      <c r="H41" s="286">
        <f t="shared" ref="H41" si="10">(G41/F41)*100</f>
        <v>1.9344359222660052</v>
      </c>
    </row>
    <row r="42" spans="1:15" x14ac:dyDescent="0.3">
      <c r="A42" s="256"/>
      <c r="B42" s="250"/>
      <c r="C42" s="281"/>
      <c r="D42" s="230"/>
      <c r="E42" s="74">
        <v>0.46800000000000003</v>
      </c>
      <c r="F42" s="233"/>
      <c r="G42" s="233"/>
      <c r="H42" s="287"/>
    </row>
    <row r="43" spans="1:15" ht="15" thickBot="1" x14ac:dyDescent="0.35">
      <c r="A43" s="256"/>
      <c r="B43" s="251"/>
      <c r="C43" s="281"/>
      <c r="D43" s="231"/>
      <c r="E43" s="73">
        <v>0.46899999999999997</v>
      </c>
      <c r="F43" s="234"/>
      <c r="G43" s="234"/>
      <c r="H43" s="288"/>
    </row>
    <row r="44" spans="1:15" x14ac:dyDescent="0.3">
      <c r="A44" s="256"/>
      <c r="B44" s="267" t="s">
        <v>8</v>
      </c>
      <c r="C44" s="281"/>
      <c r="D44" s="229">
        <v>150</v>
      </c>
      <c r="E44" s="75">
        <v>0.42</v>
      </c>
      <c r="F44" s="232">
        <f>AVERAGE(E44:E45)</f>
        <v>0.41300000000000003</v>
      </c>
      <c r="G44" s="232">
        <f>STDEV(E44:E45)</f>
        <v>9.8994949366116355E-3</v>
      </c>
      <c r="H44" s="286">
        <f t="shared" ref="H44" si="11">(G44/F44)*100</f>
        <v>2.3969721396154076</v>
      </c>
    </row>
    <row r="45" spans="1:15" x14ac:dyDescent="0.3">
      <c r="A45" s="256"/>
      <c r="B45" s="268"/>
      <c r="C45" s="281"/>
      <c r="D45" s="230"/>
      <c r="E45" s="74">
        <v>0.40600000000000003</v>
      </c>
      <c r="F45" s="233"/>
      <c r="G45" s="233"/>
      <c r="H45" s="287"/>
    </row>
    <row r="46" spans="1:15" ht="15" thickBot="1" x14ac:dyDescent="0.35">
      <c r="A46" s="256"/>
      <c r="B46" s="269"/>
      <c r="C46" s="281"/>
      <c r="D46" s="230"/>
      <c r="E46" s="104">
        <v>0.44700000000000001</v>
      </c>
      <c r="F46" s="234"/>
      <c r="G46" s="234"/>
      <c r="H46" s="288"/>
    </row>
    <row r="47" spans="1:15" x14ac:dyDescent="0.3">
      <c r="A47" s="256"/>
      <c r="B47" s="267" t="s">
        <v>109</v>
      </c>
      <c r="C47" s="281"/>
      <c r="D47" s="229">
        <v>150</v>
      </c>
      <c r="E47" s="75">
        <v>0.41099999999999998</v>
      </c>
      <c r="F47" s="232">
        <f>AVERAGE(E47:E49)</f>
        <v>0.41866666666666669</v>
      </c>
      <c r="G47" s="232">
        <f>STDEV(E47:E49)</f>
        <v>7.0945988845975937E-3</v>
      </c>
      <c r="H47" s="286">
        <f t="shared" ref="H47" si="12">(G47/F47)*100</f>
        <v>1.694569797276495</v>
      </c>
      <c r="J47" s="252" t="s">
        <v>9</v>
      </c>
      <c r="K47" s="283">
        <v>6</v>
      </c>
      <c r="L47" s="283">
        <v>2</v>
      </c>
      <c r="M47" s="283">
        <f>D50/1000</f>
        <v>0.15</v>
      </c>
      <c r="N47" s="277">
        <f>SUM(K47:M49)</f>
        <v>8.15</v>
      </c>
      <c r="O47" s="277">
        <v>10</v>
      </c>
    </row>
    <row r="48" spans="1:15" x14ac:dyDescent="0.3">
      <c r="A48" s="256"/>
      <c r="B48" s="268"/>
      <c r="C48" s="281"/>
      <c r="D48" s="230"/>
      <c r="E48" s="74">
        <v>0.42</v>
      </c>
      <c r="F48" s="233"/>
      <c r="G48" s="233"/>
      <c r="H48" s="287"/>
      <c r="J48" s="253"/>
      <c r="K48" s="284"/>
      <c r="L48" s="284"/>
      <c r="M48" s="284"/>
      <c r="N48" s="278"/>
      <c r="O48" s="278"/>
    </row>
    <row r="49" spans="1:15" ht="15" thickBot="1" x14ac:dyDescent="0.35">
      <c r="A49" s="257"/>
      <c r="B49" s="269"/>
      <c r="C49" s="282"/>
      <c r="D49" s="230"/>
      <c r="E49" s="73">
        <v>0.42499999999999999</v>
      </c>
      <c r="F49" s="234"/>
      <c r="G49" s="234"/>
      <c r="H49" s="288"/>
      <c r="J49" s="254"/>
      <c r="K49" s="285"/>
      <c r="L49" s="285"/>
      <c r="M49" s="285"/>
      <c r="N49" s="279"/>
      <c r="O49" s="279">
        <v>8</v>
      </c>
    </row>
    <row r="50" spans="1:15" x14ac:dyDescent="0.3">
      <c r="A50" s="255">
        <v>21.8</v>
      </c>
      <c r="B50" s="249" t="s">
        <v>9</v>
      </c>
      <c r="C50" s="280" t="s">
        <v>79</v>
      </c>
      <c r="D50" s="229">
        <v>150</v>
      </c>
      <c r="E50" s="75">
        <v>0.501</v>
      </c>
      <c r="F50" s="232">
        <f>AVERAGE(E50:E52)</f>
        <v>0.49766666666666665</v>
      </c>
      <c r="G50" s="232">
        <f>STDEV(E50:E52)</f>
        <v>3.5118845842842493E-3</v>
      </c>
      <c r="H50" s="286">
        <f t="shared" ref="H50" si="13">(G50/F50)*100</f>
        <v>0.70567004372757858</v>
      </c>
    </row>
    <row r="51" spans="1:15" x14ac:dyDescent="0.3">
      <c r="A51" s="256"/>
      <c r="B51" s="250"/>
      <c r="C51" s="281"/>
      <c r="D51" s="230"/>
      <c r="E51" s="74">
        <v>0.49399999999999999</v>
      </c>
      <c r="F51" s="233"/>
      <c r="G51" s="233"/>
      <c r="H51" s="287"/>
    </row>
    <row r="52" spans="1:15" ht="15" thickBot="1" x14ac:dyDescent="0.35">
      <c r="A52" s="256"/>
      <c r="B52" s="251"/>
      <c r="C52" s="281"/>
      <c r="D52" s="231"/>
      <c r="E52" s="73">
        <v>0.498</v>
      </c>
      <c r="F52" s="234"/>
      <c r="G52" s="234"/>
      <c r="H52" s="288"/>
    </row>
    <row r="53" spans="1:15" x14ac:dyDescent="0.3">
      <c r="A53" s="256"/>
      <c r="B53" s="249" t="s">
        <v>100</v>
      </c>
      <c r="C53" s="281"/>
      <c r="D53" s="229">
        <v>150</v>
      </c>
      <c r="E53" s="75">
        <v>0.52800000000000002</v>
      </c>
      <c r="F53" s="232">
        <f>AVERAGE(E53:E55)</f>
        <v>0.52533333333333332</v>
      </c>
      <c r="G53" s="232">
        <f>STDEV(E53:E55)</f>
        <v>1.4189197769195187E-2</v>
      </c>
      <c r="H53" s="286">
        <f t="shared" ref="H53" si="14">(G53/F53)*100</f>
        <v>2.7009894230701499</v>
      </c>
    </row>
    <row r="54" spans="1:15" x14ac:dyDescent="0.3">
      <c r="A54" s="256"/>
      <c r="B54" s="250"/>
      <c r="C54" s="281"/>
      <c r="D54" s="230"/>
      <c r="E54" s="74">
        <v>0.53800000000000003</v>
      </c>
      <c r="F54" s="233"/>
      <c r="G54" s="233"/>
      <c r="H54" s="287"/>
    </row>
    <row r="55" spans="1:15" ht="15" thickBot="1" x14ac:dyDescent="0.35">
      <c r="A55" s="256"/>
      <c r="B55" s="251"/>
      <c r="C55" s="281"/>
      <c r="D55" s="231"/>
      <c r="E55" s="73">
        <v>0.51</v>
      </c>
      <c r="F55" s="234"/>
      <c r="G55" s="234"/>
      <c r="H55" s="288"/>
    </row>
    <row r="56" spans="1:15" x14ac:dyDescent="0.3">
      <c r="A56" s="256"/>
      <c r="B56" s="267" t="s">
        <v>10</v>
      </c>
      <c r="C56" s="281"/>
      <c r="D56" s="229">
        <v>150</v>
      </c>
      <c r="E56" s="75">
        <v>0.49199999999999999</v>
      </c>
      <c r="F56" s="232">
        <f>AVERAGE(E56:E58)</f>
        <v>0.48799999999999999</v>
      </c>
      <c r="G56" s="232">
        <f>STDEV(E56:E58)</f>
        <v>4.0000000000000036E-3</v>
      </c>
      <c r="H56" s="286">
        <f t="shared" ref="H56" si="15">(G56/F56)*100</f>
        <v>0.81967213114754167</v>
      </c>
      <c r="J56" s="252" t="s">
        <v>11</v>
      </c>
      <c r="K56" s="283">
        <v>0</v>
      </c>
      <c r="L56" s="283">
        <v>2</v>
      </c>
      <c r="M56" s="283">
        <f>D59/1000</f>
        <v>0.15</v>
      </c>
      <c r="N56" s="277">
        <f>SUM(K56:M58)</f>
        <v>2.15</v>
      </c>
      <c r="O56" s="277">
        <v>2.2000000000000002</v>
      </c>
    </row>
    <row r="57" spans="1:15" x14ac:dyDescent="0.3">
      <c r="A57" s="256"/>
      <c r="B57" s="268"/>
      <c r="C57" s="281"/>
      <c r="D57" s="230"/>
      <c r="E57" s="74">
        <v>0.48399999999999999</v>
      </c>
      <c r="F57" s="233"/>
      <c r="G57" s="233"/>
      <c r="H57" s="287"/>
      <c r="J57" s="253"/>
      <c r="K57" s="284"/>
      <c r="L57" s="284"/>
      <c r="M57" s="284"/>
      <c r="N57" s="278"/>
      <c r="O57" s="278"/>
    </row>
    <row r="58" spans="1:15" ht="15" thickBot="1" x14ac:dyDescent="0.35">
      <c r="A58" s="256"/>
      <c r="B58" s="269"/>
      <c r="C58" s="281"/>
      <c r="D58" s="230"/>
      <c r="E58" s="73">
        <v>0.48799999999999999</v>
      </c>
      <c r="F58" s="234"/>
      <c r="G58" s="234"/>
      <c r="H58" s="288"/>
      <c r="J58" s="254"/>
      <c r="K58" s="285"/>
      <c r="L58" s="285"/>
      <c r="M58" s="285"/>
      <c r="N58" s="279"/>
      <c r="O58" s="279">
        <v>2</v>
      </c>
    </row>
    <row r="59" spans="1:15" x14ac:dyDescent="0.3">
      <c r="A59" s="256"/>
      <c r="B59" s="267" t="s">
        <v>101</v>
      </c>
      <c r="C59" s="281"/>
      <c r="D59" s="229">
        <v>150</v>
      </c>
      <c r="E59" s="75">
        <v>0.46100000000000002</v>
      </c>
      <c r="F59" s="232">
        <f>AVERAGE(E59:E61)</f>
        <v>0.46166666666666667</v>
      </c>
      <c r="G59" s="232">
        <f>STDEV(E59:E61)</f>
        <v>4.0414518843273836E-3</v>
      </c>
      <c r="H59" s="286">
        <f t="shared" ref="H59" si="16">(G59/F59)*100</f>
        <v>0.87540474028751991</v>
      </c>
    </row>
    <row r="60" spans="1:15" x14ac:dyDescent="0.3">
      <c r="A60" s="256"/>
      <c r="B60" s="268"/>
      <c r="C60" s="281"/>
      <c r="D60" s="230"/>
      <c r="E60" s="74">
        <v>0.45800000000000002</v>
      </c>
      <c r="F60" s="233"/>
      <c r="G60" s="233"/>
      <c r="H60" s="287"/>
    </row>
    <row r="61" spans="1:15" ht="15" thickBot="1" x14ac:dyDescent="0.35">
      <c r="A61" s="257"/>
      <c r="B61" s="269"/>
      <c r="C61" s="282"/>
      <c r="D61" s="230"/>
      <c r="E61" s="73">
        <v>0.46600000000000003</v>
      </c>
      <c r="F61" s="234"/>
      <c r="G61" s="234"/>
      <c r="H61" s="288"/>
    </row>
    <row r="62" spans="1:15" x14ac:dyDescent="0.3">
      <c r="A62" s="255">
        <v>27.3</v>
      </c>
      <c r="B62" s="249" t="s">
        <v>11</v>
      </c>
      <c r="C62" s="280" t="s">
        <v>79</v>
      </c>
      <c r="D62" s="229">
        <v>150</v>
      </c>
      <c r="E62" s="75">
        <v>0.55300000000000005</v>
      </c>
      <c r="F62" s="232">
        <f>AVERAGE(E62:E64)</f>
        <v>0.56433333333333324</v>
      </c>
      <c r="G62" s="232">
        <f>STDEV(E62:E64)</f>
        <v>9.8657657246324394E-3</v>
      </c>
      <c r="H62" s="286">
        <f t="shared" ref="H62" si="17">(G62/F62)*100</f>
        <v>1.7482160173595582</v>
      </c>
    </row>
    <row r="63" spans="1:15" x14ac:dyDescent="0.3">
      <c r="A63" s="256"/>
      <c r="B63" s="250"/>
      <c r="C63" s="281"/>
      <c r="D63" s="230"/>
      <c r="E63" s="74">
        <v>0.56899999999999995</v>
      </c>
      <c r="F63" s="233"/>
      <c r="G63" s="233"/>
      <c r="H63" s="287"/>
    </row>
    <row r="64" spans="1:15" ht="15" thickBot="1" x14ac:dyDescent="0.35">
      <c r="A64" s="256"/>
      <c r="B64" s="251"/>
      <c r="C64" s="281"/>
      <c r="D64" s="231"/>
      <c r="E64" s="73">
        <v>0.57099999999999995</v>
      </c>
      <c r="F64" s="234"/>
      <c r="G64" s="234"/>
      <c r="H64" s="288"/>
    </row>
    <row r="65" spans="1:15" x14ac:dyDescent="0.3">
      <c r="A65" s="256"/>
      <c r="B65" s="249" t="s">
        <v>110</v>
      </c>
      <c r="C65" s="281"/>
      <c r="D65" s="229">
        <v>150</v>
      </c>
      <c r="E65" s="75">
        <v>0.57099999999999995</v>
      </c>
      <c r="F65" s="232">
        <f>AVERAGE(E65:E66)</f>
        <v>0.57199999999999995</v>
      </c>
      <c r="G65" s="232">
        <f>STDEV(E65:E66)</f>
        <v>1.4142135623730963E-3</v>
      </c>
      <c r="H65" s="286">
        <f t="shared" ref="H65" si="18">(G65/F65)*100</f>
        <v>0.24724013328200986</v>
      </c>
      <c r="J65" s="252" t="s">
        <v>13</v>
      </c>
      <c r="K65" s="283">
        <v>0</v>
      </c>
      <c r="L65" s="283">
        <v>2</v>
      </c>
      <c r="M65" s="283">
        <v>0.15</v>
      </c>
      <c r="N65" s="277">
        <f>SUM(K65:M67)</f>
        <v>2.15</v>
      </c>
      <c r="O65" s="277">
        <v>2.2999999999999998</v>
      </c>
    </row>
    <row r="66" spans="1:15" x14ac:dyDescent="0.3">
      <c r="A66" s="256"/>
      <c r="B66" s="250"/>
      <c r="C66" s="281"/>
      <c r="D66" s="230"/>
      <c r="E66" s="74">
        <v>0.57299999999999995</v>
      </c>
      <c r="F66" s="233"/>
      <c r="G66" s="233"/>
      <c r="H66" s="287"/>
      <c r="J66" s="253"/>
      <c r="K66" s="284"/>
      <c r="L66" s="284"/>
      <c r="M66" s="284"/>
      <c r="N66" s="278"/>
      <c r="O66" s="278"/>
    </row>
    <row r="67" spans="1:15" ht="15" thickBot="1" x14ac:dyDescent="0.35">
      <c r="A67" s="256"/>
      <c r="B67" s="251"/>
      <c r="C67" s="281"/>
      <c r="D67" s="231"/>
      <c r="E67" s="104">
        <v>0.60699999999999998</v>
      </c>
      <c r="F67" s="234"/>
      <c r="G67" s="234"/>
      <c r="H67" s="288"/>
      <c r="J67" s="254"/>
      <c r="K67" s="285"/>
      <c r="L67" s="285"/>
      <c r="M67" s="285"/>
      <c r="N67" s="279"/>
      <c r="O67" s="279">
        <v>8</v>
      </c>
    </row>
    <row r="68" spans="1:15" x14ac:dyDescent="0.3">
      <c r="A68" s="256"/>
      <c r="B68" s="267" t="s">
        <v>12</v>
      </c>
      <c r="C68" s="281"/>
      <c r="D68" s="229">
        <v>150</v>
      </c>
      <c r="E68" s="75">
        <v>0.53200000000000003</v>
      </c>
      <c r="F68" s="232">
        <f>AVERAGE(E68:E70)</f>
        <v>0.53399999999999992</v>
      </c>
      <c r="G68" s="232">
        <f>STDEV(E68:E70)</f>
        <v>1.0148891565092228E-2</v>
      </c>
      <c r="H68" s="286">
        <f t="shared" ref="H68" si="19">(G68/F68)*100</f>
        <v>1.9005414915903054</v>
      </c>
    </row>
    <row r="69" spans="1:15" x14ac:dyDescent="0.3">
      <c r="A69" s="256"/>
      <c r="B69" s="268"/>
      <c r="C69" s="281"/>
      <c r="D69" s="230"/>
      <c r="E69" s="74">
        <v>0.52500000000000002</v>
      </c>
      <c r="F69" s="233"/>
      <c r="G69" s="233"/>
      <c r="H69" s="287"/>
    </row>
    <row r="70" spans="1:15" ht="15" thickBot="1" x14ac:dyDescent="0.35">
      <c r="A70" s="256"/>
      <c r="B70" s="269"/>
      <c r="C70" s="281"/>
      <c r="D70" s="230"/>
      <c r="E70" s="73">
        <v>0.54500000000000004</v>
      </c>
      <c r="F70" s="234"/>
      <c r="G70" s="234"/>
      <c r="H70" s="288"/>
    </row>
    <row r="71" spans="1:15" x14ac:dyDescent="0.3">
      <c r="A71" s="256"/>
      <c r="B71" s="267" t="s">
        <v>111</v>
      </c>
      <c r="C71" s="281"/>
      <c r="D71" s="229">
        <v>150</v>
      </c>
      <c r="E71" s="75">
        <v>0.52</v>
      </c>
      <c r="F71" s="232">
        <f>AVERAGE(E71:E73)</f>
        <v>0.52866666666666662</v>
      </c>
      <c r="G71" s="232">
        <f>STDEV(E71:E73)</f>
        <v>1.09696551146029E-2</v>
      </c>
      <c r="H71" s="286">
        <f t="shared" ref="H71" si="20">(G71/F71)*100</f>
        <v>2.0749662890169422</v>
      </c>
    </row>
    <row r="72" spans="1:15" x14ac:dyDescent="0.3">
      <c r="A72" s="256"/>
      <c r="B72" s="268"/>
      <c r="C72" s="281"/>
      <c r="D72" s="230"/>
      <c r="E72" s="74">
        <v>0.54100000000000004</v>
      </c>
      <c r="F72" s="233"/>
      <c r="G72" s="233"/>
      <c r="H72" s="287"/>
    </row>
    <row r="73" spans="1:15" ht="15" thickBot="1" x14ac:dyDescent="0.35">
      <c r="A73" s="257"/>
      <c r="B73" s="269"/>
      <c r="C73" s="282"/>
      <c r="D73" s="230"/>
      <c r="E73" s="73">
        <v>0.52500000000000002</v>
      </c>
      <c r="F73" s="234"/>
      <c r="G73" s="234"/>
      <c r="H73" s="288"/>
    </row>
    <row r="74" spans="1:15" x14ac:dyDescent="0.3">
      <c r="A74" s="255">
        <v>33.299999999999997</v>
      </c>
      <c r="B74" s="249" t="s">
        <v>13</v>
      </c>
      <c r="C74" s="280" t="s">
        <v>79</v>
      </c>
      <c r="D74" s="229">
        <v>150</v>
      </c>
      <c r="E74" s="75">
        <v>0.60699999999999998</v>
      </c>
      <c r="F74" s="232">
        <f>AVERAGE(E74:E75)</f>
        <v>0.61399999999999999</v>
      </c>
      <c r="G74" s="232">
        <f>STDEV(E74:E75)</f>
        <v>9.8994949366116736E-3</v>
      </c>
      <c r="H74" s="286">
        <f t="shared" ref="H74" si="21">(G74/F74)*100</f>
        <v>1.6122955922820315</v>
      </c>
      <c r="J74" s="252" t="s">
        <v>15</v>
      </c>
      <c r="K74" s="283">
        <v>6</v>
      </c>
      <c r="L74" s="283">
        <v>2</v>
      </c>
      <c r="M74" s="283">
        <v>0.15</v>
      </c>
      <c r="N74" s="277">
        <f>SUM(K74:M76)</f>
        <v>8.15</v>
      </c>
      <c r="O74" s="277">
        <v>9</v>
      </c>
    </row>
    <row r="75" spans="1:15" x14ac:dyDescent="0.3">
      <c r="A75" s="256"/>
      <c r="B75" s="250"/>
      <c r="C75" s="281"/>
      <c r="D75" s="230"/>
      <c r="E75" s="74">
        <v>0.621</v>
      </c>
      <c r="F75" s="233"/>
      <c r="G75" s="233"/>
      <c r="H75" s="287"/>
      <c r="J75" s="253"/>
      <c r="K75" s="284"/>
      <c r="L75" s="284"/>
      <c r="M75" s="284"/>
      <c r="N75" s="278"/>
      <c r="O75" s="278"/>
    </row>
    <row r="76" spans="1:15" ht="15" thickBot="1" x14ac:dyDescent="0.35">
      <c r="A76" s="256"/>
      <c r="B76" s="251"/>
      <c r="C76" s="281"/>
      <c r="D76" s="231"/>
      <c r="E76" s="104">
        <v>0.56699999999999995</v>
      </c>
      <c r="F76" s="234"/>
      <c r="G76" s="234"/>
      <c r="H76" s="288"/>
      <c r="J76" s="254"/>
      <c r="K76" s="285"/>
      <c r="L76" s="285"/>
      <c r="M76" s="285"/>
      <c r="N76" s="279"/>
      <c r="O76" s="279">
        <v>8</v>
      </c>
    </row>
    <row r="77" spans="1:15" x14ac:dyDescent="0.3">
      <c r="A77" s="256"/>
      <c r="B77" s="249" t="s">
        <v>112</v>
      </c>
      <c r="C77" s="281"/>
      <c r="D77" s="229">
        <v>150</v>
      </c>
      <c r="E77" s="75">
        <v>0.63700000000000001</v>
      </c>
      <c r="F77" s="232">
        <f>AVERAGE(E77:E79)</f>
        <v>0.63533333333333342</v>
      </c>
      <c r="G77" s="232">
        <f>STDEV(E77:E79)</f>
        <v>2.8867513459481316E-3</v>
      </c>
      <c r="H77" s="286">
        <f t="shared" ref="H77" si="22">(G77/F77)*100</f>
        <v>0.45436799778826831</v>
      </c>
    </row>
    <row r="78" spans="1:15" x14ac:dyDescent="0.3">
      <c r="A78" s="256"/>
      <c r="B78" s="250"/>
      <c r="C78" s="281"/>
      <c r="D78" s="230"/>
      <c r="E78" s="74">
        <v>0.63700000000000001</v>
      </c>
      <c r="F78" s="233"/>
      <c r="G78" s="233"/>
      <c r="H78" s="287"/>
    </row>
    <row r="79" spans="1:15" ht="15" thickBot="1" x14ac:dyDescent="0.35">
      <c r="A79" s="256"/>
      <c r="B79" s="251"/>
      <c r="C79" s="281"/>
      <c r="D79" s="231"/>
      <c r="E79" s="73">
        <v>0.63200000000000001</v>
      </c>
      <c r="F79" s="234"/>
      <c r="G79" s="234"/>
      <c r="H79" s="288"/>
    </row>
    <row r="80" spans="1:15" x14ac:dyDescent="0.3">
      <c r="A80" s="256"/>
      <c r="B80" s="267" t="s">
        <v>14</v>
      </c>
      <c r="C80" s="281"/>
      <c r="D80" s="229">
        <v>150</v>
      </c>
      <c r="E80" s="75">
        <v>0.60399999999999998</v>
      </c>
      <c r="F80" s="232">
        <f>AVERAGE(E80:E82)</f>
        <v>0.59399999999999997</v>
      </c>
      <c r="G80" s="232">
        <f>STDEV(E80:E82)</f>
        <v>1.3228756555322964E-2</v>
      </c>
      <c r="H80" s="286">
        <f t="shared" ref="H80" si="23">(G80/F80)*100</f>
        <v>2.2270633931520143</v>
      </c>
    </row>
    <row r="81" spans="1:20" x14ac:dyDescent="0.3">
      <c r="A81" s="256"/>
      <c r="B81" s="268"/>
      <c r="C81" s="281"/>
      <c r="D81" s="230"/>
      <c r="E81" s="74">
        <v>0.59899999999999998</v>
      </c>
      <c r="F81" s="233"/>
      <c r="G81" s="233"/>
      <c r="H81" s="287"/>
    </row>
    <row r="82" spans="1:20" ht="15" thickBot="1" x14ac:dyDescent="0.35">
      <c r="A82" s="256"/>
      <c r="B82" s="269"/>
      <c r="C82" s="281"/>
      <c r="D82" s="230"/>
      <c r="E82" s="73">
        <v>0.57899999999999996</v>
      </c>
      <c r="F82" s="234"/>
      <c r="G82" s="234"/>
      <c r="H82" s="288"/>
    </row>
    <row r="83" spans="1:20" x14ac:dyDescent="0.3">
      <c r="A83" s="256"/>
      <c r="B83" s="267" t="s">
        <v>113</v>
      </c>
      <c r="C83" s="281"/>
      <c r="D83" s="229">
        <v>150</v>
      </c>
      <c r="E83" s="75">
        <v>0.56499999999999995</v>
      </c>
      <c r="F83" s="232">
        <f>AVERAGE(E83:E85)</f>
        <v>0.58099999999999996</v>
      </c>
      <c r="G83" s="232">
        <f>STDEV(E83:E85)</f>
        <v>1.4000000000000012E-2</v>
      </c>
      <c r="H83" s="286">
        <f t="shared" ref="H83" si="24">(G83/F83)*100</f>
        <v>2.4096385542168699</v>
      </c>
    </row>
    <row r="84" spans="1:20" x14ac:dyDescent="0.3">
      <c r="A84" s="256"/>
      <c r="B84" s="268"/>
      <c r="C84" s="281"/>
      <c r="D84" s="230"/>
      <c r="E84" s="74">
        <v>0.59099999999999997</v>
      </c>
      <c r="F84" s="233"/>
      <c r="G84" s="233"/>
      <c r="H84" s="287"/>
    </row>
    <row r="85" spans="1:20" ht="15" thickBot="1" x14ac:dyDescent="0.35">
      <c r="A85" s="257"/>
      <c r="B85" s="269"/>
      <c r="C85" s="282"/>
      <c r="D85" s="230"/>
      <c r="E85" s="73">
        <v>0.58699999999999997</v>
      </c>
      <c r="F85" s="234"/>
      <c r="G85" s="234"/>
      <c r="H85" s="288"/>
    </row>
    <row r="86" spans="1:20" x14ac:dyDescent="0.3">
      <c r="A86" s="255">
        <v>39.299999999999997</v>
      </c>
      <c r="B86" s="249" t="s">
        <v>15</v>
      </c>
      <c r="C86" s="280" t="s">
        <v>79</v>
      </c>
      <c r="D86" s="229">
        <v>150</v>
      </c>
      <c r="E86" s="75">
        <v>0.63600000000000001</v>
      </c>
      <c r="F86" s="232">
        <f>AVERAGE(E86:E88)</f>
        <v>0.66566666666666663</v>
      </c>
      <c r="G86" s="232">
        <f>STDEV(E86:E88)</f>
        <v>2.6764404221527743E-2</v>
      </c>
      <c r="H86" s="286">
        <f t="shared" ref="H86" si="25">(G86/F86)*100</f>
        <v>4.020691670735264</v>
      </c>
    </row>
    <row r="87" spans="1:20" x14ac:dyDescent="0.3">
      <c r="A87" s="256"/>
      <c r="B87" s="250"/>
      <c r="C87" s="281"/>
      <c r="D87" s="230"/>
      <c r="E87" s="74">
        <v>0.68799999999999994</v>
      </c>
      <c r="F87" s="233"/>
      <c r="G87" s="233"/>
      <c r="H87" s="287"/>
    </row>
    <row r="88" spans="1:20" ht="15" thickBot="1" x14ac:dyDescent="0.35">
      <c r="A88" s="256"/>
      <c r="B88" s="251"/>
      <c r="C88" s="281"/>
      <c r="D88" s="231"/>
      <c r="E88" s="73">
        <v>0.67300000000000004</v>
      </c>
      <c r="F88" s="234"/>
      <c r="G88" s="234"/>
      <c r="H88" s="288"/>
    </row>
    <row r="89" spans="1:20" ht="15" thickBot="1" x14ac:dyDescent="0.35">
      <c r="A89" s="256"/>
      <c r="B89" s="249" t="s">
        <v>102</v>
      </c>
      <c r="C89" s="281"/>
      <c r="D89" s="229">
        <v>150</v>
      </c>
      <c r="E89" s="75">
        <v>0.70299999999999996</v>
      </c>
      <c r="F89" s="232">
        <f>AVERAGE(E89,E91)</f>
        <v>0.69750000000000001</v>
      </c>
      <c r="G89" s="232">
        <f>STDEV(E89,E91)</f>
        <v>7.7781745930520299E-3</v>
      </c>
      <c r="H89" s="286">
        <f t="shared" ref="H89" si="26">(G89/F89)*100</f>
        <v>1.1151504792906137</v>
      </c>
      <c r="Q89" s="162">
        <v>20</v>
      </c>
      <c r="R89" s="162" t="s">
        <v>258</v>
      </c>
      <c r="S89" s="163">
        <v>21</v>
      </c>
      <c r="T89" s="164" t="s">
        <v>259</v>
      </c>
    </row>
    <row r="90" spans="1:20" ht="15" thickBot="1" x14ac:dyDescent="0.35">
      <c r="A90" s="256"/>
      <c r="B90" s="250"/>
      <c r="C90" s="281"/>
      <c r="D90" s="230"/>
      <c r="E90" s="105">
        <v>0.64400000000000002</v>
      </c>
      <c r="F90" s="233"/>
      <c r="G90" s="233"/>
      <c r="H90" s="287"/>
      <c r="Q90" s="53" t="s">
        <v>157</v>
      </c>
      <c r="R90" s="53" t="s">
        <v>158</v>
      </c>
      <c r="S90" s="53" t="s">
        <v>159</v>
      </c>
      <c r="T90" s="53" t="s">
        <v>160</v>
      </c>
    </row>
    <row r="91" spans="1:20" ht="15" thickBot="1" x14ac:dyDescent="0.35">
      <c r="A91" s="256"/>
      <c r="B91" s="251"/>
      <c r="C91" s="281"/>
      <c r="D91" s="231"/>
      <c r="E91" s="73">
        <v>0.69199999999999995</v>
      </c>
      <c r="F91" s="234"/>
      <c r="G91" s="234"/>
      <c r="H91" s="288"/>
      <c r="P91" s="118" t="s">
        <v>188</v>
      </c>
      <c r="Q91" s="289">
        <v>787.45141117193452</v>
      </c>
      <c r="R91" s="290"/>
      <c r="S91" s="290"/>
      <c r="T91" s="291"/>
    </row>
    <row r="92" spans="1:20" ht="15" thickBot="1" x14ac:dyDescent="0.35">
      <c r="A92" s="256"/>
      <c r="B92" s="267" t="s">
        <v>16</v>
      </c>
      <c r="C92" s="281"/>
      <c r="D92" s="229">
        <v>150</v>
      </c>
      <c r="E92" s="75">
        <v>0.65700000000000003</v>
      </c>
      <c r="F92" s="232">
        <f>AVERAGE(E92:E94)</f>
        <v>0.65033333333333332</v>
      </c>
      <c r="G92" s="232">
        <f>STDEV(E92:E94)</f>
        <v>9.073771725877474E-3</v>
      </c>
      <c r="H92" s="286">
        <f t="shared" ref="H92" si="27">(G92/F92)*100</f>
        <v>1.3952493684076075</v>
      </c>
      <c r="P92" s="86" t="s">
        <v>187</v>
      </c>
      <c r="Q92" s="2">
        <v>730</v>
      </c>
      <c r="R92" s="2">
        <v>735</v>
      </c>
      <c r="S92" s="2">
        <v>750</v>
      </c>
      <c r="T92" s="2">
        <v>720</v>
      </c>
    </row>
    <row r="93" spans="1:20" ht="15" thickBot="1" x14ac:dyDescent="0.35">
      <c r="A93" s="256"/>
      <c r="B93" s="268"/>
      <c r="C93" s="281"/>
      <c r="D93" s="230"/>
      <c r="E93" s="74">
        <v>0.65400000000000003</v>
      </c>
      <c r="F93" s="233"/>
      <c r="G93" s="233"/>
      <c r="H93" s="287"/>
      <c r="P93" s="86" t="s">
        <v>186</v>
      </c>
      <c r="Q93" s="77">
        <f>39.1</f>
        <v>39.1</v>
      </c>
      <c r="R93" s="77">
        <f>38.1</f>
        <v>38.1</v>
      </c>
      <c r="S93" s="77">
        <v>38.299999999999997</v>
      </c>
      <c r="T93" s="114">
        <v>38.6</v>
      </c>
    </row>
    <row r="94" spans="1:20" ht="15" thickBot="1" x14ac:dyDescent="0.35">
      <c r="A94" s="256"/>
      <c r="B94" s="269"/>
      <c r="C94" s="281"/>
      <c r="D94" s="230"/>
      <c r="E94" s="73">
        <v>0.64</v>
      </c>
      <c r="F94" s="234"/>
      <c r="G94" s="234"/>
      <c r="H94" s="288"/>
      <c r="P94" s="86" t="s">
        <v>264</v>
      </c>
      <c r="Q94" s="90">
        <f>($Q$91-(Q92+Q93))/(Q92+Q93)*100</f>
        <v>2.3860890874963592</v>
      </c>
      <c r="R94" s="90">
        <f>($Q$91-(R92+R93))/(R92+R93)*100</f>
        <v>1.8563460318114733</v>
      </c>
      <c r="S94" s="90">
        <f>($Q$91-(S92+S93))/(S92+S93)*100</f>
        <v>-0.10764795484782834</v>
      </c>
      <c r="T94" s="90">
        <f>($Q$91-(T92+T93))/(T92+T93)*100</f>
        <v>3.8032442884174138</v>
      </c>
    </row>
    <row r="95" spans="1:20" x14ac:dyDescent="0.3">
      <c r="A95" s="256"/>
      <c r="B95" s="267" t="s">
        <v>103</v>
      </c>
      <c r="C95" s="281"/>
      <c r="D95" s="229">
        <v>150</v>
      </c>
      <c r="E95" s="75">
        <v>0.60699999999999998</v>
      </c>
      <c r="F95" s="232">
        <f>AVERAGE(E95:E97)</f>
        <v>0.6193333333333334</v>
      </c>
      <c r="G95" s="232">
        <f>STDEV(E95:E97)</f>
        <v>1.1590225767142484E-2</v>
      </c>
      <c r="H95" s="286">
        <f t="shared" ref="H95" si="28">(G95/F95)*100</f>
        <v>1.8714035146085817</v>
      </c>
    </row>
    <row r="96" spans="1:20" x14ac:dyDescent="0.3">
      <c r="A96" s="256"/>
      <c r="B96" s="268"/>
      <c r="C96" s="281"/>
      <c r="D96" s="230"/>
      <c r="E96" s="74">
        <v>0.63</v>
      </c>
      <c r="F96" s="233"/>
      <c r="G96" s="233"/>
      <c r="H96" s="287"/>
    </row>
    <row r="97" spans="1:15" ht="15" thickBot="1" x14ac:dyDescent="0.35">
      <c r="A97" s="257"/>
      <c r="B97" s="269"/>
      <c r="C97" s="282"/>
      <c r="D97" s="231"/>
      <c r="E97" s="73">
        <v>0.621</v>
      </c>
      <c r="F97" s="234"/>
      <c r="G97" s="234"/>
      <c r="H97" s="288"/>
    </row>
    <row r="100" spans="1:15" ht="15" thickBot="1" x14ac:dyDescent="0.35"/>
    <row r="101" spans="1:15" ht="15" thickBot="1" x14ac:dyDescent="0.35">
      <c r="A101" s="1" t="s">
        <v>17</v>
      </c>
      <c r="B101" s="1" t="s">
        <v>1</v>
      </c>
      <c r="C101" s="1" t="s">
        <v>18</v>
      </c>
      <c r="D101" s="1" t="s">
        <v>80</v>
      </c>
      <c r="E101" s="1" t="s">
        <v>21</v>
      </c>
      <c r="F101" s="1" t="s">
        <v>19</v>
      </c>
      <c r="G101" s="1" t="s">
        <v>257</v>
      </c>
      <c r="H101" s="1" t="s">
        <v>299</v>
      </c>
    </row>
    <row r="102" spans="1:15" x14ac:dyDescent="0.3">
      <c r="A102" s="256">
        <v>0</v>
      </c>
      <c r="B102" s="226" t="s">
        <v>267</v>
      </c>
      <c r="C102" s="281" t="s">
        <v>78</v>
      </c>
      <c r="D102" s="229">
        <v>300</v>
      </c>
      <c r="E102" s="75">
        <v>0.53500000000000003</v>
      </c>
      <c r="F102" s="232">
        <f>AVERAGE(E102:E104)</f>
        <v>0.52933333333333332</v>
      </c>
      <c r="G102" s="232">
        <f>STDEV(E102:E104)</f>
        <v>7.3711147958320008E-3</v>
      </c>
      <c r="H102" s="286">
        <f t="shared" ref="H102" si="29">(G102/F102)*100</f>
        <v>1.3925279840992444</v>
      </c>
    </row>
    <row r="103" spans="1:15" ht="15" thickBot="1" x14ac:dyDescent="0.35">
      <c r="A103" s="256"/>
      <c r="B103" s="227"/>
      <c r="C103" s="281"/>
      <c r="D103" s="230"/>
      <c r="E103" s="74">
        <v>0.52100000000000002</v>
      </c>
      <c r="F103" s="233"/>
      <c r="G103" s="233"/>
      <c r="H103" s="287"/>
    </row>
    <row r="104" spans="1:15" ht="15" thickBot="1" x14ac:dyDescent="0.35">
      <c r="A104" s="256"/>
      <c r="B104" s="228"/>
      <c r="C104" s="281"/>
      <c r="D104" s="231"/>
      <c r="E104" s="73">
        <v>0.53200000000000003</v>
      </c>
      <c r="F104" s="234"/>
      <c r="G104" s="234"/>
      <c r="H104" s="288"/>
      <c r="K104" s="53" t="s">
        <v>81</v>
      </c>
      <c r="L104" s="53" t="s">
        <v>82</v>
      </c>
      <c r="M104" s="53" t="s">
        <v>83</v>
      </c>
      <c r="N104" s="53" t="s">
        <v>84</v>
      </c>
      <c r="O104" s="53" t="s">
        <v>260</v>
      </c>
    </row>
    <row r="105" spans="1:15" x14ac:dyDescent="0.3">
      <c r="A105" s="256"/>
      <c r="B105" s="226" t="s">
        <v>268</v>
      </c>
      <c r="C105" s="281"/>
      <c r="D105" s="229">
        <v>300</v>
      </c>
      <c r="E105" s="75">
        <v>0.52</v>
      </c>
      <c r="F105" s="232">
        <f t="shared" ref="F105" si="30">AVERAGE(E105:E107)</f>
        <v>0.51700000000000002</v>
      </c>
      <c r="G105" s="232">
        <f t="shared" ref="G105" si="31">STDEV(E105:E107)</f>
        <v>1.1789826122551606E-2</v>
      </c>
      <c r="H105" s="286">
        <f t="shared" ref="H105:H147" si="32">(G105/F105)*100</f>
        <v>2.2804305846328057</v>
      </c>
      <c r="J105" s="292" t="s">
        <v>267</v>
      </c>
      <c r="K105" s="280">
        <v>6</v>
      </c>
      <c r="L105" s="280">
        <v>2</v>
      </c>
      <c r="M105" s="280">
        <f>D102/1000</f>
        <v>0.3</v>
      </c>
      <c r="N105" s="277">
        <f>SUM(K105:M107)</f>
        <v>8.3000000000000007</v>
      </c>
      <c r="O105" s="277">
        <v>9</v>
      </c>
    </row>
    <row r="106" spans="1:15" x14ac:dyDescent="0.3">
      <c r="A106" s="256"/>
      <c r="B106" s="227"/>
      <c r="C106" s="281"/>
      <c r="D106" s="230"/>
      <c r="E106" s="74">
        <v>0.504</v>
      </c>
      <c r="F106" s="233"/>
      <c r="G106" s="233"/>
      <c r="H106" s="287"/>
      <c r="J106" s="293"/>
      <c r="K106" s="281"/>
      <c r="L106" s="281"/>
      <c r="M106" s="281"/>
      <c r="N106" s="278"/>
      <c r="O106" s="278"/>
    </row>
    <row r="107" spans="1:15" ht="15" thickBot="1" x14ac:dyDescent="0.35">
      <c r="A107" s="257"/>
      <c r="B107" s="228"/>
      <c r="C107" s="282"/>
      <c r="D107" s="231"/>
      <c r="E107" s="73">
        <v>0.52700000000000002</v>
      </c>
      <c r="F107" s="234"/>
      <c r="G107" s="234"/>
      <c r="H107" s="288"/>
      <c r="J107" s="294"/>
      <c r="K107" s="282"/>
      <c r="L107" s="282"/>
      <c r="M107" s="282"/>
      <c r="N107" s="279"/>
      <c r="O107" s="279"/>
    </row>
    <row r="108" spans="1:15" x14ac:dyDescent="0.3">
      <c r="A108" s="256">
        <v>5.3</v>
      </c>
      <c r="B108" s="226" t="s">
        <v>275</v>
      </c>
      <c r="C108" s="281" t="s">
        <v>79</v>
      </c>
      <c r="D108" s="229">
        <v>150</v>
      </c>
      <c r="E108" s="74">
        <v>0.29399999999999998</v>
      </c>
      <c r="F108" s="232">
        <f t="shared" ref="F108" si="33">AVERAGE(E108:E110)</f>
        <v>0.29099999999999998</v>
      </c>
      <c r="G108" s="232">
        <f t="shared" ref="G108" si="34">STDEV(E108:E110)</f>
        <v>2.6457513110645929E-3</v>
      </c>
      <c r="H108" s="286">
        <f t="shared" si="32"/>
        <v>0.90919289040020368</v>
      </c>
    </row>
    <row r="109" spans="1:15" x14ac:dyDescent="0.3">
      <c r="A109" s="256"/>
      <c r="B109" s="227"/>
      <c r="C109" s="281"/>
      <c r="D109" s="230"/>
      <c r="E109" s="74">
        <v>0.28899999999999998</v>
      </c>
      <c r="F109" s="233"/>
      <c r="G109" s="233"/>
      <c r="H109" s="287"/>
    </row>
    <row r="110" spans="1:15" ht="15" thickBot="1" x14ac:dyDescent="0.35">
      <c r="A110" s="256"/>
      <c r="B110" s="228"/>
      <c r="C110" s="281"/>
      <c r="D110" s="231"/>
      <c r="E110" s="73">
        <v>0.28999999999999998</v>
      </c>
      <c r="F110" s="234"/>
      <c r="G110" s="234"/>
      <c r="H110" s="288"/>
    </row>
    <row r="111" spans="1:15" x14ac:dyDescent="0.3">
      <c r="A111" s="256"/>
      <c r="B111" s="226" t="s">
        <v>279</v>
      </c>
      <c r="C111" s="281"/>
      <c r="D111" s="229">
        <v>150</v>
      </c>
      <c r="E111" s="74">
        <v>0.28199999999999997</v>
      </c>
      <c r="F111" s="232">
        <f t="shared" ref="F111" si="35">AVERAGE(E111:E113)</f>
        <v>0.29299999999999998</v>
      </c>
      <c r="G111" s="232">
        <f t="shared" ref="G111" si="36">STDEV(E111:E113)</f>
        <v>9.6436507609929632E-3</v>
      </c>
      <c r="H111" s="286">
        <f t="shared" si="32"/>
        <v>3.2913483825914551</v>
      </c>
      <c r="J111" s="292" t="s">
        <v>275</v>
      </c>
      <c r="K111" s="280">
        <v>0</v>
      </c>
      <c r="L111" s="280">
        <v>2</v>
      </c>
      <c r="M111" s="280">
        <f>D108/1000</f>
        <v>0.15</v>
      </c>
      <c r="N111" s="277">
        <f>SUM(K111:M113)</f>
        <v>2.15</v>
      </c>
      <c r="O111" s="277">
        <v>2.2999999999999998</v>
      </c>
    </row>
    <row r="112" spans="1:15" x14ac:dyDescent="0.3">
      <c r="A112" s="256"/>
      <c r="B112" s="227"/>
      <c r="C112" s="281"/>
      <c r="D112" s="230"/>
      <c r="E112" s="74">
        <v>0.3</v>
      </c>
      <c r="F112" s="233"/>
      <c r="G112" s="233"/>
      <c r="H112" s="287"/>
      <c r="J112" s="293"/>
      <c r="K112" s="281"/>
      <c r="L112" s="281"/>
      <c r="M112" s="281"/>
      <c r="N112" s="278"/>
      <c r="O112" s="278"/>
    </row>
    <row r="113" spans="1:15" ht="15" thickBot="1" x14ac:dyDescent="0.35">
      <c r="A113" s="257"/>
      <c r="B113" s="228"/>
      <c r="C113" s="282"/>
      <c r="D113" s="231"/>
      <c r="E113" s="73">
        <v>0.29699999999999999</v>
      </c>
      <c r="F113" s="234"/>
      <c r="G113" s="234"/>
      <c r="H113" s="288"/>
      <c r="J113" s="294"/>
      <c r="K113" s="282"/>
      <c r="L113" s="282"/>
      <c r="M113" s="282"/>
      <c r="N113" s="279"/>
      <c r="O113" s="279"/>
    </row>
    <row r="114" spans="1:15" x14ac:dyDescent="0.3">
      <c r="A114" s="256">
        <v>10.8</v>
      </c>
      <c r="B114" s="226" t="s">
        <v>269</v>
      </c>
      <c r="C114" s="280" t="s">
        <v>79</v>
      </c>
      <c r="D114" s="229">
        <v>150</v>
      </c>
      <c r="E114" s="74">
        <v>0.30499999999999999</v>
      </c>
      <c r="F114" s="232">
        <f t="shared" ref="F114" si="37">AVERAGE(E114:E116)</f>
        <v>0.31766666666666671</v>
      </c>
      <c r="G114" s="232">
        <f t="shared" ref="G114" si="38">STDEV(E114:E116)</f>
        <v>1.1372481406154664E-2</v>
      </c>
      <c r="H114" s="286">
        <f t="shared" si="32"/>
        <v>3.5800046399227687</v>
      </c>
    </row>
    <row r="115" spans="1:15" x14ac:dyDescent="0.3">
      <c r="A115" s="256"/>
      <c r="B115" s="227"/>
      <c r="C115" s="281"/>
      <c r="D115" s="230"/>
      <c r="E115" s="74">
        <v>0.32100000000000001</v>
      </c>
      <c r="F115" s="233"/>
      <c r="G115" s="233"/>
      <c r="H115" s="287"/>
    </row>
    <row r="116" spans="1:15" ht="15" thickBot="1" x14ac:dyDescent="0.35">
      <c r="A116" s="256"/>
      <c r="B116" s="228"/>
      <c r="C116" s="281"/>
      <c r="D116" s="231"/>
      <c r="E116" s="73">
        <v>0.32700000000000001</v>
      </c>
      <c r="F116" s="234"/>
      <c r="G116" s="234"/>
      <c r="H116" s="288"/>
    </row>
    <row r="117" spans="1:15" x14ac:dyDescent="0.3">
      <c r="A117" s="256"/>
      <c r="B117" s="226" t="s">
        <v>270</v>
      </c>
      <c r="C117" s="281"/>
      <c r="D117" s="229">
        <v>150</v>
      </c>
      <c r="E117" s="74">
        <v>0.32</v>
      </c>
      <c r="F117" s="232">
        <f t="shared" ref="F117" si="39">AVERAGE(E117:E119)</f>
        <v>0.33300000000000002</v>
      </c>
      <c r="G117" s="232">
        <f t="shared" ref="G117" si="40">STDEV(E117:E119)</f>
        <v>1.1357816691600558E-2</v>
      </c>
      <c r="H117" s="286">
        <f t="shared" si="32"/>
        <v>3.4107557632434107</v>
      </c>
      <c r="J117" s="292" t="s">
        <v>269</v>
      </c>
      <c r="K117" s="280">
        <v>6</v>
      </c>
      <c r="L117" s="280">
        <v>2</v>
      </c>
      <c r="M117" s="280">
        <f>D114/1000</f>
        <v>0.15</v>
      </c>
      <c r="N117" s="277">
        <f>SUM(K117:M119)</f>
        <v>8.15</v>
      </c>
      <c r="O117" s="277">
        <v>9</v>
      </c>
    </row>
    <row r="118" spans="1:15" x14ac:dyDescent="0.3">
      <c r="A118" s="256"/>
      <c r="B118" s="227"/>
      <c r="C118" s="281"/>
      <c r="D118" s="230"/>
      <c r="E118" s="74">
        <v>0.33800000000000002</v>
      </c>
      <c r="F118" s="233"/>
      <c r="G118" s="233"/>
      <c r="H118" s="287"/>
      <c r="J118" s="293"/>
      <c r="K118" s="281"/>
      <c r="L118" s="281"/>
      <c r="M118" s="281"/>
      <c r="N118" s="278"/>
      <c r="O118" s="278"/>
    </row>
    <row r="119" spans="1:15" ht="15" thickBot="1" x14ac:dyDescent="0.35">
      <c r="A119" s="257"/>
      <c r="B119" s="228"/>
      <c r="C119" s="282"/>
      <c r="D119" s="231"/>
      <c r="E119" s="73">
        <v>0.34100000000000003</v>
      </c>
      <c r="F119" s="234"/>
      <c r="G119" s="234"/>
      <c r="H119" s="288"/>
      <c r="J119" s="294"/>
      <c r="K119" s="282"/>
      <c r="L119" s="282"/>
      <c r="M119" s="282"/>
      <c r="N119" s="279"/>
      <c r="O119" s="279"/>
    </row>
    <row r="120" spans="1:15" x14ac:dyDescent="0.3">
      <c r="A120" s="256">
        <v>16.5</v>
      </c>
      <c r="B120" s="226" t="s">
        <v>276</v>
      </c>
      <c r="C120" s="280" t="s">
        <v>79</v>
      </c>
      <c r="D120" s="229">
        <v>150</v>
      </c>
      <c r="E120" s="74">
        <v>0.35599999999999998</v>
      </c>
      <c r="F120" s="232">
        <f t="shared" ref="F120" si="41">AVERAGE(E120:E122)</f>
        <v>0.36366666666666664</v>
      </c>
      <c r="G120" s="232">
        <f t="shared" ref="G120" si="42">STDEV(E120:E122)</f>
        <v>7.0945988845975937E-3</v>
      </c>
      <c r="H120" s="286">
        <f t="shared" si="32"/>
        <v>1.9508521222541506</v>
      </c>
    </row>
    <row r="121" spans="1:15" x14ac:dyDescent="0.3">
      <c r="A121" s="256"/>
      <c r="B121" s="227"/>
      <c r="C121" s="281"/>
      <c r="D121" s="230"/>
      <c r="E121" s="74">
        <v>0.37</v>
      </c>
      <c r="F121" s="233"/>
      <c r="G121" s="233"/>
      <c r="H121" s="287"/>
    </row>
    <row r="122" spans="1:15" ht="15" thickBot="1" x14ac:dyDescent="0.35">
      <c r="A122" s="256"/>
      <c r="B122" s="228"/>
      <c r="C122" s="281"/>
      <c r="D122" s="231"/>
      <c r="E122" s="73">
        <v>0.36499999999999999</v>
      </c>
      <c r="F122" s="234"/>
      <c r="G122" s="234"/>
      <c r="H122" s="288"/>
    </row>
    <row r="123" spans="1:15" x14ac:dyDescent="0.3">
      <c r="A123" s="256"/>
      <c r="B123" s="226" t="s">
        <v>280</v>
      </c>
      <c r="C123" s="281"/>
      <c r="D123" s="229">
        <v>150</v>
      </c>
      <c r="E123" s="74">
        <v>0.36199999999999999</v>
      </c>
      <c r="F123" s="232">
        <f t="shared" ref="F123" si="43">AVERAGE(E123:E125)</f>
        <v>0.36800000000000005</v>
      </c>
      <c r="G123" s="232">
        <f t="shared" ref="G123" si="44">STDEV(E123:E125)</f>
        <v>1.3076696830622032E-2</v>
      </c>
      <c r="H123" s="286">
        <f t="shared" si="32"/>
        <v>3.553450225712508</v>
      </c>
      <c r="J123" s="292" t="s">
        <v>276</v>
      </c>
      <c r="K123" s="280">
        <v>0</v>
      </c>
      <c r="L123" s="280">
        <v>2</v>
      </c>
      <c r="M123" s="280">
        <f>D120/1000</f>
        <v>0.15</v>
      </c>
      <c r="N123" s="277">
        <f>SUM(K123:M125)</f>
        <v>2.15</v>
      </c>
      <c r="O123" s="277">
        <v>2.4</v>
      </c>
    </row>
    <row r="124" spans="1:15" x14ac:dyDescent="0.3">
      <c r="A124" s="256"/>
      <c r="B124" s="227"/>
      <c r="C124" s="281"/>
      <c r="D124" s="230"/>
      <c r="E124" s="74">
        <v>0.38300000000000001</v>
      </c>
      <c r="F124" s="233"/>
      <c r="G124" s="233"/>
      <c r="H124" s="287"/>
      <c r="J124" s="293"/>
      <c r="K124" s="281"/>
      <c r="L124" s="281"/>
      <c r="M124" s="281"/>
      <c r="N124" s="278"/>
      <c r="O124" s="278"/>
    </row>
    <row r="125" spans="1:15" ht="15" thickBot="1" x14ac:dyDescent="0.35">
      <c r="A125" s="257"/>
      <c r="B125" s="228"/>
      <c r="C125" s="282"/>
      <c r="D125" s="231"/>
      <c r="E125" s="73">
        <v>0.35899999999999999</v>
      </c>
      <c r="F125" s="234"/>
      <c r="G125" s="234"/>
      <c r="H125" s="288"/>
      <c r="J125" s="294"/>
      <c r="K125" s="282"/>
      <c r="L125" s="282"/>
      <c r="M125" s="282"/>
      <c r="N125" s="279"/>
      <c r="O125" s="279"/>
    </row>
    <row r="126" spans="1:15" x14ac:dyDescent="0.3">
      <c r="A126" s="256">
        <v>21.8</v>
      </c>
      <c r="B126" s="226" t="s">
        <v>271</v>
      </c>
      <c r="C126" s="280" t="s">
        <v>79</v>
      </c>
      <c r="D126" s="229">
        <v>150</v>
      </c>
      <c r="E126" s="74">
        <v>0.42499999999999999</v>
      </c>
      <c r="F126" s="232">
        <f t="shared" ref="F126" si="45">AVERAGE(E126:E128)</f>
        <v>0.42133333333333334</v>
      </c>
      <c r="G126" s="232">
        <f t="shared" ref="G126" si="46">STDEV(E126:E128)</f>
        <v>3.2145502536643214E-3</v>
      </c>
      <c r="H126" s="286">
        <f t="shared" si="32"/>
        <v>0.76294705387602557</v>
      </c>
    </row>
    <row r="127" spans="1:15" x14ac:dyDescent="0.3">
      <c r="A127" s="256"/>
      <c r="B127" s="227"/>
      <c r="C127" s="281"/>
      <c r="D127" s="230"/>
      <c r="E127" s="74">
        <v>0.42</v>
      </c>
      <c r="F127" s="233"/>
      <c r="G127" s="233"/>
      <c r="H127" s="287"/>
    </row>
    <row r="128" spans="1:15" ht="15" thickBot="1" x14ac:dyDescent="0.35">
      <c r="A128" s="256"/>
      <c r="B128" s="228"/>
      <c r="C128" s="281"/>
      <c r="D128" s="231"/>
      <c r="E128" s="73">
        <v>0.41899999999999998</v>
      </c>
      <c r="F128" s="234"/>
      <c r="G128" s="234"/>
      <c r="H128" s="288"/>
    </row>
    <row r="129" spans="1:15" x14ac:dyDescent="0.3">
      <c r="A129" s="256"/>
      <c r="B129" s="226" t="s">
        <v>272</v>
      </c>
      <c r="C129" s="281"/>
      <c r="D129" s="229">
        <v>150</v>
      </c>
      <c r="E129" s="74">
        <v>0.39</v>
      </c>
      <c r="F129" s="232">
        <f>AVERAGE(E129:E131)</f>
        <v>0.40833333333333327</v>
      </c>
      <c r="G129" s="232">
        <f>STDEV(E129:E131)</f>
        <v>1.6258331197676248E-2</v>
      </c>
      <c r="H129" s="286">
        <f t="shared" si="32"/>
        <v>3.9816321300431632</v>
      </c>
      <c r="J129" s="292" t="s">
        <v>271</v>
      </c>
      <c r="K129" s="280">
        <v>6</v>
      </c>
      <c r="L129" s="280">
        <v>2</v>
      </c>
      <c r="M129" s="280">
        <f>D126/1000</f>
        <v>0.15</v>
      </c>
      <c r="N129" s="277">
        <f>SUM(K129:M131)</f>
        <v>8.15</v>
      </c>
      <c r="O129" s="277">
        <v>9</v>
      </c>
    </row>
    <row r="130" spans="1:15" x14ac:dyDescent="0.3">
      <c r="A130" s="256"/>
      <c r="B130" s="227"/>
      <c r="C130" s="281"/>
      <c r="D130" s="230"/>
      <c r="E130" s="74">
        <v>0.42099999999999999</v>
      </c>
      <c r="F130" s="233"/>
      <c r="G130" s="233"/>
      <c r="H130" s="287"/>
      <c r="J130" s="293"/>
      <c r="K130" s="281"/>
      <c r="L130" s="281"/>
      <c r="M130" s="281"/>
      <c r="N130" s="278"/>
      <c r="O130" s="278"/>
    </row>
    <row r="131" spans="1:15" ht="15" thickBot="1" x14ac:dyDescent="0.35">
      <c r="A131" s="257"/>
      <c r="B131" s="228"/>
      <c r="C131" s="282"/>
      <c r="D131" s="231"/>
      <c r="E131" s="73">
        <v>0.41399999999999998</v>
      </c>
      <c r="F131" s="234"/>
      <c r="G131" s="234"/>
      <c r="H131" s="288"/>
      <c r="J131" s="294"/>
      <c r="K131" s="282"/>
      <c r="L131" s="282"/>
      <c r="M131" s="282"/>
      <c r="N131" s="279"/>
      <c r="O131" s="279"/>
    </row>
    <row r="132" spans="1:15" x14ac:dyDescent="0.3">
      <c r="A132" s="256">
        <v>27.5</v>
      </c>
      <c r="B132" s="226" t="s">
        <v>277</v>
      </c>
      <c r="C132" s="280" t="s">
        <v>79</v>
      </c>
      <c r="D132" s="229">
        <v>150</v>
      </c>
      <c r="E132" s="74">
        <v>0.44400000000000001</v>
      </c>
      <c r="F132" s="232">
        <f t="shared" ref="F132" si="47">AVERAGE(E132:E134)</f>
        <v>0.43333333333333335</v>
      </c>
      <c r="G132" s="232">
        <f t="shared" ref="G132" si="48">STDEV(E132:E134)</f>
        <v>9.7125348562223188E-3</v>
      </c>
      <c r="H132" s="286">
        <f t="shared" si="32"/>
        <v>2.2413541975897657</v>
      </c>
    </row>
    <row r="133" spans="1:15" x14ac:dyDescent="0.3">
      <c r="A133" s="256"/>
      <c r="B133" s="227"/>
      <c r="C133" s="281"/>
      <c r="D133" s="230"/>
      <c r="E133" s="74">
        <v>0.43099999999999999</v>
      </c>
      <c r="F133" s="233"/>
      <c r="G133" s="233"/>
      <c r="H133" s="287"/>
    </row>
    <row r="134" spans="1:15" ht="15" thickBot="1" x14ac:dyDescent="0.35">
      <c r="A134" s="256"/>
      <c r="B134" s="228"/>
      <c r="C134" s="281"/>
      <c r="D134" s="231"/>
      <c r="E134" s="73">
        <v>0.42499999999999999</v>
      </c>
      <c r="F134" s="234"/>
      <c r="G134" s="234"/>
      <c r="H134" s="288"/>
    </row>
    <row r="135" spans="1:15" x14ac:dyDescent="0.3">
      <c r="A135" s="256"/>
      <c r="B135" s="226" t="s">
        <v>281</v>
      </c>
      <c r="C135" s="281"/>
      <c r="D135" s="229">
        <v>150</v>
      </c>
      <c r="E135" s="74">
        <v>0.434</v>
      </c>
      <c r="F135" s="232">
        <f t="shared" ref="F135" si="49">AVERAGE(E135:E137)</f>
        <v>0.44466666666666671</v>
      </c>
      <c r="G135" s="232">
        <f t="shared" ref="G135" si="50">STDEV(E135:E137)</f>
        <v>1.1590225767142484E-2</v>
      </c>
      <c r="H135" s="286">
        <f t="shared" si="32"/>
        <v>2.6064975488326425</v>
      </c>
      <c r="J135" s="292" t="s">
        <v>277</v>
      </c>
      <c r="K135" s="280">
        <v>0</v>
      </c>
      <c r="L135" s="280">
        <v>2</v>
      </c>
      <c r="M135" s="280">
        <f>D132/1000</f>
        <v>0.15</v>
      </c>
      <c r="N135" s="277">
        <f>SUM(K135:M137)</f>
        <v>2.15</v>
      </c>
      <c r="O135" s="277">
        <v>2.4</v>
      </c>
    </row>
    <row r="136" spans="1:15" x14ac:dyDescent="0.3">
      <c r="A136" s="256"/>
      <c r="B136" s="227"/>
      <c r="C136" s="281"/>
      <c r="D136" s="230"/>
      <c r="E136" s="74">
        <v>0.45700000000000002</v>
      </c>
      <c r="F136" s="233"/>
      <c r="G136" s="233"/>
      <c r="H136" s="287"/>
      <c r="J136" s="293"/>
      <c r="K136" s="281"/>
      <c r="L136" s="281"/>
      <c r="M136" s="281"/>
      <c r="N136" s="278"/>
      <c r="O136" s="278"/>
    </row>
    <row r="137" spans="1:15" ht="15" thickBot="1" x14ac:dyDescent="0.35">
      <c r="A137" s="257"/>
      <c r="B137" s="228"/>
      <c r="C137" s="282"/>
      <c r="D137" s="231"/>
      <c r="E137" s="73">
        <v>0.443</v>
      </c>
      <c r="F137" s="234"/>
      <c r="G137" s="234"/>
      <c r="H137" s="288"/>
      <c r="J137" s="294"/>
      <c r="K137" s="282"/>
      <c r="L137" s="282"/>
      <c r="M137" s="282"/>
      <c r="N137" s="279"/>
      <c r="O137" s="279"/>
    </row>
    <row r="138" spans="1:15" x14ac:dyDescent="0.3">
      <c r="A138" s="256">
        <v>33.299999999999997</v>
      </c>
      <c r="B138" s="226" t="s">
        <v>278</v>
      </c>
      <c r="C138" s="280" t="s">
        <v>79</v>
      </c>
      <c r="D138" s="229">
        <v>150</v>
      </c>
      <c r="E138" s="74">
        <v>0.46400000000000002</v>
      </c>
      <c r="F138" s="232">
        <f t="shared" ref="F138" si="51">AVERAGE(E138:E140)</f>
        <v>0.47433333333333333</v>
      </c>
      <c r="G138" s="232">
        <f t="shared" ref="G138" si="52">STDEV(E138:E140)</f>
        <v>9.6090235369330271E-3</v>
      </c>
      <c r="H138" s="286">
        <f t="shared" si="32"/>
        <v>2.0257955453829291</v>
      </c>
    </row>
    <row r="139" spans="1:15" x14ac:dyDescent="0.3">
      <c r="A139" s="256"/>
      <c r="B139" s="227"/>
      <c r="C139" s="281"/>
      <c r="D139" s="230"/>
      <c r="E139" s="74">
        <v>0.47599999999999998</v>
      </c>
      <c r="F139" s="233"/>
      <c r="G139" s="233"/>
      <c r="H139" s="287"/>
    </row>
    <row r="140" spans="1:15" ht="15" thickBot="1" x14ac:dyDescent="0.35">
      <c r="A140" s="256"/>
      <c r="B140" s="228"/>
      <c r="C140" s="281"/>
      <c r="D140" s="231"/>
      <c r="E140" s="73">
        <v>0.48299999999999998</v>
      </c>
      <c r="F140" s="234"/>
      <c r="G140" s="234"/>
      <c r="H140" s="288"/>
    </row>
    <row r="141" spans="1:15" x14ac:dyDescent="0.3">
      <c r="A141" s="256"/>
      <c r="B141" s="226" t="s">
        <v>282</v>
      </c>
      <c r="C141" s="281"/>
      <c r="D141" s="229">
        <v>150</v>
      </c>
      <c r="E141" s="74">
        <v>0.47799999999999998</v>
      </c>
      <c r="F141" s="232">
        <f t="shared" ref="F141" si="53">AVERAGE(E141:E143)</f>
        <v>0.48100000000000004</v>
      </c>
      <c r="G141" s="232">
        <f t="shared" ref="G141" si="54">STDEV(E141:E143)</f>
        <v>3.0000000000000027E-3</v>
      </c>
      <c r="H141" s="286">
        <f t="shared" si="32"/>
        <v>0.62370062370062418</v>
      </c>
      <c r="J141" s="292" t="s">
        <v>278</v>
      </c>
      <c r="K141" s="280">
        <v>0</v>
      </c>
      <c r="L141" s="280">
        <v>2</v>
      </c>
      <c r="M141" s="280">
        <f>D138/1000</f>
        <v>0.15</v>
      </c>
      <c r="N141" s="277">
        <f>SUM(K141:M143)</f>
        <v>2.15</v>
      </c>
      <c r="O141" s="277">
        <v>2.4</v>
      </c>
    </row>
    <row r="142" spans="1:15" x14ac:dyDescent="0.3">
      <c r="A142" s="256"/>
      <c r="B142" s="227"/>
      <c r="C142" s="281"/>
      <c r="D142" s="230"/>
      <c r="E142" s="74">
        <v>0.48099999999999998</v>
      </c>
      <c r="F142" s="233"/>
      <c r="G142" s="233"/>
      <c r="H142" s="287"/>
      <c r="J142" s="293"/>
      <c r="K142" s="281"/>
      <c r="L142" s="281"/>
      <c r="M142" s="281"/>
      <c r="N142" s="278"/>
      <c r="O142" s="278"/>
    </row>
    <row r="143" spans="1:15" ht="15" thickBot="1" x14ac:dyDescent="0.35">
      <c r="A143" s="257"/>
      <c r="B143" s="228"/>
      <c r="C143" s="282"/>
      <c r="D143" s="231"/>
      <c r="E143" s="73">
        <v>0.48399999999999999</v>
      </c>
      <c r="F143" s="234"/>
      <c r="G143" s="234"/>
      <c r="H143" s="288"/>
      <c r="J143" s="294"/>
      <c r="K143" s="282"/>
      <c r="L143" s="282"/>
      <c r="M143" s="282"/>
      <c r="N143" s="279"/>
      <c r="O143" s="279"/>
    </row>
    <row r="144" spans="1:15" x14ac:dyDescent="0.3">
      <c r="A144" s="256">
        <v>39.299999999999997</v>
      </c>
      <c r="B144" s="226" t="s">
        <v>273</v>
      </c>
      <c r="C144" s="280" t="s">
        <v>79</v>
      </c>
      <c r="D144" s="229">
        <v>150</v>
      </c>
      <c r="E144" s="74">
        <v>0.52900000000000003</v>
      </c>
      <c r="F144" s="232">
        <f t="shared" ref="F144" si="55">AVERAGE(E144:E146)</f>
        <v>0.52599999999999991</v>
      </c>
      <c r="G144" s="232">
        <f t="shared" ref="G144" si="56">STDEV(E144:E146)</f>
        <v>2.6457513110645929E-3</v>
      </c>
      <c r="H144" s="286">
        <f t="shared" si="32"/>
        <v>0.50299454582977066</v>
      </c>
    </row>
    <row r="145" spans="1:18" x14ac:dyDescent="0.3">
      <c r="A145" s="256"/>
      <c r="B145" s="227"/>
      <c r="C145" s="281"/>
      <c r="D145" s="230"/>
      <c r="E145" s="74">
        <v>0.52400000000000002</v>
      </c>
      <c r="F145" s="233"/>
      <c r="G145" s="233"/>
      <c r="H145" s="287"/>
    </row>
    <row r="146" spans="1:18" ht="15" thickBot="1" x14ac:dyDescent="0.35">
      <c r="A146" s="256"/>
      <c r="B146" s="228"/>
      <c r="C146" s="281"/>
      <c r="D146" s="231"/>
      <c r="E146" s="73">
        <v>0.52500000000000002</v>
      </c>
      <c r="F146" s="234"/>
      <c r="G146" s="234"/>
      <c r="H146" s="288"/>
    </row>
    <row r="147" spans="1:18" x14ac:dyDescent="0.3">
      <c r="A147" s="256"/>
      <c r="B147" s="226" t="s">
        <v>274</v>
      </c>
      <c r="C147" s="281"/>
      <c r="D147" s="229">
        <v>150</v>
      </c>
      <c r="E147" s="74">
        <v>0.53700000000000003</v>
      </c>
      <c r="F147" s="232">
        <f t="shared" ref="F147" si="57">AVERAGE(E147:E149)</f>
        <v>0.53800000000000003</v>
      </c>
      <c r="G147" s="232">
        <f t="shared" ref="G147" si="58">STDEV(E147:E149)</f>
        <v>5.5677643628300267E-3</v>
      </c>
      <c r="H147" s="286">
        <f t="shared" si="32"/>
        <v>1.0349004391877372</v>
      </c>
      <c r="J147" s="292" t="s">
        <v>273</v>
      </c>
      <c r="K147" s="280">
        <v>6</v>
      </c>
      <c r="L147" s="280">
        <v>2</v>
      </c>
      <c r="M147" s="280">
        <f>D144/1000</f>
        <v>0.15</v>
      </c>
      <c r="N147" s="277">
        <f>SUM(K147:M149)</f>
        <v>8.15</v>
      </c>
      <c r="O147" s="277">
        <v>9</v>
      </c>
    </row>
    <row r="148" spans="1:18" x14ac:dyDescent="0.3">
      <c r="A148" s="256"/>
      <c r="B148" s="227"/>
      <c r="C148" s="281"/>
      <c r="D148" s="230"/>
      <c r="E148" s="74">
        <v>0.53300000000000003</v>
      </c>
      <c r="F148" s="233"/>
      <c r="G148" s="233"/>
      <c r="H148" s="287"/>
      <c r="J148" s="293"/>
      <c r="K148" s="281"/>
      <c r="L148" s="281"/>
      <c r="M148" s="281"/>
      <c r="N148" s="278"/>
      <c r="O148" s="278"/>
    </row>
    <row r="149" spans="1:18" ht="15" thickBot="1" x14ac:dyDescent="0.35">
      <c r="A149" s="257"/>
      <c r="B149" s="228"/>
      <c r="C149" s="282"/>
      <c r="D149" s="231"/>
      <c r="E149" s="73">
        <v>0.54400000000000004</v>
      </c>
      <c r="F149" s="234"/>
      <c r="G149" s="234"/>
      <c r="H149" s="288"/>
      <c r="J149" s="294"/>
      <c r="K149" s="282"/>
      <c r="L149" s="282"/>
      <c r="M149" s="282"/>
      <c r="N149" s="279"/>
      <c r="O149" s="279"/>
    </row>
    <row r="151" spans="1:18" ht="15" thickBot="1" x14ac:dyDescent="0.35"/>
    <row r="152" spans="1:18" ht="15" thickBot="1" x14ac:dyDescent="0.35">
      <c r="A152" s="81" t="s">
        <v>201</v>
      </c>
      <c r="Q152" s="166" t="s">
        <v>283</v>
      </c>
      <c r="R152" s="166" t="s">
        <v>284</v>
      </c>
    </row>
    <row r="153" spans="1:18" ht="15" thickBot="1" x14ac:dyDescent="0.35">
      <c r="Q153" s="53" t="s">
        <v>157</v>
      </c>
      <c r="R153" s="53" t="s">
        <v>158</v>
      </c>
    </row>
    <row r="154" spans="1:18" ht="15" thickBot="1" x14ac:dyDescent="0.35">
      <c r="P154" s="118" t="s">
        <v>188</v>
      </c>
      <c r="Q154" s="289">
        <f>Q91</f>
        <v>787.45141117193452</v>
      </c>
      <c r="R154" s="291"/>
    </row>
    <row r="155" spans="1:18" ht="15" thickBot="1" x14ac:dyDescent="0.35">
      <c r="L155" s="10"/>
      <c r="P155" s="86" t="s">
        <v>187</v>
      </c>
      <c r="Q155" s="77">
        <v>730</v>
      </c>
      <c r="R155" s="4">
        <v>740</v>
      </c>
    </row>
    <row r="156" spans="1:18" ht="15" thickBot="1" x14ac:dyDescent="0.35">
      <c r="P156" s="86" t="s">
        <v>186</v>
      </c>
      <c r="Q156" s="165">
        <v>45.1</v>
      </c>
      <c r="R156" s="77">
        <v>45.2</v>
      </c>
    </row>
    <row r="157" spans="1:18" ht="15" thickBot="1" x14ac:dyDescent="0.35">
      <c r="P157" s="86" t="s">
        <v>264</v>
      </c>
      <c r="Q157" s="90">
        <f>($Q$154-(Q155+Q156))/(Q155+Q156)*100</f>
        <v>1.5935248576873309</v>
      </c>
      <c r="R157" s="90">
        <f>($Q$154-(R155+R156))/(R155+R156)*100</f>
        <v>0.28673091848375931</v>
      </c>
    </row>
  </sheetData>
  <mergeCells count="370">
    <mergeCell ref="Q154:R154"/>
    <mergeCell ref="D105:D107"/>
    <mergeCell ref="F105:F107"/>
    <mergeCell ref="G105:G107"/>
    <mergeCell ref="H105:H107"/>
    <mergeCell ref="D111:D113"/>
    <mergeCell ref="F111:F113"/>
    <mergeCell ref="G111:G113"/>
    <mergeCell ref="H111:H113"/>
    <mergeCell ref="J141:J143"/>
    <mergeCell ref="K141:K143"/>
    <mergeCell ref="L141:L143"/>
    <mergeCell ref="M141:M143"/>
    <mergeCell ref="N141:N143"/>
    <mergeCell ref="O141:O143"/>
    <mergeCell ref="J147:J149"/>
    <mergeCell ref="K147:K149"/>
    <mergeCell ref="L147:L149"/>
    <mergeCell ref="M147:M149"/>
    <mergeCell ref="N147:N149"/>
    <mergeCell ref="O147:O149"/>
    <mergeCell ref="J129:J131"/>
    <mergeCell ref="K129:K131"/>
    <mergeCell ref="L129:L131"/>
    <mergeCell ref="A144:A149"/>
    <mergeCell ref="B144:B146"/>
    <mergeCell ref="C144:C149"/>
    <mergeCell ref="D144:D146"/>
    <mergeCell ref="F144:F146"/>
    <mergeCell ref="G144:G146"/>
    <mergeCell ref="H144:H146"/>
    <mergeCell ref="B147:B149"/>
    <mergeCell ref="D147:D149"/>
    <mergeCell ref="F147:F149"/>
    <mergeCell ref="G147:G149"/>
    <mergeCell ref="H147:H149"/>
    <mergeCell ref="A138:A143"/>
    <mergeCell ref="B138:B140"/>
    <mergeCell ref="C138:C143"/>
    <mergeCell ref="D138:D140"/>
    <mergeCell ref="F138:F140"/>
    <mergeCell ref="G138:G140"/>
    <mergeCell ref="H138:H140"/>
    <mergeCell ref="B141:B143"/>
    <mergeCell ref="D141:D143"/>
    <mergeCell ref="F141:F143"/>
    <mergeCell ref="G141:G143"/>
    <mergeCell ref="H141:H143"/>
    <mergeCell ref="M129:M131"/>
    <mergeCell ref="N129:N131"/>
    <mergeCell ref="O129:O131"/>
    <mergeCell ref="A132:A137"/>
    <mergeCell ref="B132:B134"/>
    <mergeCell ref="C132:C137"/>
    <mergeCell ref="D132:D134"/>
    <mergeCell ref="F132:F134"/>
    <mergeCell ref="G132:G134"/>
    <mergeCell ref="H132:H134"/>
    <mergeCell ref="B135:B137"/>
    <mergeCell ref="D135:D137"/>
    <mergeCell ref="F135:F137"/>
    <mergeCell ref="G135:G137"/>
    <mergeCell ref="H135:H137"/>
    <mergeCell ref="J135:J137"/>
    <mergeCell ref="K135:K137"/>
    <mergeCell ref="L135:L137"/>
    <mergeCell ref="M135:M137"/>
    <mergeCell ref="N135:N137"/>
    <mergeCell ref="O135:O137"/>
    <mergeCell ref="A126:A131"/>
    <mergeCell ref="B126:B128"/>
    <mergeCell ref="C126:C131"/>
    <mergeCell ref="D126:D128"/>
    <mergeCell ref="F126:F128"/>
    <mergeCell ref="G126:G128"/>
    <mergeCell ref="H126:H128"/>
    <mergeCell ref="B129:B131"/>
    <mergeCell ref="D129:D131"/>
    <mergeCell ref="F129:F131"/>
    <mergeCell ref="G129:G131"/>
    <mergeCell ref="H129:H131"/>
    <mergeCell ref="J117:J119"/>
    <mergeCell ref="K117:K119"/>
    <mergeCell ref="L117:L119"/>
    <mergeCell ref="M117:M119"/>
    <mergeCell ref="N117:N119"/>
    <mergeCell ref="O117:O119"/>
    <mergeCell ref="A120:A125"/>
    <mergeCell ref="B120:B122"/>
    <mergeCell ref="C120:C125"/>
    <mergeCell ref="D120:D122"/>
    <mergeCell ref="F120:F122"/>
    <mergeCell ref="G120:G122"/>
    <mergeCell ref="H120:H122"/>
    <mergeCell ref="B123:B125"/>
    <mergeCell ref="D123:D125"/>
    <mergeCell ref="F123:F125"/>
    <mergeCell ref="G123:G125"/>
    <mergeCell ref="H123:H125"/>
    <mergeCell ref="J123:J125"/>
    <mergeCell ref="K123:K125"/>
    <mergeCell ref="L123:L125"/>
    <mergeCell ref="M123:M125"/>
    <mergeCell ref="N123:N125"/>
    <mergeCell ref="O123:O125"/>
    <mergeCell ref="A114:A119"/>
    <mergeCell ref="B114:B116"/>
    <mergeCell ref="C114:C119"/>
    <mergeCell ref="D114:D116"/>
    <mergeCell ref="F114:F116"/>
    <mergeCell ref="G114:G116"/>
    <mergeCell ref="H114:H116"/>
    <mergeCell ref="B117:B119"/>
    <mergeCell ref="D117:D119"/>
    <mergeCell ref="F117:F119"/>
    <mergeCell ref="G117:G119"/>
    <mergeCell ref="H117:H119"/>
    <mergeCell ref="J105:J107"/>
    <mergeCell ref="K105:K107"/>
    <mergeCell ref="L105:L107"/>
    <mergeCell ref="M105:M107"/>
    <mergeCell ref="N105:N107"/>
    <mergeCell ref="O105:O107"/>
    <mergeCell ref="A108:A113"/>
    <mergeCell ref="B108:B110"/>
    <mergeCell ref="C108:C113"/>
    <mergeCell ref="B111:B113"/>
    <mergeCell ref="D108:D110"/>
    <mergeCell ref="F108:F110"/>
    <mergeCell ref="G108:G110"/>
    <mergeCell ref="H108:H110"/>
    <mergeCell ref="J111:J113"/>
    <mergeCell ref="K111:K113"/>
    <mergeCell ref="L111:L113"/>
    <mergeCell ref="M111:M113"/>
    <mergeCell ref="N111:N113"/>
    <mergeCell ref="O111:O113"/>
    <mergeCell ref="A102:A107"/>
    <mergeCell ref="B102:B104"/>
    <mergeCell ref="C102:C107"/>
    <mergeCell ref="B105:B107"/>
    <mergeCell ref="D102:D104"/>
    <mergeCell ref="F102:F104"/>
    <mergeCell ref="G102:G104"/>
    <mergeCell ref="H102:H104"/>
    <mergeCell ref="K65:K67"/>
    <mergeCell ref="L65:L67"/>
    <mergeCell ref="H50:H52"/>
    <mergeCell ref="H53:H55"/>
    <mergeCell ref="Q91:T91"/>
    <mergeCell ref="H83:H85"/>
    <mergeCell ref="H86:H88"/>
    <mergeCell ref="H89:H91"/>
    <mergeCell ref="H92:H94"/>
    <mergeCell ref="N65:N67"/>
    <mergeCell ref="J74:J76"/>
    <mergeCell ref="K74:K76"/>
    <mergeCell ref="L74:L76"/>
    <mergeCell ref="M74:M76"/>
    <mergeCell ref="N74:N76"/>
    <mergeCell ref="J65:J67"/>
    <mergeCell ref="H95:H97"/>
    <mergeCell ref="H56:H58"/>
    <mergeCell ref="H59:H61"/>
    <mergeCell ref="H62:H64"/>
    <mergeCell ref="H65:H67"/>
    <mergeCell ref="H68:H70"/>
    <mergeCell ref="H71:H73"/>
    <mergeCell ref="H74:H76"/>
    <mergeCell ref="H77:H79"/>
    <mergeCell ref="H80:H8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G83:G85"/>
    <mergeCell ref="G86:G88"/>
    <mergeCell ref="G89:G91"/>
    <mergeCell ref="G92:G94"/>
    <mergeCell ref="G95:G97"/>
    <mergeCell ref="G56:G58"/>
    <mergeCell ref="G59:G61"/>
    <mergeCell ref="G62:G64"/>
    <mergeCell ref="G65:G67"/>
    <mergeCell ref="G68:G70"/>
    <mergeCell ref="G71:G73"/>
    <mergeCell ref="G74:G76"/>
    <mergeCell ref="G77:G79"/>
    <mergeCell ref="G80:G82"/>
    <mergeCell ref="F80:F82"/>
    <mergeCell ref="F83:F85"/>
    <mergeCell ref="F86:F88"/>
    <mergeCell ref="F89:F91"/>
    <mergeCell ref="F92:F94"/>
    <mergeCell ref="F95:F97"/>
    <mergeCell ref="G2:G4"/>
    <mergeCell ref="G5:G7"/>
    <mergeCell ref="G8:G10"/>
    <mergeCell ref="G11:G13"/>
    <mergeCell ref="G14:G16"/>
    <mergeCell ref="G17:G19"/>
    <mergeCell ref="G20:G22"/>
    <mergeCell ref="G23:G25"/>
    <mergeCell ref="G26:G28"/>
    <mergeCell ref="G29:G31"/>
    <mergeCell ref="G32:G34"/>
    <mergeCell ref="G35:G37"/>
    <mergeCell ref="G38:G40"/>
    <mergeCell ref="G41:G43"/>
    <mergeCell ref="G44:G46"/>
    <mergeCell ref="G47:G49"/>
    <mergeCell ref="G50:G52"/>
    <mergeCell ref="G53:G55"/>
    <mergeCell ref="F53:F55"/>
    <mergeCell ref="F56:F58"/>
    <mergeCell ref="F59:F61"/>
    <mergeCell ref="F62:F64"/>
    <mergeCell ref="F65:F67"/>
    <mergeCell ref="F68:F70"/>
    <mergeCell ref="F71:F73"/>
    <mergeCell ref="F74:F76"/>
    <mergeCell ref="F77:F79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A62:A73"/>
    <mergeCell ref="C62:C73"/>
    <mergeCell ref="A74:A85"/>
    <mergeCell ref="C74:C85"/>
    <mergeCell ref="B83:B85"/>
    <mergeCell ref="A86:A97"/>
    <mergeCell ref="B86:B88"/>
    <mergeCell ref="C86:C97"/>
    <mergeCell ref="D86:D88"/>
    <mergeCell ref="B89:B91"/>
    <mergeCell ref="D89:D91"/>
    <mergeCell ref="B92:B94"/>
    <mergeCell ref="D92:D94"/>
    <mergeCell ref="B95:B97"/>
    <mergeCell ref="D95:D97"/>
    <mergeCell ref="B74:B76"/>
    <mergeCell ref="B77:B79"/>
    <mergeCell ref="B80:B82"/>
    <mergeCell ref="D77:D79"/>
    <mergeCell ref="B71:B73"/>
    <mergeCell ref="D62:D64"/>
    <mergeCell ref="D65:D67"/>
    <mergeCell ref="D68:D70"/>
    <mergeCell ref="D71:D73"/>
    <mergeCell ref="A38:A49"/>
    <mergeCell ref="C38:C49"/>
    <mergeCell ref="D38:D40"/>
    <mergeCell ref="D41:D43"/>
    <mergeCell ref="D44:D46"/>
    <mergeCell ref="D47:D49"/>
    <mergeCell ref="A26:A37"/>
    <mergeCell ref="A50:A61"/>
    <mergeCell ref="C50:C61"/>
    <mergeCell ref="C26:C37"/>
    <mergeCell ref="D50:D52"/>
    <mergeCell ref="B32:B34"/>
    <mergeCell ref="B35:B37"/>
    <mergeCell ref="D32:D34"/>
    <mergeCell ref="D35:D37"/>
    <mergeCell ref="D53:D55"/>
    <mergeCell ref="D29:D31"/>
    <mergeCell ref="B44:B46"/>
    <mergeCell ref="B47:B49"/>
    <mergeCell ref="B50:B52"/>
    <mergeCell ref="B53:B55"/>
    <mergeCell ref="D56:D58"/>
    <mergeCell ref="D59:D61"/>
    <mergeCell ref="B26:B28"/>
    <mergeCell ref="N38:N40"/>
    <mergeCell ref="J47:J49"/>
    <mergeCell ref="K47:K49"/>
    <mergeCell ref="L47:L49"/>
    <mergeCell ref="M47:M49"/>
    <mergeCell ref="N47:N49"/>
    <mergeCell ref="J56:J58"/>
    <mergeCell ref="K56:K58"/>
    <mergeCell ref="L56:L58"/>
    <mergeCell ref="M56:M58"/>
    <mergeCell ref="N56:N58"/>
    <mergeCell ref="J38:J40"/>
    <mergeCell ref="K38:K40"/>
    <mergeCell ref="L38:L40"/>
    <mergeCell ref="B20:B22"/>
    <mergeCell ref="B23:B25"/>
    <mergeCell ref="D20:D22"/>
    <mergeCell ref="D23:D25"/>
    <mergeCell ref="B14:B16"/>
    <mergeCell ref="B17:B19"/>
    <mergeCell ref="C2:C13"/>
    <mergeCell ref="C14:C25"/>
    <mergeCell ref="L2:L4"/>
    <mergeCell ref="F2:F4"/>
    <mergeCell ref="F5:F7"/>
    <mergeCell ref="F8:F10"/>
    <mergeCell ref="F11:F13"/>
    <mergeCell ref="F14:F16"/>
    <mergeCell ref="F17:F19"/>
    <mergeCell ref="F20:F22"/>
    <mergeCell ref="F23:F25"/>
    <mergeCell ref="H2:H4"/>
    <mergeCell ref="H5:H7"/>
    <mergeCell ref="H8:H10"/>
    <mergeCell ref="H11:H13"/>
    <mergeCell ref="H14:H16"/>
    <mergeCell ref="H17:H19"/>
    <mergeCell ref="H20:H22"/>
    <mergeCell ref="B29:B31"/>
    <mergeCell ref="A2:A13"/>
    <mergeCell ref="A14:A25"/>
    <mergeCell ref="M38:M40"/>
    <mergeCell ref="M65:M67"/>
    <mergeCell ref="D83:D85"/>
    <mergeCell ref="B56:B58"/>
    <mergeCell ref="B59:B61"/>
    <mergeCell ref="B62:B64"/>
    <mergeCell ref="B65:B67"/>
    <mergeCell ref="B68:B70"/>
    <mergeCell ref="B38:B40"/>
    <mergeCell ref="B41:B43"/>
    <mergeCell ref="D17:D19"/>
    <mergeCell ref="D26:D28"/>
    <mergeCell ref="B2:B4"/>
    <mergeCell ref="B5:B7"/>
    <mergeCell ref="D2:D4"/>
    <mergeCell ref="D5:D7"/>
    <mergeCell ref="D14:D16"/>
    <mergeCell ref="B8:B10"/>
    <mergeCell ref="B11:B13"/>
    <mergeCell ref="D8:D10"/>
    <mergeCell ref="D11:D13"/>
    <mergeCell ref="O2:O4"/>
    <mergeCell ref="O14:O16"/>
    <mergeCell ref="O26:O28"/>
    <mergeCell ref="O38:O40"/>
    <mergeCell ref="O47:O49"/>
    <mergeCell ref="O56:O58"/>
    <mergeCell ref="O65:O67"/>
    <mergeCell ref="O74:O76"/>
    <mergeCell ref="D80:D82"/>
    <mergeCell ref="D74:D76"/>
    <mergeCell ref="M2:M4"/>
    <mergeCell ref="N2:N4"/>
    <mergeCell ref="J14:J16"/>
    <mergeCell ref="K14:K16"/>
    <mergeCell ref="L14:L16"/>
    <mergeCell ref="M14:M16"/>
    <mergeCell ref="N14:N16"/>
    <mergeCell ref="J26:J28"/>
    <mergeCell ref="K26:K28"/>
    <mergeCell ref="L26:L28"/>
    <mergeCell ref="M26:M28"/>
    <mergeCell ref="N26:N28"/>
    <mergeCell ref="J2:J4"/>
    <mergeCell ref="K2:K4"/>
  </mergeCells>
  <pageMargins left="0.7" right="0.7" top="0.75" bottom="0.75" header="0.3" footer="0.3"/>
  <pageSetup paperSize="9" orientation="portrait" r:id="rId1"/>
  <ignoredErrors>
    <ignoredError sqref="F2:F10 G2:G10 F12:F43 G12:G43 F45:F64 G45:G64 F66:F73 G66:G73 F75:F88 G75:G88 F90:F97 G90:G97 F102:F129 G102:G129 F130:F149 G130:G149" formulaRange="1"/>
    <ignoredError sqref="F11:G11 F44:G44 F65:G65 F74:G74 F89:G89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678A-1AE1-4BFD-903F-86D43BCEE551}">
  <dimension ref="A1:AA43"/>
  <sheetViews>
    <sheetView zoomScale="50" zoomScaleNormal="50" workbookViewId="0">
      <selection activeCell="G43" sqref="G43"/>
    </sheetView>
  </sheetViews>
  <sheetFormatPr baseColWidth="10" defaultColWidth="8.77734375" defaultRowHeight="14.4" x14ac:dyDescent="0.3"/>
  <cols>
    <col min="2" max="2" width="17.77734375" bestFit="1" customWidth="1"/>
    <col min="3" max="3" width="13.77734375" bestFit="1" customWidth="1"/>
    <col min="4" max="4" width="16" customWidth="1"/>
    <col min="5" max="5" width="15.5546875" bestFit="1" customWidth="1"/>
    <col min="6" max="6" width="19.21875" customWidth="1"/>
    <col min="7" max="7" width="15" bestFit="1" customWidth="1"/>
    <col min="8" max="8" width="16.21875" bestFit="1" customWidth="1"/>
    <col min="9" max="9" width="12.77734375" bestFit="1" customWidth="1"/>
    <col min="10" max="10" width="19" customWidth="1"/>
    <col min="11" max="11" width="17.21875" customWidth="1"/>
    <col min="12" max="12" width="19.44140625" bestFit="1" customWidth="1"/>
    <col min="13" max="13" width="18.21875" customWidth="1"/>
    <col min="14" max="14" width="13.5546875" customWidth="1"/>
    <col min="23" max="23" width="14.5546875" bestFit="1" customWidth="1"/>
    <col min="26" max="26" width="10.77734375" bestFit="1" customWidth="1"/>
  </cols>
  <sheetData>
    <row r="1" spans="1:27" ht="15" thickBot="1" x14ac:dyDescent="0.35"/>
    <row r="2" spans="1:27" ht="15" thickBot="1" x14ac:dyDescent="0.35">
      <c r="B2" s="295" t="s">
        <v>155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7"/>
      <c r="Z2" s="119" t="s">
        <v>191</v>
      </c>
    </row>
    <row r="3" spans="1:27" ht="15" thickBot="1" x14ac:dyDescent="0.35">
      <c r="A3" s="1" t="s">
        <v>1</v>
      </c>
      <c r="B3" s="100" t="s">
        <v>92</v>
      </c>
      <c r="C3" s="100" t="s">
        <v>22</v>
      </c>
      <c r="D3" s="100" t="s">
        <v>175</v>
      </c>
      <c r="E3" s="100" t="s">
        <v>178</v>
      </c>
      <c r="F3" s="100" t="s">
        <v>176</v>
      </c>
      <c r="G3" s="100" t="s">
        <v>211</v>
      </c>
      <c r="H3" s="100" t="s">
        <v>165</v>
      </c>
      <c r="I3" s="100" t="s">
        <v>166</v>
      </c>
      <c r="J3" s="1" t="s">
        <v>204</v>
      </c>
      <c r="K3" s="1" t="s">
        <v>205</v>
      </c>
      <c r="L3" s="1" t="s">
        <v>206</v>
      </c>
      <c r="M3" s="1" t="s">
        <v>207</v>
      </c>
      <c r="N3" s="1" t="s">
        <v>208</v>
      </c>
      <c r="O3" s="101" t="s">
        <v>171</v>
      </c>
      <c r="S3" s="53" t="s">
        <v>1</v>
      </c>
      <c r="T3" s="53" t="s">
        <v>161</v>
      </c>
      <c r="U3" s="53" t="s">
        <v>162</v>
      </c>
      <c r="V3" s="53" t="s">
        <v>163</v>
      </c>
      <c r="W3" s="53" t="s">
        <v>19</v>
      </c>
      <c r="X3" s="53" t="s">
        <v>181</v>
      </c>
      <c r="Z3" s="86" t="s">
        <v>185</v>
      </c>
      <c r="AA3" s="114">
        <f>'Raw DCW'!AL36</f>
        <v>0.35455798691578466</v>
      </c>
    </row>
    <row r="4" spans="1:27" ht="15" thickBot="1" x14ac:dyDescent="0.35">
      <c r="A4" s="5" t="s">
        <v>71</v>
      </c>
      <c r="B4" s="84">
        <v>0</v>
      </c>
      <c r="C4" s="50">
        <f>'Process calc'!I2</f>
        <v>540</v>
      </c>
      <c r="D4" s="50">
        <f>IR_3HP!P7</f>
        <v>2.095463707582653</v>
      </c>
      <c r="E4" s="50">
        <f>IR_3HP!O7</f>
        <v>0.63780454051671986</v>
      </c>
      <c r="F4" s="169">
        <f>AVERAGE('Raw DCW'!G2:G4)</f>
        <v>22.61666666666666</v>
      </c>
      <c r="G4" s="130">
        <f>STDEV('Raw DCW'!G2:G4)</f>
        <v>0.25166114784235816</v>
      </c>
      <c r="H4" s="99">
        <f t="shared" ref="H4:H11" si="0">(C4/1000)*F4</f>
        <v>12.212999999999997</v>
      </c>
      <c r="I4" s="50">
        <f t="shared" ref="I4:I11" si="1">(C4/1000)*D4</f>
        <v>1.1315504020946328</v>
      </c>
      <c r="J4" s="232">
        <f>SLOPE(H4:H11,M32:M39)</f>
        <v>0.26256653983580241</v>
      </c>
      <c r="K4" s="232">
        <f>SLOPE(I4:I11,M32:M39)</f>
        <v>0.14762073600703318</v>
      </c>
      <c r="L4" s="232">
        <f>K4*(32.04/90.08)*3</f>
        <v>0.15751892922952962</v>
      </c>
      <c r="M4" s="232">
        <f>SLOPE(I4:I11,H4:H11)</f>
        <v>0.56013112223920436</v>
      </c>
      <c r="N4" s="4">
        <f t="shared" ref="N4:N11" si="2">LN((F4*C4)/($F$4*$C$4))</f>
        <v>0</v>
      </c>
      <c r="O4" s="232">
        <f>SLOPE(N4:N11,B4:B11)</f>
        <v>2.8839501789469649E-2</v>
      </c>
      <c r="S4" s="5" t="s">
        <v>71</v>
      </c>
      <c r="T4" s="107">
        <f>'Raw DO600'!E2</f>
        <v>0.60699999999999998</v>
      </c>
      <c r="U4" s="106">
        <f>'Raw DO600'!E3</f>
        <v>0.55000000000000004</v>
      </c>
      <c r="V4" s="106">
        <f>'Raw DO600'!E4</f>
        <v>0.54500000000000004</v>
      </c>
      <c r="W4" s="106">
        <f>AVERAGE(U4:V4)</f>
        <v>0.5475000000000001</v>
      </c>
      <c r="X4" s="106">
        <f>STDEV(U4:V4)</f>
        <v>3.5355339059327407E-3</v>
      </c>
      <c r="Z4" s="86" t="s">
        <v>181</v>
      </c>
      <c r="AA4" s="114">
        <f>'Raw DCW'!AM36</f>
        <v>5.3150152084505443E-3</v>
      </c>
    </row>
    <row r="5" spans="1:27" x14ac:dyDescent="0.3">
      <c r="A5" s="5" t="s">
        <v>3</v>
      </c>
      <c r="B5" s="84">
        <v>5.3</v>
      </c>
      <c r="C5" s="50">
        <f>'Process calc'!I67</f>
        <v>558.84232992682405</v>
      </c>
      <c r="D5" s="50">
        <f>IR_3HP!E11</f>
        <v>4.3234597648622826</v>
      </c>
      <c r="E5" s="50">
        <v>0</v>
      </c>
      <c r="F5" s="173">
        <f t="shared" ref="F5:F10" si="3">$AA$3*W5*200</f>
        <v>26.142742235257188</v>
      </c>
      <c r="G5" s="106">
        <f>F5*SQRT(($AA$4/$AA$3)^2+(X5/W5)^2)</f>
        <v>0.48550197419190805</v>
      </c>
      <c r="H5" s="50">
        <f t="shared" si="0"/>
        <v>14.609670981427515</v>
      </c>
      <c r="I5" s="50">
        <f t="shared" si="1"/>
        <v>2.4161323283405167</v>
      </c>
      <c r="J5" s="233"/>
      <c r="K5" s="233"/>
      <c r="L5" s="233"/>
      <c r="M5" s="233"/>
      <c r="N5" s="6">
        <f t="shared" si="2"/>
        <v>0.17918274722613434</v>
      </c>
      <c r="O5" s="233"/>
      <c r="S5" s="5" t="s">
        <v>3</v>
      </c>
      <c r="T5" s="106">
        <f>'Raw DO600'!E14</f>
        <v>0.36499999999999999</v>
      </c>
      <c r="U5" s="106">
        <f>'Raw DO600'!E15</f>
        <v>0.36799999999999999</v>
      </c>
      <c r="V5" s="106">
        <f>'Raw DO600'!E16</f>
        <v>0.373</v>
      </c>
      <c r="W5" s="106">
        <f>AVERAGE(T5:V5)</f>
        <v>0.36866666666666664</v>
      </c>
      <c r="X5" s="106">
        <f>STDEV(T5:V5)</f>
        <v>4.0414518843273836E-3</v>
      </c>
    </row>
    <row r="6" spans="1:27" x14ac:dyDescent="0.3">
      <c r="A6" s="5" t="s">
        <v>5</v>
      </c>
      <c r="B6" s="84">
        <v>10.8</v>
      </c>
      <c r="C6" s="50">
        <f>'Process calc'!I133</f>
        <v>581.97058232399388</v>
      </c>
      <c r="D6" s="50">
        <f>IR_3HP!E15</f>
        <v>7.1738814340908164</v>
      </c>
      <c r="E6" s="50">
        <v>0</v>
      </c>
      <c r="F6" s="173">
        <f t="shared" si="3"/>
        <v>26.828221009961041</v>
      </c>
      <c r="G6" s="106">
        <f>F6*SQRT(($AA$4/$AA$3)^2+(X6/W6)^2)</f>
        <v>0.51866558880074165</v>
      </c>
      <c r="H6" s="50">
        <f t="shared" si="0"/>
        <v>15.613235403883834</v>
      </c>
      <c r="I6" s="50">
        <f t="shared" si="1"/>
        <v>4.1749879557211207</v>
      </c>
      <c r="J6" s="233"/>
      <c r="K6" s="233"/>
      <c r="L6" s="233"/>
      <c r="M6" s="233"/>
      <c r="N6" s="6">
        <f t="shared" si="2"/>
        <v>0.24561801968479893</v>
      </c>
      <c r="O6" s="233"/>
      <c r="S6" s="5" t="s">
        <v>5</v>
      </c>
      <c r="T6" s="106">
        <f>'Raw DO600'!E26</f>
        <v>0.38100000000000001</v>
      </c>
      <c r="U6" s="106">
        <f>'Raw DO600'!E27</f>
        <v>0.38100000000000001</v>
      </c>
      <c r="V6" s="106">
        <f>'Raw DO600'!E28</f>
        <v>0.373</v>
      </c>
      <c r="W6" s="106">
        <f>AVERAGE(T6:V6)</f>
        <v>0.37833333333333335</v>
      </c>
      <c r="X6" s="106">
        <f t="shared" ref="X6:X9" si="4">STDEV(T6:V6)</f>
        <v>4.6188021535170107E-3</v>
      </c>
    </row>
    <row r="7" spans="1:27" x14ac:dyDescent="0.3">
      <c r="A7" s="5" t="s">
        <v>7</v>
      </c>
      <c r="B7" s="84">
        <v>16.3</v>
      </c>
      <c r="C7" s="50">
        <f>'Process calc'!I199</f>
        <v>609.24788404903586</v>
      </c>
      <c r="D7" s="50">
        <f>IR_3HP!E19</f>
        <v>9.8272817913672057</v>
      </c>
      <c r="E7" s="50">
        <v>0</v>
      </c>
      <c r="F7" s="173">
        <f t="shared" si="3"/>
        <v>32.359325605847275</v>
      </c>
      <c r="G7" s="106">
        <f t="shared" ref="G7:G10" si="5">F7*SQRT(($AA$4/$AA$3)^2+(X7/W7)^2)</f>
        <v>0.86305057051182399</v>
      </c>
      <c r="H7" s="50">
        <f t="shared" si="0"/>
        <v>19.714850654616239</v>
      </c>
      <c r="I7" s="50">
        <f t="shared" si="1"/>
        <v>5.987250637344089</v>
      </c>
      <c r="J7" s="233"/>
      <c r="K7" s="233"/>
      <c r="L7" s="233"/>
      <c r="M7" s="233"/>
      <c r="N7" s="6">
        <f t="shared" si="2"/>
        <v>0.47887123389593089</v>
      </c>
      <c r="O7" s="233"/>
      <c r="S7" s="5" t="s">
        <v>7</v>
      </c>
      <c r="T7" s="106">
        <f>'Raw DO600'!E38</f>
        <v>0.44700000000000001</v>
      </c>
      <c r="U7" s="106">
        <f>'Raw DO600'!E39</f>
        <v>0.46700000000000003</v>
      </c>
      <c r="V7" s="106">
        <f>'Raw DO600'!E40</f>
        <v>0.45500000000000002</v>
      </c>
      <c r="W7" s="106">
        <f>AVERAGE(T7:V7)</f>
        <v>0.45633333333333331</v>
      </c>
      <c r="X7" s="106">
        <f t="shared" si="4"/>
        <v>1.0066445913694341E-2</v>
      </c>
    </row>
    <row r="8" spans="1:27" x14ac:dyDescent="0.3">
      <c r="A8" s="5" t="s">
        <v>9</v>
      </c>
      <c r="B8" s="84">
        <v>21.8</v>
      </c>
      <c r="C8" s="50">
        <f>'Process calc'!I265</f>
        <v>641.41854600056502</v>
      </c>
      <c r="D8" s="50">
        <f>IR_3HP!E23</f>
        <v>12.480370570395914</v>
      </c>
      <c r="E8" s="50">
        <v>0</v>
      </c>
      <c r="F8" s="170">
        <f>AVERAGE('Raw DCW'!G14:G16)</f>
        <v>34.550000000000004</v>
      </c>
      <c r="G8" s="106">
        <f>STDEV('Raw DCW'!G14:G16)</f>
        <v>0.21794494717702945</v>
      </c>
      <c r="H8" s="50">
        <f t="shared" si="0"/>
        <v>22.161010764319524</v>
      </c>
      <c r="I8" s="50">
        <f t="shared" si="1"/>
        <v>8.0051411448115903</v>
      </c>
      <c r="J8" s="233"/>
      <c r="K8" s="233"/>
      <c r="L8" s="233"/>
      <c r="M8" s="233"/>
      <c r="N8" s="6">
        <f t="shared" si="2"/>
        <v>0.595833514758213</v>
      </c>
      <c r="O8" s="233"/>
      <c r="S8" s="5" t="s">
        <v>9</v>
      </c>
      <c r="T8" s="106">
        <f>'Raw DO600'!E50</f>
        <v>0.501</v>
      </c>
      <c r="U8" s="106">
        <f>'Raw DO600'!E51</f>
        <v>0.49399999999999999</v>
      </c>
      <c r="V8" s="106">
        <f>'Raw DO600'!E52</f>
        <v>0.498</v>
      </c>
      <c r="W8" s="106">
        <f>AVERAGE(T8:V8)</f>
        <v>0.49766666666666665</v>
      </c>
      <c r="X8" s="106">
        <f t="shared" si="4"/>
        <v>3.5118845842842493E-3</v>
      </c>
    </row>
    <row r="9" spans="1:27" x14ac:dyDescent="0.3">
      <c r="A9" s="5" t="s">
        <v>11</v>
      </c>
      <c r="B9" s="84">
        <v>27.3</v>
      </c>
      <c r="C9" s="50">
        <f>'Process calc'!I331</f>
        <v>679.36040333058884</v>
      </c>
      <c r="D9" s="50">
        <f>IR_3HP!E27</f>
        <v>14.873499231440325</v>
      </c>
      <c r="E9" s="50">
        <v>0</v>
      </c>
      <c r="F9" s="173">
        <f t="shared" si="3"/>
        <v>40.017778123228219</v>
      </c>
      <c r="G9" s="106">
        <f t="shared" si="5"/>
        <v>0.92157578327882628</v>
      </c>
      <c r="H9" s="50">
        <f t="shared" si="0"/>
        <v>27.186493886190338</v>
      </c>
      <c r="I9" s="50">
        <f t="shared" si="1"/>
        <v>10.104466436808503</v>
      </c>
      <c r="J9" s="233"/>
      <c r="K9" s="233"/>
      <c r="L9" s="233"/>
      <c r="M9" s="233"/>
      <c r="N9" s="6">
        <f t="shared" si="2"/>
        <v>0.80021934349024171</v>
      </c>
      <c r="O9" s="233"/>
      <c r="S9" s="5" t="s">
        <v>11</v>
      </c>
      <c r="T9" s="106">
        <f>'Raw DO600'!E62</f>
        <v>0.55300000000000005</v>
      </c>
      <c r="U9" s="106">
        <f>'Raw DO600'!E63</f>
        <v>0.56899999999999995</v>
      </c>
      <c r="V9" s="106">
        <f>'Raw DO600'!E64</f>
        <v>0.57099999999999995</v>
      </c>
      <c r="W9" s="106">
        <f>AVERAGE(T9:V9)</f>
        <v>0.56433333333333324</v>
      </c>
      <c r="X9" s="106">
        <f t="shared" si="4"/>
        <v>9.8657657246324394E-3</v>
      </c>
    </row>
    <row r="10" spans="1:27" x14ac:dyDescent="0.3">
      <c r="A10" s="5" t="s">
        <v>13</v>
      </c>
      <c r="B10" s="84">
        <v>33.299999999999997</v>
      </c>
      <c r="C10" s="50">
        <f>'Process calc'!I402</f>
        <v>727.80924115306891</v>
      </c>
      <c r="D10" s="50">
        <f>IR_3HP!E31</f>
        <v>17.263823688255577</v>
      </c>
      <c r="E10" s="50">
        <v>0</v>
      </c>
      <c r="F10" s="173">
        <f t="shared" si="3"/>
        <v>43.539720793258354</v>
      </c>
      <c r="G10" s="106">
        <f t="shared" si="5"/>
        <v>0.95853262129077321</v>
      </c>
      <c r="H10" s="50">
        <f t="shared" si="0"/>
        <v>31.688611150557858</v>
      </c>
      <c r="I10" s="50">
        <f t="shared" si="1"/>
        <v>12.564770417949667</v>
      </c>
      <c r="J10" s="233"/>
      <c r="K10" s="233"/>
      <c r="L10" s="233"/>
      <c r="M10" s="233"/>
      <c r="N10" s="6">
        <f t="shared" si="2"/>
        <v>0.95345638844297365</v>
      </c>
      <c r="O10" s="233"/>
      <c r="S10" s="5" t="s">
        <v>13</v>
      </c>
      <c r="T10" s="106">
        <f>'Raw DO600'!E74</f>
        <v>0.60699999999999998</v>
      </c>
      <c r="U10" s="106">
        <f>'Raw DO600'!E75</f>
        <v>0.621</v>
      </c>
      <c r="V10" s="107">
        <f>'Raw DO600'!E76</f>
        <v>0.56699999999999995</v>
      </c>
      <c r="W10" s="106">
        <f>AVERAGE(T10:U10)</f>
        <v>0.61399999999999999</v>
      </c>
      <c r="X10" s="106">
        <f>STDEV(T10:U10)</f>
        <v>9.8994949366116736E-3</v>
      </c>
    </row>
    <row r="11" spans="1:27" ht="15" thickBot="1" x14ac:dyDescent="0.35">
      <c r="A11" s="7" t="s">
        <v>15</v>
      </c>
      <c r="B11" s="85">
        <v>39.299999999999997</v>
      </c>
      <c r="C11" s="51">
        <f>'Process calc'!I475</f>
        <v>787.45141117193452</v>
      </c>
      <c r="D11" s="51">
        <f>IR_3HP!E35</f>
        <v>19.83361721573678</v>
      </c>
      <c r="E11" s="51">
        <v>0</v>
      </c>
      <c r="F11" s="171">
        <f>AVERAGE('Raw DCW'!G26:G28)</f>
        <v>47.966666666666676</v>
      </c>
      <c r="G11" s="108">
        <f>STDEV('Raw DCW'!G26:G28)</f>
        <v>1.0866615541801983</v>
      </c>
      <c r="H11" s="51">
        <f t="shared" si="0"/>
        <v>37.771419355880468</v>
      </c>
      <c r="I11" s="51">
        <f t="shared" si="1"/>
        <v>15.618009865175901</v>
      </c>
      <c r="J11" s="234"/>
      <c r="K11" s="234"/>
      <c r="L11" s="234"/>
      <c r="M11" s="234"/>
      <c r="N11" s="2">
        <f t="shared" si="2"/>
        <v>1.1290517567512524</v>
      </c>
      <c r="O11" s="234"/>
      <c r="S11" s="7" t="s">
        <v>15</v>
      </c>
      <c r="T11" s="108">
        <f>'Raw DO600'!E86</f>
        <v>0.63600000000000001</v>
      </c>
      <c r="U11" s="108">
        <f>'Raw DO600'!E87</f>
        <v>0.68799999999999994</v>
      </c>
      <c r="V11" s="108">
        <f>'Raw DO600'!E88</f>
        <v>0.67300000000000004</v>
      </c>
      <c r="W11" s="108">
        <f>AVERAGE(T11:V11)</f>
        <v>0.66566666666666663</v>
      </c>
      <c r="X11" s="108">
        <f>STDEV(T11:V11)</f>
        <v>2.6764404221527743E-2</v>
      </c>
    </row>
    <row r="13" spans="1:27" x14ac:dyDescent="0.3">
      <c r="B13" s="172"/>
      <c r="C13" t="s">
        <v>265</v>
      </c>
      <c r="E13" s="174"/>
      <c r="F13" t="s">
        <v>266</v>
      </c>
      <c r="S13" s="115" t="s">
        <v>174</v>
      </c>
    </row>
    <row r="15" spans="1:27" ht="15" thickBot="1" x14ac:dyDescent="0.35"/>
    <row r="16" spans="1:27" ht="15" thickBot="1" x14ac:dyDescent="0.35">
      <c r="A16" s="295" t="s">
        <v>156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7"/>
    </row>
    <row r="17" spans="1:24" ht="15" thickBot="1" x14ac:dyDescent="0.35">
      <c r="A17" s="1" t="s">
        <v>1</v>
      </c>
      <c r="B17" s="100" t="s">
        <v>92</v>
      </c>
      <c r="C17" s="100" t="s">
        <v>22</v>
      </c>
      <c r="D17" s="100" t="s">
        <v>175</v>
      </c>
      <c r="E17" s="100" t="s">
        <v>178</v>
      </c>
      <c r="F17" s="100" t="s">
        <v>176</v>
      </c>
      <c r="G17" s="100" t="s">
        <v>211</v>
      </c>
      <c r="H17" s="100" t="s">
        <v>165</v>
      </c>
      <c r="I17" s="100" t="s">
        <v>166</v>
      </c>
      <c r="J17" s="1" t="s">
        <v>204</v>
      </c>
      <c r="K17" s="1" t="s">
        <v>205</v>
      </c>
      <c r="L17" s="1" t="s">
        <v>206</v>
      </c>
      <c r="M17" s="1" t="s">
        <v>207</v>
      </c>
      <c r="N17" s="1" t="s">
        <v>208</v>
      </c>
      <c r="O17" s="101" t="s">
        <v>171</v>
      </c>
      <c r="S17" s="53" t="s">
        <v>1</v>
      </c>
      <c r="T17" s="53" t="s">
        <v>161</v>
      </c>
      <c r="U17" s="53" t="s">
        <v>162</v>
      </c>
      <c r="V17" s="53" t="s">
        <v>163</v>
      </c>
      <c r="W17" s="53" t="s">
        <v>19</v>
      </c>
      <c r="X17" s="53" t="s">
        <v>181</v>
      </c>
    </row>
    <row r="18" spans="1:24" x14ac:dyDescent="0.3">
      <c r="A18" s="50" t="s">
        <v>98</v>
      </c>
      <c r="B18" s="50">
        <v>0</v>
      </c>
      <c r="C18" s="50">
        <v>540</v>
      </c>
      <c r="D18" s="50">
        <f>IR_3HP!P8</f>
        <v>2.2748997360929284</v>
      </c>
      <c r="E18" s="50">
        <f>IR_3HP!O8</f>
        <v>0.57178299416339717</v>
      </c>
      <c r="F18" s="169">
        <f>AVERAGE('Raw DCW'!G5:G7)</f>
        <v>22.683333333333334</v>
      </c>
      <c r="G18" s="130">
        <f>STDEV('Raw DCW'!G5:G7)</f>
        <v>0.10408329997330641</v>
      </c>
      <c r="H18" s="50">
        <f>(C18/1000)*F18</f>
        <v>12.249000000000001</v>
      </c>
      <c r="I18" s="50">
        <v>1.2284458574901813</v>
      </c>
      <c r="J18" s="232">
        <f>SLOPE(H18:H25,M32:M39)</f>
        <v>0.27417877990588529</v>
      </c>
      <c r="K18" s="232">
        <f>SLOPE(I18:I25,M32:M39)</f>
        <v>0.15568486320020272</v>
      </c>
      <c r="L18" s="232">
        <f>K18*(32.04/90.08)*3</f>
        <v>0.1661237683259712</v>
      </c>
      <c r="M18" s="232">
        <f>SLOPE(I18:I25,H18:H25)</f>
        <v>0.56722066597974807</v>
      </c>
      <c r="N18" s="141">
        <f>LN((F18*C18)/($F$18*$C$18))</f>
        <v>0</v>
      </c>
      <c r="O18" s="232">
        <f>SLOPE(N18:N25,B18:B25)</f>
        <v>2.9507826690005425E-2</v>
      </c>
      <c r="S18" s="5" t="s">
        <v>98</v>
      </c>
      <c r="T18" s="106">
        <f>'Raw DO600'!E5</f>
        <v>0.58699999999999997</v>
      </c>
      <c r="U18" s="106">
        <f>'Raw DO600'!E6</f>
        <v>0.63700000000000001</v>
      </c>
      <c r="V18" s="106">
        <f>'Raw DO600'!E7</f>
        <v>0.6</v>
      </c>
      <c r="W18" s="106">
        <f>AVERAGE(T18:V18)</f>
        <v>0.60799999999999998</v>
      </c>
      <c r="X18" s="106">
        <f>STDEV(T18:V18)</f>
        <v>2.5942243542145717E-2</v>
      </c>
    </row>
    <row r="19" spans="1:24" x14ac:dyDescent="0.3">
      <c r="A19" s="50" t="s">
        <v>104</v>
      </c>
      <c r="B19" s="50">
        <v>5.3</v>
      </c>
      <c r="C19" s="50">
        <v>558.84232992682405</v>
      </c>
      <c r="D19" s="50">
        <f>IR_3HP!E12</f>
        <v>4.2636367413069678</v>
      </c>
      <c r="E19" s="50">
        <v>0</v>
      </c>
      <c r="F19" s="173">
        <f>$AA$3*W19*200</f>
        <v>25.90637024398</v>
      </c>
      <c r="G19" s="106">
        <f>F19*SQRT(($AA$4/$AA$3)^2+(X19/W19)^2)</f>
        <v>0.93087742410489027</v>
      </c>
      <c r="H19" s="50">
        <f t="shared" ref="H19:H25" si="6">(C19/1000)*F19</f>
        <v>14.477576307092727</v>
      </c>
      <c r="I19" s="50">
        <v>2.3827006904735972</v>
      </c>
      <c r="J19" s="233"/>
      <c r="K19" s="233"/>
      <c r="L19" s="233"/>
      <c r="M19" s="233"/>
      <c r="N19" s="124">
        <f t="shared" ref="N19:N25" si="7">LN((F19*C19)/($F$18*$C$18))</f>
        <v>0.16715668983521789</v>
      </c>
      <c r="O19" s="233"/>
      <c r="S19" s="5" t="s">
        <v>104</v>
      </c>
      <c r="T19" s="106">
        <f>'Raw DO600'!E17</f>
        <v>0.36899999999999999</v>
      </c>
      <c r="U19" s="106">
        <f>'Raw DO600'!E18</f>
        <v>0.35199999999999998</v>
      </c>
      <c r="V19" s="106">
        <f>'Raw DO600'!E19</f>
        <v>0.375</v>
      </c>
      <c r="W19" s="106">
        <f t="shared" ref="W19:W22" si="8">AVERAGE(T19:V19)</f>
        <v>0.36533333333333334</v>
      </c>
      <c r="X19" s="106">
        <f t="shared" ref="X19:X22" si="9">STDEV(T19:V19)</f>
        <v>1.1930353445448865E-2</v>
      </c>
    </row>
    <row r="20" spans="1:24" x14ac:dyDescent="0.3">
      <c r="A20" s="50" t="s">
        <v>106</v>
      </c>
      <c r="B20" s="50">
        <v>10.8</v>
      </c>
      <c r="C20" s="50">
        <v>581.97058232399388</v>
      </c>
      <c r="D20" s="50">
        <f>IR_3HP!E16</f>
        <v>7.2863611815047165</v>
      </c>
      <c r="E20" s="50">
        <v>0</v>
      </c>
      <c r="F20" s="173">
        <f t="shared" ref="F20:F24" si="10">$AA$3*W20*200</f>
        <v>28.246452957624179</v>
      </c>
      <c r="G20" s="106">
        <f t="shared" ref="G20:G24" si="11">F20*SQRT(($AA$4/$AA$3)^2+(X20/W20)^2)</f>
        <v>0.67268512828892479</v>
      </c>
      <c r="H20" s="50">
        <f t="shared" si="6"/>
        <v>16.438604676335842</v>
      </c>
      <c r="I20" s="50">
        <v>4.2404478598232442</v>
      </c>
      <c r="J20" s="233"/>
      <c r="K20" s="233"/>
      <c r="L20" s="233"/>
      <c r="M20" s="233"/>
      <c r="N20" s="124">
        <f t="shared" si="7"/>
        <v>0.29418821131830958</v>
      </c>
      <c r="O20" s="233"/>
      <c r="S20" s="5" t="s">
        <v>106</v>
      </c>
      <c r="T20" s="106">
        <f>'Raw DO600'!E29</f>
        <v>0.39</v>
      </c>
      <c r="U20" s="106">
        <f>'Raw DO600'!E30</f>
        <v>0.40400000000000003</v>
      </c>
      <c r="V20" s="106">
        <f>'Raw DO600'!E31</f>
        <v>0.40100000000000002</v>
      </c>
      <c r="W20" s="106">
        <f t="shared" si="8"/>
        <v>0.39833333333333337</v>
      </c>
      <c r="X20" s="106">
        <f t="shared" si="9"/>
        <v>7.3711147958319999E-3</v>
      </c>
    </row>
    <row r="21" spans="1:24" x14ac:dyDescent="0.3">
      <c r="A21" s="50" t="s">
        <v>108</v>
      </c>
      <c r="B21" s="50">
        <v>16.3</v>
      </c>
      <c r="C21" s="50">
        <v>609.24788404903586</v>
      </c>
      <c r="D21" s="50">
        <f>IR_3HP!E20</f>
        <v>10.210938473682026</v>
      </c>
      <c r="E21" s="50">
        <v>0</v>
      </c>
      <c r="F21" s="173">
        <f t="shared" si="10"/>
        <v>32.855706787529385</v>
      </c>
      <c r="G21" s="106">
        <f t="shared" si="11"/>
        <v>0.80407284815773283</v>
      </c>
      <c r="H21" s="50">
        <f t="shared" si="6"/>
        <v>20.017269839237823</v>
      </c>
      <c r="I21" s="50">
        <v>6.2209926592456659</v>
      </c>
      <c r="J21" s="233"/>
      <c r="K21" s="233"/>
      <c r="L21" s="233"/>
      <c r="M21" s="233"/>
      <c r="N21" s="124">
        <f t="shared" si="7"/>
        <v>0.49115109191562251</v>
      </c>
      <c r="O21" s="233"/>
      <c r="S21" s="5" t="s">
        <v>108</v>
      </c>
      <c r="T21" s="106">
        <f>'Raw DO600'!E41</f>
        <v>0.45300000000000001</v>
      </c>
      <c r="U21" s="106">
        <f>'Raw DO600'!E42</f>
        <v>0.46800000000000003</v>
      </c>
      <c r="V21" s="106">
        <f>'Raw DO600'!E43</f>
        <v>0.46899999999999997</v>
      </c>
      <c r="W21" s="106">
        <f t="shared" si="8"/>
        <v>0.46333333333333337</v>
      </c>
      <c r="X21" s="106">
        <f t="shared" si="9"/>
        <v>8.9628864398324914E-3</v>
      </c>
    </row>
    <row r="22" spans="1:24" x14ac:dyDescent="0.3">
      <c r="A22" s="50" t="s">
        <v>100</v>
      </c>
      <c r="B22" s="50">
        <v>21.8</v>
      </c>
      <c r="C22" s="50">
        <v>641.41854600056502</v>
      </c>
      <c r="D22" s="50">
        <f>IR_3HP!E24</f>
        <v>12.858938141331896</v>
      </c>
      <c r="E22" s="50">
        <v>0</v>
      </c>
      <c r="F22" s="170">
        <f>AVERAGE('Raw DCW'!G17:G19)</f>
        <v>35.450000000000003</v>
      </c>
      <c r="G22" s="106">
        <f>STDEV('Raw DCW'!G17:G19)</f>
        <v>0.31224989991992602</v>
      </c>
      <c r="H22" s="50">
        <f t="shared" si="6"/>
        <v>22.73828745572003</v>
      </c>
      <c r="I22" s="50">
        <v>8.2479614057243129</v>
      </c>
      <c r="J22" s="233"/>
      <c r="K22" s="233"/>
      <c r="L22" s="233"/>
      <c r="M22" s="233"/>
      <c r="N22" s="124">
        <f t="shared" si="7"/>
        <v>0.61860587470607342</v>
      </c>
      <c r="O22" s="233"/>
      <c r="S22" s="5" t="s">
        <v>100</v>
      </c>
      <c r="T22" s="106">
        <f>'Raw DO600'!E53</f>
        <v>0.52800000000000002</v>
      </c>
      <c r="U22" s="106">
        <f>'Raw DO600'!E54</f>
        <v>0.53800000000000003</v>
      </c>
      <c r="V22" s="106">
        <f>'Raw DO600'!E55</f>
        <v>0.51</v>
      </c>
      <c r="W22" s="106">
        <f t="shared" si="8"/>
        <v>0.52533333333333332</v>
      </c>
      <c r="X22" s="106">
        <f t="shared" si="9"/>
        <v>1.4189197769195187E-2</v>
      </c>
    </row>
    <row r="23" spans="1:24" x14ac:dyDescent="0.3">
      <c r="A23" s="50" t="s">
        <v>110</v>
      </c>
      <c r="B23" s="50">
        <v>27.3</v>
      </c>
      <c r="C23" s="50">
        <v>679.36040333058884</v>
      </c>
      <c r="D23" s="50">
        <f>IR_3HP!E28</f>
        <v>15.568838020854972</v>
      </c>
      <c r="E23" s="50">
        <v>0</v>
      </c>
      <c r="F23" s="173">
        <f t="shared" si="10"/>
        <v>40.561433703165761</v>
      </c>
      <c r="G23" s="106">
        <f t="shared" si="11"/>
        <v>0.61625222301002403</v>
      </c>
      <c r="H23" s="50">
        <f t="shared" si="6"/>
        <v>27.555831960249634</v>
      </c>
      <c r="I23" s="50">
        <v>10.576852077236641</v>
      </c>
      <c r="J23" s="233"/>
      <c r="K23" s="233"/>
      <c r="L23" s="233"/>
      <c r="M23" s="233"/>
      <c r="N23" s="124">
        <f t="shared" si="7"/>
        <v>0.81076989858841686</v>
      </c>
      <c r="O23" s="233"/>
      <c r="S23" s="5" t="s">
        <v>110</v>
      </c>
      <c r="T23" s="106">
        <f>'Raw DO600'!E65</f>
        <v>0.57099999999999995</v>
      </c>
      <c r="U23" s="106">
        <f>'Raw DO600'!E66</f>
        <v>0.57299999999999995</v>
      </c>
      <c r="V23" s="107">
        <f>'Raw DO600'!E67</f>
        <v>0.60699999999999998</v>
      </c>
      <c r="W23" s="106">
        <f>AVERAGE(T23:U23)</f>
        <v>0.57199999999999995</v>
      </c>
      <c r="X23" s="106">
        <f>STDEV(T23:U23)</f>
        <v>1.4142135623730963E-3</v>
      </c>
    </row>
    <row r="24" spans="1:24" x14ac:dyDescent="0.3">
      <c r="A24" s="50" t="s">
        <v>112</v>
      </c>
      <c r="B24" s="50">
        <v>33.299999999999997</v>
      </c>
      <c r="C24" s="50">
        <v>727.80924115306891</v>
      </c>
      <c r="D24" s="50">
        <f>IR_3HP!E32</f>
        <v>18.304183457272238</v>
      </c>
      <c r="E24" s="50">
        <v>0</v>
      </c>
      <c r="F24" s="173">
        <f t="shared" si="10"/>
        <v>45.052501537432377</v>
      </c>
      <c r="G24" s="106">
        <f t="shared" si="11"/>
        <v>0.70570293188129629</v>
      </c>
      <c r="H24" s="50">
        <f t="shared" si="6"/>
        <v>32.789626956006131</v>
      </c>
      <c r="I24" s="50">
        <v>13.321953871963865</v>
      </c>
      <c r="J24" s="233"/>
      <c r="K24" s="233"/>
      <c r="L24" s="233"/>
      <c r="M24" s="233"/>
      <c r="N24" s="124">
        <f t="shared" si="7"/>
        <v>0.98466791302527179</v>
      </c>
      <c r="O24" s="233"/>
      <c r="S24" s="5" t="s">
        <v>112</v>
      </c>
      <c r="T24" s="106">
        <f>'Raw DO600'!E77</f>
        <v>0.63700000000000001</v>
      </c>
      <c r="U24" s="106">
        <f>'Raw DO600'!E78</f>
        <v>0.63700000000000001</v>
      </c>
      <c r="V24" s="106">
        <f>'Raw DO600'!E79</f>
        <v>0.63200000000000001</v>
      </c>
      <c r="W24" s="106">
        <f>AVERAGE(T24:V24)</f>
        <v>0.63533333333333342</v>
      </c>
      <c r="X24" s="106">
        <f>STDEV(T24:V24)</f>
        <v>2.8867513459481316E-3</v>
      </c>
    </row>
    <row r="25" spans="1:24" ht="15" thickBot="1" x14ac:dyDescent="0.35">
      <c r="A25" s="51" t="s">
        <v>102</v>
      </c>
      <c r="B25" s="51">
        <v>39.299999999999997</v>
      </c>
      <c r="C25" s="51">
        <v>787.45141117193452</v>
      </c>
      <c r="D25" s="51">
        <f>IR_3HP!E36</f>
        <v>20.696481242989492</v>
      </c>
      <c r="E25" s="51">
        <v>0</v>
      </c>
      <c r="F25" s="171">
        <f>AVERAGE('Raw DCW'!G29:G31)</f>
        <v>49.516666666666673</v>
      </c>
      <c r="G25" s="108">
        <f>STDEV('Raw DCW'!G29:G31)</f>
        <v>0.53463383107817997</v>
      </c>
      <c r="H25" s="51">
        <f t="shared" si="6"/>
        <v>38.99196904319696</v>
      </c>
      <c r="I25" s="51">
        <v>16.297473361085547</v>
      </c>
      <c r="J25" s="234"/>
      <c r="K25" s="234"/>
      <c r="L25" s="234"/>
      <c r="M25" s="234"/>
      <c r="N25" s="125">
        <f t="shared" si="7"/>
        <v>1.1579114019499497</v>
      </c>
      <c r="O25" s="234"/>
      <c r="S25" s="7" t="s">
        <v>102</v>
      </c>
      <c r="T25" s="108">
        <f>'Raw DO600'!E89</f>
        <v>0.70299999999999996</v>
      </c>
      <c r="U25" s="109">
        <f>'Raw DO600'!E90</f>
        <v>0.64400000000000002</v>
      </c>
      <c r="V25" s="108">
        <f>'Raw DO600'!E91</f>
        <v>0.69199999999999995</v>
      </c>
      <c r="W25" s="108">
        <f>AVERAGE(T25,V25)</f>
        <v>0.69750000000000001</v>
      </c>
      <c r="X25" s="108">
        <f>STDEV(T25,V25)</f>
        <v>7.7781745930520299E-3</v>
      </c>
    </row>
    <row r="29" spans="1:24" ht="15" thickBot="1" x14ac:dyDescent="0.35">
      <c r="N29" s="58"/>
      <c r="O29" s="58"/>
      <c r="P29" s="58"/>
    </row>
    <row r="30" spans="1:24" ht="15" thickBot="1" x14ac:dyDescent="0.35">
      <c r="B30" s="295" t="s">
        <v>164</v>
      </c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7"/>
      <c r="N30" s="58"/>
      <c r="O30" s="58"/>
      <c r="P30" s="58"/>
    </row>
    <row r="31" spans="1:24" ht="15" thickBot="1" x14ac:dyDescent="0.35">
      <c r="A31" s="1" t="s">
        <v>1</v>
      </c>
      <c r="B31" s="1" t="s">
        <v>92</v>
      </c>
      <c r="C31" s="1" t="s">
        <v>22</v>
      </c>
      <c r="D31" s="1" t="s">
        <v>175</v>
      </c>
      <c r="E31" s="1" t="s">
        <v>180</v>
      </c>
      <c r="F31" s="1" t="s">
        <v>179</v>
      </c>
      <c r="G31" s="1" t="s">
        <v>209</v>
      </c>
      <c r="H31" s="1" t="s">
        <v>210</v>
      </c>
      <c r="I31" s="1" t="s">
        <v>211</v>
      </c>
      <c r="J31" s="1" t="s">
        <v>177</v>
      </c>
      <c r="K31" s="1" t="s">
        <v>165</v>
      </c>
      <c r="L31" s="1" t="s">
        <v>166</v>
      </c>
      <c r="M31" s="1" t="s">
        <v>170</v>
      </c>
      <c r="N31" s="58"/>
      <c r="O31" s="58"/>
      <c r="P31" s="58"/>
      <c r="W31" s="58"/>
    </row>
    <row r="32" spans="1:24" x14ac:dyDescent="0.3">
      <c r="A32" s="50" t="s">
        <v>71</v>
      </c>
      <c r="B32" s="84">
        <v>0</v>
      </c>
      <c r="C32" s="50">
        <v>540</v>
      </c>
      <c r="D32" s="99">
        <f t="shared" ref="D32:D39" si="12">AVERAGE(D4,D18)</f>
        <v>2.1851817218377905</v>
      </c>
      <c r="E32" s="99">
        <f t="shared" ref="E32:E39" si="13">AVERAGE(E18,E4)</f>
        <v>0.60479376734005852</v>
      </c>
      <c r="F32" s="99">
        <f t="shared" ref="F32:F39" si="14">AVERAGE(F4,F18)</f>
        <v>22.65</v>
      </c>
      <c r="G32" s="99">
        <f t="shared" ref="G32:H39" si="15">STDEV(D18,D4)</f>
        <v>0.12688043254879841</v>
      </c>
      <c r="H32" s="99">
        <f t="shared" si="15"/>
        <v>4.6684283130856458E-2</v>
      </c>
      <c r="I32" s="99">
        <f t="shared" ref="I32:I39" si="16">F32*SQRT((G4/F4)^2+(G18/F18)^2)</f>
        <v>0.27262001873962888</v>
      </c>
      <c r="J32" s="99">
        <v>0</v>
      </c>
      <c r="K32" s="50">
        <f t="shared" ref="K32:K39" si="17">(C32/1000)*F32</f>
        <v>12.231</v>
      </c>
      <c r="L32" s="50">
        <f t="shared" ref="L32:L39" si="18">(C32/1000)*D32</f>
        <v>1.1799981297924069</v>
      </c>
      <c r="M32" s="50">
        <f t="shared" ref="M32:M39" si="19">(C32/1000)*J32</f>
        <v>0</v>
      </c>
      <c r="N32" s="58"/>
      <c r="O32" s="58"/>
      <c r="P32" s="58"/>
      <c r="Q32" s="58"/>
      <c r="R32" s="58"/>
      <c r="S32" s="58"/>
      <c r="T32" s="58"/>
      <c r="U32" s="58"/>
      <c r="V32" s="58"/>
    </row>
    <row r="33" spans="1:23" x14ac:dyDescent="0.3">
      <c r="A33" s="50" t="s">
        <v>3</v>
      </c>
      <c r="B33" s="84">
        <v>5.3</v>
      </c>
      <c r="C33" s="50">
        <v>558.84232992682405</v>
      </c>
      <c r="D33" s="50">
        <f t="shared" si="12"/>
        <v>4.2935482530846247</v>
      </c>
      <c r="E33" s="50">
        <f t="shared" si="13"/>
        <v>0</v>
      </c>
      <c r="F33" s="50">
        <f t="shared" si="14"/>
        <v>26.024556239618594</v>
      </c>
      <c r="G33" s="50">
        <f t="shared" si="15"/>
        <v>4.2301265627045642E-2</v>
      </c>
      <c r="H33" s="50">
        <f t="shared" si="15"/>
        <v>0</v>
      </c>
      <c r="I33" s="50">
        <f t="shared" si="16"/>
        <v>1.0526361695400892</v>
      </c>
      <c r="J33" s="50">
        <f>(C33-$C$32)*396/C33</f>
        <v>13.351820811425211</v>
      </c>
      <c r="K33" s="50">
        <f t="shared" si="17"/>
        <v>14.543623644260121</v>
      </c>
      <c r="L33" s="50">
        <f t="shared" si="18"/>
        <v>2.399416509407057</v>
      </c>
      <c r="M33" s="50">
        <f t="shared" si="19"/>
        <v>7.461562651022323</v>
      </c>
      <c r="N33" s="58"/>
      <c r="O33" s="58"/>
      <c r="P33" s="58"/>
    </row>
    <row r="34" spans="1:23" x14ac:dyDescent="0.3">
      <c r="A34" s="50" t="s">
        <v>5</v>
      </c>
      <c r="B34" s="84">
        <v>10.8</v>
      </c>
      <c r="C34" s="50">
        <v>581.97058232399388</v>
      </c>
      <c r="D34" s="50">
        <f t="shared" si="12"/>
        <v>7.2301213077977664</v>
      </c>
      <c r="E34" s="50">
        <f t="shared" si="13"/>
        <v>0</v>
      </c>
      <c r="F34" s="50">
        <f t="shared" si="14"/>
        <v>27.53733698379261</v>
      </c>
      <c r="G34" s="50">
        <f t="shared" si="15"/>
        <v>7.9535192142518793E-2</v>
      </c>
      <c r="H34" s="50">
        <f t="shared" si="15"/>
        <v>0</v>
      </c>
      <c r="I34" s="50">
        <f t="shared" si="16"/>
        <v>0.84468543173835231</v>
      </c>
      <c r="J34" s="50">
        <f t="shared" ref="J34:J39" si="20">(C34-$C$32)*396/C34</f>
        <v>28.558746962657843</v>
      </c>
      <c r="K34" s="50">
        <f t="shared" si="17"/>
        <v>16.025920040109838</v>
      </c>
      <c r="L34" s="50">
        <f t="shared" si="18"/>
        <v>4.2077179077721825</v>
      </c>
      <c r="M34" s="50">
        <f t="shared" si="19"/>
        <v>16.620350600301578</v>
      </c>
      <c r="N34" s="58"/>
      <c r="O34" s="58"/>
      <c r="P34" s="58"/>
      <c r="Q34" s="58"/>
      <c r="R34" s="58"/>
      <c r="S34" s="58"/>
      <c r="T34" s="58"/>
      <c r="U34" s="58"/>
      <c r="V34" s="58"/>
      <c r="W34" s="58"/>
    </row>
    <row r="35" spans="1:23" x14ac:dyDescent="0.3">
      <c r="A35" s="50" t="s">
        <v>7</v>
      </c>
      <c r="B35" s="84">
        <v>16.3</v>
      </c>
      <c r="C35" s="50">
        <v>609.24788404903586</v>
      </c>
      <c r="D35" s="50">
        <f t="shared" si="12"/>
        <v>10.019110132524617</v>
      </c>
      <c r="E35" s="50">
        <f t="shared" si="13"/>
        <v>0</v>
      </c>
      <c r="F35" s="50">
        <f t="shared" si="14"/>
        <v>32.60751619668833</v>
      </c>
      <c r="G35" s="50">
        <f t="shared" si="15"/>
        <v>0.27128624171234217</v>
      </c>
      <c r="H35" s="50">
        <f t="shared" si="15"/>
        <v>0</v>
      </c>
      <c r="I35" s="50">
        <f t="shared" si="16"/>
        <v>1.1803085276450953</v>
      </c>
      <c r="J35" s="50">
        <f t="shared" si="20"/>
        <v>45.00986019216294</v>
      </c>
      <c r="K35" s="50">
        <f t="shared" si="17"/>
        <v>19.866060246927031</v>
      </c>
      <c r="L35" s="50">
        <f t="shared" si="18"/>
        <v>6.1041216482948775</v>
      </c>
      <c r="M35" s="50">
        <f t="shared" si="19"/>
        <v>27.4221620834182</v>
      </c>
      <c r="O35" s="58"/>
    </row>
    <row r="36" spans="1:23" x14ac:dyDescent="0.3">
      <c r="A36" s="50" t="s">
        <v>9</v>
      </c>
      <c r="B36" s="84">
        <v>21.8</v>
      </c>
      <c r="C36" s="50">
        <v>641.41854600056502</v>
      </c>
      <c r="D36" s="50">
        <f t="shared" si="12"/>
        <v>12.669654355863905</v>
      </c>
      <c r="E36" s="50">
        <f t="shared" si="13"/>
        <v>0</v>
      </c>
      <c r="F36" s="50">
        <f t="shared" si="14"/>
        <v>35</v>
      </c>
      <c r="G36" s="50">
        <f t="shared" si="15"/>
        <v>0.26768769654615188</v>
      </c>
      <c r="H36" s="50">
        <f t="shared" si="15"/>
        <v>0</v>
      </c>
      <c r="I36" s="50">
        <f t="shared" si="16"/>
        <v>0.37919096576166106</v>
      </c>
      <c r="J36" s="50">
        <f t="shared" si="20"/>
        <v>62.613942903029766</v>
      </c>
      <c r="K36" s="50">
        <f t="shared" si="17"/>
        <v>22.449649110019777</v>
      </c>
      <c r="L36" s="50">
        <f t="shared" si="18"/>
        <v>8.1265512752679516</v>
      </c>
      <c r="M36" s="50">
        <f t="shared" si="19"/>
        <v>40.161744216223752</v>
      </c>
      <c r="O36" s="58"/>
    </row>
    <row r="37" spans="1:23" x14ac:dyDescent="0.3">
      <c r="A37" s="50" t="s">
        <v>11</v>
      </c>
      <c r="B37" s="84">
        <v>27.3</v>
      </c>
      <c r="C37" s="50">
        <v>679.36040333058884</v>
      </c>
      <c r="D37" s="50">
        <f t="shared" si="12"/>
        <v>15.221168626147648</v>
      </c>
      <c r="E37" s="50">
        <f t="shared" si="13"/>
        <v>0</v>
      </c>
      <c r="F37" s="50">
        <f t="shared" si="14"/>
        <v>40.289605913196993</v>
      </c>
      <c r="G37" s="50">
        <f t="shared" si="15"/>
        <v>0.49167877321714165</v>
      </c>
      <c r="H37" s="50">
        <f t="shared" si="15"/>
        <v>0</v>
      </c>
      <c r="I37" s="50">
        <f t="shared" si="16"/>
        <v>1.1115632777927229</v>
      </c>
      <c r="J37" s="50">
        <f t="shared" si="20"/>
        <v>81.233347496201276</v>
      </c>
      <c r="K37" s="50">
        <f t="shared" si="17"/>
        <v>27.371162923219988</v>
      </c>
      <c r="L37" s="50">
        <f t="shared" si="18"/>
        <v>10.340659257022573</v>
      </c>
      <c r="M37" s="50">
        <f t="shared" si="19"/>
        <v>55.186719718913182</v>
      </c>
      <c r="N37" s="58"/>
      <c r="O37" s="58"/>
      <c r="P37" s="58"/>
      <c r="Q37" s="58"/>
      <c r="R37" s="58"/>
      <c r="S37" s="58"/>
      <c r="T37" s="58"/>
      <c r="U37" s="58"/>
      <c r="V37" s="58"/>
      <c r="W37" s="58"/>
    </row>
    <row r="38" spans="1:23" x14ac:dyDescent="0.3">
      <c r="A38" s="50" t="s">
        <v>13</v>
      </c>
      <c r="B38" s="84">
        <v>33.299999999999997</v>
      </c>
      <c r="C38" s="50">
        <v>727.80924115306891</v>
      </c>
      <c r="D38" s="50">
        <f t="shared" si="12"/>
        <v>17.784003572763908</v>
      </c>
      <c r="E38" s="50">
        <f t="shared" si="13"/>
        <v>0</v>
      </c>
      <c r="F38" s="50">
        <f t="shared" si="14"/>
        <v>44.296111165345366</v>
      </c>
      <c r="G38" s="50">
        <f t="shared" si="15"/>
        <v>0.73564544754535099</v>
      </c>
      <c r="H38" s="50">
        <f t="shared" si="15"/>
        <v>0</v>
      </c>
      <c r="I38" s="50">
        <f t="shared" si="16"/>
        <v>1.1968373430211301</v>
      </c>
      <c r="J38" s="50">
        <f t="shared" si="20"/>
        <v>102.18674797092014</v>
      </c>
      <c r="K38" s="50">
        <f t="shared" si="17"/>
        <v>32.239119053281989</v>
      </c>
      <c r="L38" s="50">
        <f t="shared" si="18"/>
        <v>12.943362144956765</v>
      </c>
      <c r="M38" s="50">
        <f t="shared" si="19"/>
        <v>74.372459496615292</v>
      </c>
      <c r="O38" s="58"/>
    </row>
    <row r="39" spans="1:23" ht="15" thickBot="1" x14ac:dyDescent="0.35">
      <c r="A39" s="51" t="s">
        <v>15</v>
      </c>
      <c r="B39" s="85">
        <v>39.299999999999997</v>
      </c>
      <c r="C39" s="51">
        <v>787.45141117193452</v>
      </c>
      <c r="D39" s="51">
        <f t="shared" si="12"/>
        <v>20.265049229363136</v>
      </c>
      <c r="E39" s="51">
        <f t="shared" si="13"/>
        <v>0</v>
      </c>
      <c r="F39" s="51">
        <f t="shared" si="14"/>
        <v>48.741666666666674</v>
      </c>
      <c r="G39" s="51">
        <f t="shared" si="15"/>
        <v>0.6101370049123267</v>
      </c>
      <c r="H39" s="51">
        <f t="shared" si="15"/>
        <v>0</v>
      </c>
      <c r="I39" s="51">
        <f t="shared" si="16"/>
        <v>1.2232151048915114</v>
      </c>
      <c r="J39" s="51">
        <f t="shared" si="20"/>
        <v>124.440387602138</v>
      </c>
      <c r="K39" s="51">
        <f t="shared" si="17"/>
        <v>38.381694199538714</v>
      </c>
      <c r="L39" s="51">
        <f t="shared" si="18"/>
        <v>15.957741613130725</v>
      </c>
      <c r="M39" s="51">
        <f t="shared" si="19"/>
        <v>97.990758824086072</v>
      </c>
      <c r="O39" s="58"/>
    </row>
    <row r="40" spans="1:23" x14ac:dyDescent="0.3">
      <c r="A40" s="10"/>
      <c r="B40" s="10"/>
      <c r="I40" s="58"/>
      <c r="J40" s="58"/>
      <c r="K40" s="58"/>
      <c r="N40" s="58"/>
      <c r="O40" s="58"/>
      <c r="P40" s="58"/>
      <c r="Q40" s="58"/>
      <c r="R40" s="58"/>
      <c r="S40" s="58"/>
      <c r="T40" s="58"/>
      <c r="U40" s="58"/>
      <c r="V40" s="58"/>
      <c r="W40" s="58"/>
    </row>
    <row r="43" spans="1:23" x14ac:dyDescent="0.3">
      <c r="N43" s="58"/>
      <c r="O43" s="58"/>
      <c r="P43" s="58"/>
      <c r="Q43" s="58"/>
      <c r="R43" s="58"/>
      <c r="S43" s="58"/>
      <c r="T43" s="58"/>
      <c r="U43" s="58"/>
      <c r="V43" s="58"/>
      <c r="W43" s="58"/>
    </row>
  </sheetData>
  <mergeCells count="13">
    <mergeCell ref="B30:M30"/>
    <mergeCell ref="J18:J25"/>
    <mergeCell ref="K18:K25"/>
    <mergeCell ref="L18:L25"/>
    <mergeCell ref="A16:O16"/>
    <mergeCell ref="M18:M25"/>
    <mergeCell ref="O18:O25"/>
    <mergeCell ref="B2:O2"/>
    <mergeCell ref="J4:J11"/>
    <mergeCell ref="K4:K11"/>
    <mergeCell ref="L4:L11"/>
    <mergeCell ref="M4:M11"/>
    <mergeCell ref="O4:O11"/>
  </mergeCells>
  <pageMargins left="0.7" right="0.7" top="0.75" bottom="0.75" header="0.3" footer="0.3"/>
  <pageSetup paperSize="9" orientation="portrait" r:id="rId1"/>
  <ignoredErrors>
    <ignoredError sqref="E32 E33:E39 W10:X10 W23:X23 F8:G8 F22:G2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081-7C7A-49CC-A0CB-35F24D3B1AA5}">
  <dimension ref="A1:AA39"/>
  <sheetViews>
    <sheetView zoomScale="50" zoomScaleNormal="50" workbookViewId="0">
      <selection activeCell="B11" sqref="B11"/>
    </sheetView>
  </sheetViews>
  <sheetFormatPr baseColWidth="10" defaultColWidth="8.77734375" defaultRowHeight="14.4" x14ac:dyDescent="0.3"/>
  <cols>
    <col min="2" max="2" width="17.77734375" bestFit="1" customWidth="1"/>
    <col min="3" max="3" width="22.44140625" customWidth="1"/>
    <col min="4" max="4" width="12.21875" bestFit="1" customWidth="1"/>
    <col min="5" max="5" width="15.5546875" bestFit="1" customWidth="1"/>
    <col min="6" max="6" width="15.44140625" bestFit="1" customWidth="1"/>
    <col min="7" max="7" width="12.44140625" bestFit="1" customWidth="1"/>
    <col min="8" max="8" width="16.21875" bestFit="1" customWidth="1"/>
    <col min="9" max="9" width="12.77734375" bestFit="1" customWidth="1"/>
    <col min="10" max="10" width="15.21875" customWidth="1"/>
    <col min="11" max="11" width="13.44140625" customWidth="1"/>
    <col min="12" max="13" width="13.5546875" customWidth="1"/>
    <col min="14" max="14" width="13.5546875" bestFit="1" customWidth="1"/>
    <col min="23" max="23" width="11.21875" customWidth="1"/>
    <col min="26" max="26" width="10.77734375" bestFit="1" customWidth="1"/>
  </cols>
  <sheetData>
    <row r="1" spans="1:27" ht="15" thickBot="1" x14ac:dyDescent="0.35"/>
    <row r="2" spans="1:27" ht="15" thickBot="1" x14ac:dyDescent="0.35">
      <c r="B2" s="298" t="s">
        <v>212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300"/>
      <c r="Z2" s="128" t="s">
        <v>191</v>
      </c>
    </row>
    <row r="3" spans="1:27" ht="15" thickBot="1" x14ac:dyDescent="0.35">
      <c r="A3" s="1" t="s">
        <v>1</v>
      </c>
      <c r="B3" s="100" t="s">
        <v>92</v>
      </c>
      <c r="C3" s="100" t="s">
        <v>22</v>
      </c>
      <c r="D3" s="100" t="s">
        <v>175</v>
      </c>
      <c r="E3" s="100" t="s">
        <v>178</v>
      </c>
      <c r="F3" s="100" t="s">
        <v>176</v>
      </c>
      <c r="G3" s="100" t="s">
        <v>211</v>
      </c>
      <c r="H3" s="100" t="s">
        <v>165</v>
      </c>
      <c r="I3" s="100" t="s">
        <v>166</v>
      </c>
      <c r="J3" s="1" t="s">
        <v>204</v>
      </c>
      <c r="K3" s="1" t="s">
        <v>205</v>
      </c>
      <c r="L3" s="1" t="s">
        <v>206</v>
      </c>
      <c r="M3" s="1" t="s">
        <v>207</v>
      </c>
      <c r="N3" s="1" t="s">
        <v>208</v>
      </c>
      <c r="O3" s="101" t="s">
        <v>171</v>
      </c>
      <c r="S3" s="1" t="s">
        <v>1</v>
      </c>
      <c r="T3" s="1" t="s">
        <v>161</v>
      </c>
      <c r="U3" s="1" t="s">
        <v>162</v>
      </c>
      <c r="V3" s="1" t="s">
        <v>163</v>
      </c>
      <c r="W3" s="1" t="s">
        <v>19</v>
      </c>
      <c r="X3" s="1" t="s">
        <v>181</v>
      </c>
      <c r="Z3" s="86" t="s">
        <v>185</v>
      </c>
      <c r="AA3" s="114">
        <f>'Raw DCW'!AV36</f>
        <v>0.35422072466988519</v>
      </c>
    </row>
    <row r="4" spans="1:27" ht="15" thickBot="1" x14ac:dyDescent="0.35">
      <c r="A4" s="5" t="s">
        <v>72</v>
      </c>
      <c r="B4" s="84">
        <v>0</v>
      </c>
      <c r="C4" s="50">
        <v>540</v>
      </c>
      <c r="D4" s="50">
        <f>IR_3HP!P9</f>
        <v>2.3513704465640135</v>
      </c>
      <c r="E4" s="50">
        <f>IR_3HP!O9</f>
        <v>0.52647010846070552</v>
      </c>
      <c r="F4" s="169">
        <f>AVERAGE('Raw DCW'!G8:G9)</f>
        <v>22.424999999999997</v>
      </c>
      <c r="G4" s="130">
        <f>STDEV('Raw DCW'!G8:G9)</f>
        <v>0.31819805153395841</v>
      </c>
      <c r="H4" s="50">
        <f>(C4/1000)*F4</f>
        <v>12.109499999999999</v>
      </c>
      <c r="I4" s="99">
        <f>(C4/1000)*D4</f>
        <v>1.2697400411445674</v>
      </c>
      <c r="J4" s="232">
        <f>SLOPE(H4:H11,M32:M39)</f>
        <v>0.24779811257007939</v>
      </c>
      <c r="K4" s="232">
        <f>SLOPE(I4:I11,M32:M39)</f>
        <v>0.16381614570815983</v>
      </c>
      <c r="L4" s="232">
        <f>K4*(32.04/90.08)*3</f>
        <v>0.17480026560244585</v>
      </c>
      <c r="M4" s="232">
        <f>SLOPE(I4:I11,H4:H11)</f>
        <v>0.65680317430796964</v>
      </c>
      <c r="N4" s="129">
        <f>LN((F4*C4)/($F$4*$C$4))</f>
        <v>0</v>
      </c>
      <c r="O4" s="232">
        <f>SLOPE(N4:N11,B4:B11)</f>
        <v>2.7899615164806425E-2</v>
      </c>
      <c r="S4" s="5" t="s">
        <v>72</v>
      </c>
      <c r="T4" s="126">
        <f>'Raw DO600'!E8</f>
        <v>0.59</v>
      </c>
      <c r="U4" s="126">
        <f>'Raw DO600'!E9</f>
        <v>0.58599999999999997</v>
      </c>
      <c r="V4" s="126">
        <f>'Raw DO600'!E10</f>
        <v>0.56100000000000005</v>
      </c>
      <c r="W4" s="168">
        <f>AVERAGE(T4:V4)</f>
        <v>0.57900000000000007</v>
      </c>
      <c r="X4" s="168">
        <f>STDEV(T4:V4)</f>
        <v>1.5716233645501662E-2</v>
      </c>
      <c r="Z4" s="86" t="s">
        <v>181</v>
      </c>
      <c r="AA4" s="114">
        <f>'Raw DCW'!AW36</f>
        <v>6.5081997041487993E-3</v>
      </c>
    </row>
    <row r="5" spans="1:27" x14ac:dyDescent="0.3">
      <c r="A5" s="5" t="s">
        <v>4</v>
      </c>
      <c r="B5" s="84">
        <v>5.3</v>
      </c>
      <c r="C5" s="50">
        <v>558.84232992682405</v>
      </c>
      <c r="D5" s="50">
        <f>IR_3HP!E13</f>
        <v>4.8935440987079897</v>
      </c>
      <c r="E5" s="50">
        <v>0</v>
      </c>
      <c r="F5" s="173">
        <f>$AA$3*W5*200</f>
        <v>25.551121606187717</v>
      </c>
      <c r="G5" s="106">
        <f>F5*SQRT(($AA$4/$AA$3)^2+(X5/W5)^2)</f>
        <v>1.0980741828508054</v>
      </c>
      <c r="H5" s="50">
        <f t="shared" ref="H5:H11" si="0">(C5/1000)*F5</f>
        <v>14.279048330645558</v>
      </c>
      <c r="I5" s="50">
        <f t="shared" ref="I5:I11" si="1">(C5/1000)*D5</f>
        <v>2.7347195857216331</v>
      </c>
      <c r="J5" s="233"/>
      <c r="K5" s="233"/>
      <c r="L5" s="233"/>
      <c r="M5" s="233"/>
      <c r="N5" s="124">
        <f t="shared" ref="N5:N11" si="2">LN((F5*C5)/($F$4*$C$4))</f>
        <v>0.16480304265740234</v>
      </c>
      <c r="O5" s="233"/>
      <c r="S5" s="5" t="s">
        <v>4</v>
      </c>
      <c r="T5" s="126">
        <f>'Raw DO600'!E20</f>
        <v>0.34699999999999998</v>
      </c>
      <c r="U5" s="126">
        <f>'Raw DO600'!E21</f>
        <v>0.36</v>
      </c>
      <c r="V5" s="126">
        <f>'Raw DO600'!E22</f>
        <v>0.375</v>
      </c>
      <c r="W5" s="126">
        <f t="shared" ref="W5:W6" si="3">AVERAGE(T5:V5)</f>
        <v>0.36066666666666664</v>
      </c>
      <c r="X5" s="126">
        <f t="shared" ref="X5:X6" si="4">STDEV(T5:V5)</f>
        <v>1.4011899704655814E-2</v>
      </c>
    </row>
    <row r="6" spans="1:27" x14ac:dyDescent="0.3">
      <c r="A6" s="5" t="s">
        <v>6</v>
      </c>
      <c r="B6" s="84">
        <v>10.8</v>
      </c>
      <c r="C6" s="50">
        <v>581.97058232399388</v>
      </c>
      <c r="D6" s="50">
        <f>IR_3HP!E17</f>
        <v>7.9284200905654121</v>
      </c>
      <c r="E6" s="50">
        <v>0</v>
      </c>
      <c r="F6" s="173">
        <f t="shared" ref="F6:F10" si="5">$AA$3*W6*200</f>
        <v>26.991619219845255</v>
      </c>
      <c r="G6" s="106">
        <f t="shared" ref="G6:G10" si="6">F6*SQRT(($AA$4/$AA$3)^2+(X6/W6)^2)</f>
        <v>0.89892014448929558</v>
      </c>
      <c r="H6" s="50">
        <f t="shared" si="0"/>
        <v>15.708328355240848</v>
      </c>
      <c r="I6" s="50">
        <f t="shared" si="1"/>
        <v>4.614107257015605</v>
      </c>
      <c r="J6" s="233"/>
      <c r="K6" s="233"/>
      <c r="L6" s="233"/>
      <c r="M6" s="233"/>
      <c r="N6" s="124">
        <f t="shared" si="2"/>
        <v>0.26020077167122779</v>
      </c>
      <c r="O6" s="233"/>
      <c r="S6" s="5" t="s">
        <v>6</v>
      </c>
      <c r="T6" s="126">
        <f>'Raw DO600'!E32</f>
        <v>0.39300000000000002</v>
      </c>
      <c r="U6" s="126">
        <f>'Raw DO600'!E33</f>
        <v>0.373</v>
      </c>
      <c r="V6" s="126">
        <f>'Raw DO600'!E34</f>
        <v>0.377</v>
      </c>
      <c r="W6" s="126">
        <f t="shared" si="3"/>
        <v>0.38100000000000001</v>
      </c>
      <c r="X6" s="126">
        <f t="shared" si="4"/>
        <v>1.0583005244258372E-2</v>
      </c>
    </row>
    <row r="7" spans="1:27" x14ac:dyDescent="0.3">
      <c r="A7" s="5" t="s">
        <v>8</v>
      </c>
      <c r="B7" s="84">
        <v>16.3</v>
      </c>
      <c r="C7" s="50">
        <v>609.24788404903586</v>
      </c>
      <c r="D7" s="50">
        <f>IR_3HP!E21</f>
        <v>10.928087740434549</v>
      </c>
      <c r="E7" s="50">
        <v>0</v>
      </c>
      <c r="F7" s="173">
        <f t="shared" si="5"/>
        <v>29.258631857732521</v>
      </c>
      <c r="G7" s="106">
        <f t="shared" si="6"/>
        <v>0.88365199603932065</v>
      </c>
      <c r="H7" s="50">
        <f t="shared" si="0"/>
        <v>17.825759549493249</v>
      </c>
      <c r="I7" s="50">
        <f t="shared" si="1"/>
        <v>6.6579143325619583</v>
      </c>
      <c r="J7" s="233"/>
      <c r="K7" s="233"/>
      <c r="L7" s="233"/>
      <c r="M7" s="233"/>
      <c r="N7" s="124">
        <f t="shared" si="2"/>
        <v>0.38665430834374603</v>
      </c>
      <c r="O7" s="233"/>
      <c r="S7" s="5" t="s">
        <v>8</v>
      </c>
      <c r="T7" s="126">
        <f>'Raw DO600'!E44</f>
        <v>0.42</v>
      </c>
      <c r="U7" s="126">
        <f>'Raw DO600'!E45</f>
        <v>0.40600000000000003</v>
      </c>
      <c r="V7" s="107">
        <f>'Raw DO600'!E46</f>
        <v>0.44700000000000001</v>
      </c>
      <c r="W7" s="126">
        <f>AVERAGE(T7:U7)</f>
        <v>0.41300000000000003</v>
      </c>
      <c r="X7" s="126">
        <f>STDEV(T7:U7)</f>
        <v>9.8994949366116355E-3</v>
      </c>
    </row>
    <row r="8" spans="1:27" x14ac:dyDescent="0.3">
      <c r="A8" s="5" t="s">
        <v>10</v>
      </c>
      <c r="B8" s="84">
        <v>21.8</v>
      </c>
      <c r="C8" s="50">
        <v>641.41854600056502</v>
      </c>
      <c r="D8" s="50">
        <f>IR_3HP!E25</f>
        <v>13.937518175397784</v>
      </c>
      <c r="E8" s="50">
        <v>0</v>
      </c>
      <c r="F8" s="170">
        <f>AVERAGE('Raw DCW'!G20:G22)</f>
        <v>32.783333333333339</v>
      </c>
      <c r="G8" s="106">
        <f>STDEV('Raw DCW'!G20:G22)</f>
        <v>2.8867513459483751E-2</v>
      </c>
      <c r="H8" s="50">
        <f t="shared" si="0"/>
        <v>21.027837999718528</v>
      </c>
      <c r="I8" s="50">
        <f t="shared" si="1"/>
        <v>8.9397826429200951</v>
      </c>
      <c r="J8" s="233"/>
      <c r="K8" s="233"/>
      <c r="L8" s="233"/>
      <c r="M8" s="233"/>
      <c r="N8" s="124">
        <f t="shared" si="2"/>
        <v>0.5518569103794011</v>
      </c>
      <c r="O8" s="233"/>
      <c r="S8" s="5" t="s">
        <v>10</v>
      </c>
      <c r="T8" s="126">
        <f>'Raw DO600'!E56</f>
        <v>0.49199999999999999</v>
      </c>
      <c r="U8" s="126">
        <f>'Raw DO600'!E57</f>
        <v>0.48399999999999999</v>
      </c>
      <c r="V8" s="126">
        <f>'Raw DO600'!E58</f>
        <v>0.48799999999999999</v>
      </c>
      <c r="W8" s="126">
        <f>AVERAGE(T8:V8)</f>
        <v>0.48799999999999999</v>
      </c>
      <c r="X8" s="126">
        <f>STDEV(T8:V8)</f>
        <v>4.0000000000000036E-3</v>
      </c>
    </row>
    <row r="9" spans="1:27" x14ac:dyDescent="0.3">
      <c r="A9" s="5" t="s">
        <v>12</v>
      </c>
      <c r="B9" s="84">
        <v>27.3</v>
      </c>
      <c r="C9" s="50">
        <v>679.36040333058884</v>
      </c>
      <c r="D9" s="50">
        <f>IR_3HP!E29</f>
        <v>16.705994765485443</v>
      </c>
      <c r="E9" s="50">
        <v>0</v>
      </c>
      <c r="F9" s="173">
        <f t="shared" si="5"/>
        <v>37.83077339474373</v>
      </c>
      <c r="G9" s="106">
        <f t="shared" si="6"/>
        <v>1.0000381162595766</v>
      </c>
      <c r="H9" s="50">
        <f t="shared" si="0"/>
        <v>25.70072947176121</v>
      </c>
      <c r="I9" s="50">
        <f t="shared" si="1"/>
        <v>11.349391341918897</v>
      </c>
      <c r="J9" s="233"/>
      <c r="K9" s="233"/>
      <c r="L9" s="233"/>
      <c r="M9" s="233"/>
      <c r="N9" s="124">
        <f t="shared" si="2"/>
        <v>0.75252910709253229</v>
      </c>
      <c r="O9" s="233"/>
      <c r="S9" s="5" t="s">
        <v>12</v>
      </c>
      <c r="T9" s="126">
        <f>'Raw DO600'!E68</f>
        <v>0.53200000000000003</v>
      </c>
      <c r="U9" s="126">
        <f>'Raw DO600'!E69</f>
        <v>0.52500000000000002</v>
      </c>
      <c r="V9" s="126">
        <f>'Raw DO600'!E70</f>
        <v>0.54500000000000004</v>
      </c>
      <c r="W9" s="126">
        <f t="shared" ref="W9:W11" si="7">AVERAGE(T9:V9)</f>
        <v>0.53399999999999992</v>
      </c>
      <c r="X9" s="126">
        <f t="shared" ref="X9:X11" si="8">STDEV(T9:V9)</f>
        <v>1.0148891565092228E-2</v>
      </c>
    </row>
    <row r="10" spans="1:27" x14ac:dyDescent="0.3">
      <c r="A10" s="5" t="s">
        <v>14</v>
      </c>
      <c r="B10" s="84">
        <v>33.299999999999997</v>
      </c>
      <c r="C10" s="50">
        <v>727.80924115306891</v>
      </c>
      <c r="D10" s="50">
        <f>IR_3HP!E33</f>
        <v>19.314423995679448</v>
      </c>
      <c r="E10" s="50">
        <v>0</v>
      </c>
      <c r="F10" s="173">
        <f t="shared" si="5"/>
        <v>42.081422090782361</v>
      </c>
      <c r="G10" s="106">
        <f t="shared" si="6"/>
        <v>1.2149504022146849</v>
      </c>
      <c r="H10" s="50">
        <f t="shared" si="0"/>
        <v>30.627247878534298</v>
      </c>
      <c r="I10" s="50">
        <f t="shared" si="1"/>
        <v>14.057216271604084</v>
      </c>
      <c r="J10" s="233"/>
      <c r="K10" s="233"/>
      <c r="L10" s="233"/>
      <c r="M10" s="233"/>
      <c r="N10" s="124">
        <f t="shared" si="2"/>
        <v>0.92789979776559739</v>
      </c>
      <c r="O10" s="233"/>
      <c r="S10" s="5" t="s">
        <v>14</v>
      </c>
      <c r="T10" s="126">
        <f>'Raw DO600'!E80</f>
        <v>0.60399999999999998</v>
      </c>
      <c r="U10" s="126">
        <f>'Raw DO600'!E81</f>
        <v>0.59899999999999998</v>
      </c>
      <c r="V10" s="126">
        <f>'Raw DO600'!E82</f>
        <v>0.57899999999999996</v>
      </c>
      <c r="W10" s="126">
        <f t="shared" si="7"/>
        <v>0.59399999999999997</v>
      </c>
      <c r="X10" s="126">
        <f t="shared" si="8"/>
        <v>1.3228756555322964E-2</v>
      </c>
    </row>
    <row r="11" spans="1:27" ht="15" thickBot="1" x14ac:dyDescent="0.35">
      <c r="A11" s="7" t="s">
        <v>16</v>
      </c>
      <c r="B11" s="85">
        <v>39.299999999999997</v>
      </c>
      <c r="C11" s="51">
        <v>787.45141117193452</v>
      </c>
      <c r="D11" s="51">
        <f>IR_3HP!E37</f>
        <v>21.922126209962201</v>
      </c>
      <c r="E11" s="51">
        <v>0</v>
      </c>
      <c r="F11" s="171">
        <f>AVERAGE('Raw DCW'!G32:G34)</f>
        <v>45.85</v>
      </c>
      <c r="G11" s="108">
        <f>STDEV('Raw DCW'!G32:G34)</f>
        <v>0.36055512754640012</v>
      </c>
      <c r="H11" s="51">
        <f t="shared" si="0"/>
        <v>36.104647202233195</v>
      </c>
      <c r="I11" s="51">
        <f t="shared" si="1"/>
        <v>17.262609219923988</v>
      </c>
      <c r="J11" s="234"/>
      <c r="K11" s="234"/>
      <c r="L11" s="234"/>
      <c r="M11" s="234"/>
      <c r="N11" s="125">
        <f t="shared" si="2"/>
        <v>1.0924313198964222</v>
      </c>
      <c r="O11" s="234"/>
      <c r="S11" s="7" t="s">
        <v>16</v>
      </c>
      <c r="T11" s="127">
        <f>'Raw DO600'!E92</f>
        <v>0.65700000000000003</v>
      </c>
      <c r="U11" s="127">
        <f>'Raw DO600'!E93</f>
        <v>0.65400000000000003</v>
      </c>
      <c r="V11" s="127">
        <f>'Raw DO600'!E94</f>
        <v>0.64</v>
      </c>
      <c r="W11" s="127">
        <f t="shared" si="7"/>
        <v>0.65033333333333332</v>
      </c>
      <c r="X11" s="127">
        <f t="shared" si="8"/>
        <v>9.073771725877474E-3</v>
      </c>
    </row>
    <row r="12" spans="1:27" x14ac:dyDescent="0.3">
      <c r="A12" s="10"/>
      <c r="B12" s="10"/>
      <c r="C12" s="58"/>
      <c r="D12" s="58"/>
      <c r="E12" s="58"/>
    </row>
    <row r="13" spans="1:27" x14ac:dyDescent="0.3">
      <c r="A13" s="10"/>
      <c r="B13" s="172"/>
      <c r="C13" t="s">
        <v>265</v>
      </c>
      <c r="E13" s="174"/>
      <c r="F13" t="s">
        <v>266</v>
      </c>
      <c r="S13" s="115" t="s">
        <v>174</v>
      </c>
    </row>
    <row r="15" spans="1:27" ht="15" thickBot="1" x14ac:dyDescent="0.35"/>
    <row r="16" spans="1:27" ht="15" thickBot="1" x14ac:dyDescent="0.35">
      <c r="B16" s="298" t="s">
        <v>213</v>
      </c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300"/>
    </row>
    <row r="17" spans="1:24" ht="15" thickBot="1" x14ac:dyDescent="0.35">
      <c r="A17" s="1" t="s">
        <v>1</v>
      </c>
      <c r="B17" s="100" t="s">
        <v>92</v>
      </c>
      <c r="C17" s="100" t="s">
        <v>22</v>
      </c>
      <c r="D17" s="100" t="s">
        <v>23</v>
      </c>
      <c r="E17" s="100" t="s">
        <v>167</v>
      </c>
      <c r="F17" s="100" t="s">
        <v>176</v>
      </c>
      <c r="G17" s="100" t="s">
        <v>211</v>
      </c>
      <c r="H17" s="100" t="s">
        <v>165</v>
      </c>
      <c r="I17" s="100" t="s">
        <v>166</v>
      </c>
      <c r="J17" s="1" t="s">
        <v>204</v>
      </c>
      <c r="K17" s="1" t="s">
        <v>205</v>
      </c>
      <c r="L17" s="1" t="s">
        <v>206</v>
      </c>
      <c r="M17" s="1" t="s">
        <v>207</v>
      </c>
      <c r="N17" s="1" t="s">
        <v>208</v>
      </c>
      <c r="O17" s="101" t="s">
        <v>171</v>
      </c>
      <c r="S17" s="1" t="s">
        <v>1</v>
      </c>
      <c r="T17" s="1" t="s">
        <v>161</v>
      </c>
      <c r="U17" s="1" t="s">
        <v>162</v>
      </c>
      <c r="V17" s="1" t="s">
        <v>163</v>
      </c>
      <c r="W17" s="1" t="s">
        <v>19</v>
      </c>
      <c r="X17" s="1" t="s">
        <v>181</v>
      </c>
    </row>
    <row r="18" spans="1:24" x14ac:dyDescent="0.3">
      <c r="A18" s="5" t="s">
        <v>99</v>
      </c>
      <c r="B18" s="84">
        <v>0</v>
      </c>
      <c r="C18" s="50">
        <v>540</v>
      </c>
      <c r="D18" s="50">
        <f>IR_3HP!P10</f>
        <v>2.5474000000000001</v>
      </c>
      <c r="E18" s="50">
        <f>IR_3HP!O10</f>
        <v>0.41759945986820757</v>
      </c>
      <c r="F18" s="175">
        <f>AVERAGE('Raw DCW'!G11:G13)</f>
        <v>22.783333333333331</v>
      </c>
      <c r="G18" s="130">
        <f>STDEV('Raw DCW'!G11:G13)</f>
        <v>0.42524502740577336</v>
      </c>
      <c r="H18" s="99">
        <f>(C18/1000)*F18</f>
        <v>12.302999999999999</v>
      </c>
      <c r="I18" s="99">
        <f>(C18/1000)*D18</f>
        <v>1.375596</v>
      </c>
      <c r="J18" s="232">
        <f>SLOPE(H18:H25,M32:M39)</f>
        <v>0.22381538395486206</v>
      </c>
      <c r="K18" s="232">
        <f>SLOPE(I18:I25,M32:M39)</f>
        <v>0.15319688694164346</v>
      </c>
      <c r="L18" s="232">
        <f>K18*(32.04/90.08)*3</f>
        <v>0.16346896950300588</v>
      </c>
      <c r="M18" s="232">
        <f>SLOPE(I18:I25,H18:H25)</f>
        <v>0.68055963079241399</v>
      </c>
      <c r="N18" s="129">
        <f>LN((F18*C18)/($F$18*$C$18))</f>
        <v>0</v>
      </c>
      <c r="O18" s="232">
        <f>SLOPE(N18:N25,B18:B25)</f>
        <v>2.5928549323453801E-2</v>
      </c>
      <c r="S18" s="5" t="s">
        <v>99</v>
      </c>
      <c r="T18" s="106">
        <f>'Raw DO600'!E11</f>
        <v>0.56499999999999995</v>
      </c>
      <c r="U18" s="107">
        <f>'Raw DO600'!E12</f>
        <v>0.61399999999999999</v>
      </c>
      <c r="V18" s="106">
        <f>'Raw DO600'!E13</f>
        <v>0.54400000000000004</v>
      </c>
      <c r="W18" s="130">
        <f>AVERAGE(V18,T18)</f>
        <v>0.55449999999999999</v>
      </c>
      <c r="X18" s="168">
        <f>STDEV(V18,T18)</f>
        <v>1.4849242404917433E-2</v>
      </c>
    </row>
    <row r="19" spans="1:24" x14ac:dyDescent="0.3">
      <c r="A19" s="5" t="s">
        <v>105</v>
      </c>
      <c r="B19" s="84">
        <v>5.3</v>
      </c>
      <c r="C19" s="50">
        <v>558.84232992682405</v>
      </c>
      <c r="D19" s="50">
        <f>IR_3HP!E14</f>
        <v>5.0919304310251698</v>
      </c>
      <c r="E19" s="50">
        <v>0</v>
      </c>
      <c r="F19" s="173">
        <f>$AA$3*W19*200</f>
        <v>25.834498185923628</v>
      </c>
      <c r="G19" s="106">
        <f>F19*SQRT(($AA$4/$AA$3)^2+(X19/W19)^2)</f>
        <v>0.98731685798511859</v>
      </c>
      <c r="H19" s="50">
        <f t="shared" ref="H19:H25" si="9">(C19/1000)*F19</f>
        <v>14.437411158711869</v>
      </c>
      <c r="I19" s="50">
        <f t="shared" ref="I19:I25" si="10">(C19/1000)*D19</f>
        <v>2.8455862658994033</v>
      </c>
      <c r="J19" s="233"/>
      <c r="K19" s="233"/>
      <c r="L19" s="233"/>
      <c r="M19" s="233"/>
      <c r="N19" s="124">
        <f t="shared" ref="N19:N25" si="11">LN((F19*C19)/($F$18*$C$18))</f>
        <v>0.15997969967591302</v>
      </c>
      <c r="O19" s="233"/>
      <c r="S19" s="5" t="s">
        <v>105</v>
      </c>
      <c r="T19" s="106">
        <f>'Raw DO600'!E23</f>
        <v>0.35399999999999998</v>
      </c>
      <c r="U19" s="106">
        <f>'Raw DO600'!E24</f>
        <v>0.36199999999999999</v>
      </c>
      <c r="V19" s="106">
        <f>'Raw DO600'!E25</f>
        <v>0.378</v>
      </c>
      <c r="W19" s="106">
        <f>AVERAGE(T19:V19)</f>
        <v>0.36466666666666664</v>
      </c>
      <c r="X19" s="126">
        <f>STDEV(T19:V19)</f>
        <v>1.2220201853215585E-2</v>
      </c>
    </row>
    <row r="20" spans="1:24" x14ac:dyDescent="0.3">
      <c r="A20" s="5" t="s">
        <v>107</v>
      </c>
      <c r="B20" s="84">
        <v>10.8</v>
      </c>
      <c r="C20" s="50">
        <v>581.97058232399388</v>
      </c>
      <c r="D20" s="50">
        <f>IR_3HP!E18</f>
        <v>7.8599978394728307</v>
      </c>
      <c r="E20" s="50">
        <v>0</v>
      </c>
      <c r="F20" s="173">
        <f t="shared" ref="F20:F24" si="12">$AA$3*W20*200</f>
        <v>27.983437248920932</v>
      </c>
      <c r="G20" s="106">
        <f t="shared" ref="G20:G24" si="13">F20*SQRT(($AA$4/$AA$3)^2+(X20/W20)^2)</f>
        <v>0.74190621367027665</v>
      </c>
      <c r="H20" s="50">
        <f t="shared" si="9"/>
        <v>16.285537271181457</v>
      </c>
      <c r="I20" s="50">
        <f t="shared" si="10"/>
        <v>4.5742875197033372</v>
      </c>
      <c r="J20" s="233"/>
      <c r="K20" s="233"/>
      <c r="L20" s="233"/>
      <c r="M20" s="233"/>
      <c r="N20" s="124">
        <f t="shared" si="11"/>
        <v>0.28043429488865967</v>
      </c>
      <c r="O20" s="233"/>
      <c r="S20" s="5" t="s">
        <v>107</v>
      </c>
      <c r="T20" s="106">
        <f>'Raw DO600'!E35</f>
        <v>0.38700000000000001</v>
      </c>
      <c r="U20" s="106">
        <f>'Raw DO600'!E36</f>
        <v>0.40200000000000002</v>
      </c>
      <c r="V20" s="106">
        <f>'Raw DO600'!E37</f>
        <v>0.39600000000000002</v>
      </c>
      <c r="W20" s="106">
        <f t="shared" ref="W20:W25" si="14">AVERAGE(T20:V20)</f>
        <v>0.39500000000000002</v>
      </c>
      <c r="X20" s="126">
        <f t="shared" ref="X20:X25" si="15">STDEV(T20:V20)</f>
        <v>7.5498344352707561E-3</v>
      </c>
    </row>
    <row r="21" spans="1:24" x14ac:dyDescent="0.3">
      <c r="A21" s="5" t="s">
        <v>109</v>
      </c>
      <c r="B21" s="84">
        <v>16.3</v>
      </c>
      <c r="C21" s="50">
        <v>609.24788404903586</v>
      </c>
      <c r="D21" s="50">
        <f>IR_3HP!E22</f>
        <v>10.696445932807604</v>
      </c>
      <c r="E21" s="50">
        <v>0</v>
      </c>
      <c r="F21" s="173">
        <f t="shared" si="12"/>
        <v>29.660082012358384</v>
      </c>
      <c r="G21" s="106">
        <f t="shared" si="13"/>
        <v>0.74134449363620747</v>
      </c>
      <c r="H21" s="50">
        <f t="shared" si="9"/>
        <v>18.070342206750215</v>
      </c>
      <c r="I21" s="50">
        <f t="shared" si="10"/>
        <v>6.516787051407948</v>
      </c>
      <c r="J21" s="233"/>
      <c r="K21" s="233"/>
      <c r="L21" s="233"/>
      <c r="M21" s="233"/>
      <c r="N21" s="124">
        <f t="shared" si="11"/>
        <v>0.38442890718575817</v>
      </c>
      <c r="O21" s="233"/>
      <c r="S21" s="5" t="s">
        <v>109</v>
      </c>
      <c r="T21" s="106">
        <f>'Raw DO600'!E47</f>
        <v>0.41099999999999998</v>
      </c>
      <c r="U21" s="106">
        <f>'Raw DO600'!E48</f>
        <v>0.42</v>
      </c>
      <c r="V21" s="106">
        <f>'Raw DO600'!E49</f>
        <v>0.42499999999999999</v>
      </c>
      <c r="W21" s="106">
        <f t="shared" si="14"/>
        <v>0.41866666666666669</v>
      </c>
      <c r="X21" s="126">
        <f t="shared" si="15"/>
        <v>7.0945988845975937E-3</v>
      </c>
    </row>
    <row r="22" spans="1:24" x14ac:dyDescent="0.3">
      <c r="A22" s="5" t="s">
        <v>101</v>
      </c>
      <c r="B22" s="84">
        <v>21.8</v>
      </c>
      <c r="C22" s="50">
        <v>641.41854600056502</v>
      </c>
      <c r="D22" s="50">
        <f>IR_3HP!E26</f>
        <v>13.454034784487414</v>
      </c>
      <c r="E22" s="50">
        <v>0</v>
      </c>
      <c r="F22" s="170">
        <f>AVERAGE('Raw DCW'!G23:G25)</f>
        <v>32.449999999999996</v>
      </c>
      <c r="G22" s="106">
        <f>STDEV('Raw DCW'!G23:G25)</f>
        <v>0.37749172176353674</v>
      </c>
      <c r="H22" s="50">
        <f t="shared" si="9"/>
        <v>20.814031817718334</v>
      </c>
      <c r="I22" s="50">
        <f t="shared" si="10"/>
        <v>8.6296674293069415</v>
      </c>
      <c r="J22" s="233"/>
      <c r="K22" s="233"/>
      <c r="L22" s="233"/>
      <c r="M22" s="233"/>
      <c r="N22" s="124">
        <f t="shared" si="11"/>
        <v>0.52578423080555237</v>
      </c>
      <c r="O22" s="233"/>
      <c r="S22" s="5" t="s">
        <v>101</v>
      </c>
      <c r="T22" s="106">
        <f>'Raw DO600'!E59</f>
        <v>0.46100000000000002</v>
      </c>
      <c r="U22" s="106">
        <f>'Raw DO600'!E60</f>
        <v>0.45800000000000002</v>
      </c>
      <c r="V22" s="106">
        <f>'Raw DO600'!E61</f>
        <v>0.46600000000000003</v>
      </c>
      <c r="W22" s="106">
        <f t="shared" si="14"/>
        <v>0.46166666666666667</v>
      </c>
      <c r="X22" s="126">
        <f t="shared" si="15"/>
        <v>4.0414518843273836E-3</v>
      </c>
    </row>
    <row r="23" spans="1:24" x14ac:dyDescent="0.3">
      <c r="A23" s="5" t="s">
        <v>111</v>
      </c>
      <c r="B23" s="84">
        <v>27.3</v>
      </c>
      <c r="C23" s="50">
        <v>679.36040333058884</v>
      </c>
      <c r="D23" s="50">
        <f>IR_3HP!E30</f>
        <v>15.748514637571567</v>
      </c>
      <c r="E23" s="50">
        <v>0</v>
      </c>
      <c r="F23" s="173">
        <f t="shared" si="12"/>
        <v>37.452937955095855</v>
      </c>
      <c r="G23" s="106">
        <f t="shared" si="13"/>
        <v>1.0380115738085498</v>
      </c>
      <c r="H23" s="50">
        <f t="shared" si="9"/>
        <v>25.444043035089443</v>
      </c>
      <c r="I23" s="50">
        <f t="shared" si="10"/>
        <v>10.698917256038303</v>
      </c>
      <c r="J23" s="233"/>
      <c r="K23" s="233"/>
      <c r="L23" s="233"/>
      <c r="M23" s="233"/>
      <c r="N23" s="124">
        <f t="shared" si="11"/>
        <v>0.72663851510203181</v>
      </c>
      <c r="O23" s="233"/>
      <c r="S23" s="5" t="s">
        <v>111</v>
      </c>
      <c r="T23" s="106">
        <f>'Raw DO600'!E71</f>
        <v>0.52</v>
      </c>
      <c r="U23" s="106">
        <f>'Raw DO600'!E72</f>
        <v>0.54100000000000004</v>
      </c>
      <c r="V23" s="106">
        <f>'Raw DO600'!E73</f>
        <v>0.52500000000000002</v>
      </c>
      <c r="W23" s="106">
        <f t="shared" si="14"/>
        <v>0.52866666666666662</v>
      </c>
      <c r="X23" s="126">
        <f t="shared" si="15"/>
        <v>1.09696551146029E-2</v>
      </c>
    </row>
    <row r="24" spans="1:24" x14ac:dyDescent="0.3">
      <c r="A24" s="5" t="s">
        <v>113</v>
      </c>
      <c r="B24" s="84">
        <v>33.299999999999997</v>
      </c>
      <c r="C24" s="50">
        <v>727.80924115306891</v>
      </c>
      <c r="D24" s="50">
        <f>IR_3HP!E34</f>
        <v>18.344171977962624</v>
      </c>
      <c r="E24" s="50">
        <v>0</v>
      </c>
      <c r="F24" s="173">
        <f t="shared" si="12"/>
        <v>41.160448206640652</v>
      </c>
      <c r="G24" s="106">
        <f t="shared" si="13"/>
        <v>1.2472454885910986</v>
      </c>
      <c r="H24" s="50">
        <f t="shared" si="9"/>
        <v>29.956954574795329</v>
      </c>
      <c r="I24" s="50">
        <f t="shared" si="10"/>
        <v>13.351057886862367</v>
      </c>
      <c r="J24" s="233"/>
      <c r="K24" s="233"/>
      <c r="L24" s="233"/>
      <c r="M24" s="233"/>
      <c r="N24" s="124">
        <f t="shared" si="11"/>
        <v>0.88991836869787455</v>
      </c>
      <c r="O24" s="233"/>
      <c r="S24" s="5" t="s">
        <v>113</v>
      </c>
      <c r="T24" s="106">
        <f>'Raw DO600'!E83</f>
        <v>0.56499999999999995</v>
      </c>
      <c r="U24" s="106">
        <f>'Raw DO600'!E84</f>
        <v>0.59099999999999997</v>
      </c>
      <c r="V24" s="106">
        <f>'Raw DO600'!E85</f>
        <v>0.58699999999999997</v>
      </c>
      <c r="W24" s="106">
        <f t="shared" si="14"/>
        <v>0.58099999999999996</v>
      </c>
      <c r="X24" s="126">
        <f t="shared" si="15"/>
        <v>1.4000000000000012E-2</v>
      </c>
    </row>
    <row r="25" spans="1:24" ht="15" thickBot="1" x14ac:dyDescent="0.35">
      <c r="A25" s="7" t="s">
        <v>103</v>
      </c>
      <c r="B25" s="85">
        <v>39.299999999999997</v>
      </c>
      <c r="C25" s="51">
        <v>787.45141117193452</v>
      </c>
      <c r="D25" s="51">
        <f>IR_3HP!E38</f>
        <v>20.896186669547365</v>
      </c>
      <c r="E25" s="51">
        <v>0</v>
      </c>
      <c r="F25" s="171">
        <f>AVERAGE('Raw DCW'!G35:G37)</f>
        <v>42.81666666666667</v>
      </c>
      <c r="G25" s="108">
        <f>STDEV('Raw DCW'!G35:G37)</f>
        <v>0.56862407030772999</v>
      </c>
      <c r="H25" s="51">
        <f t="shared" si="9"/>
        <v>33.716044588345</v>
      </c>
      <c r="I25" s="51">
        <f t="shared" si="10"/>
        <v>16.454731681047239</v>
      </c>
      <c r="J25" s="234"/>
      <c r="K25" s="234"/>
      <c r="L25" s="234"/>
      <c r="M25" s="234"/>
      <c r="N25" s="125">
        <f t="shared" si="11"/>
        <v>1.0081306895247422</v>
      </c>
      <c r="O25" s="234"/>
      <c r="S25" s="7" t="s">
        <v>103</v>
      </c>
      <c r="T25" s="108">
        <f>'Raw DO600'!E95</f>
        <v>0.60699999999999998</v>
      </c>
      <c r="U25" s="108">
        <f>'Raw DO600'!E96</f>
        <v>0.63</v>
      </c>
      <c r="V25" s="108">
        <f>'Raw DO600'!E97</f>
        <v>0.621</v>
      </c>
      <c r="W25" s="108">
        <f t="shared" si="14"/>
        <v>0.6193333333333334</v>
      </c>
      <c r="X25" s="127">
        <f t="shared" si="15"/>
        <v>1.1590225767142484E-2</v>
      </c>
    </row>
    <row r="29" spans="1:24" ht="15" thickBot="1" x14ac:dyDescent="0.35"/>
    <row r="30" spans="1:24" ht="15" thickBot="1" x14ac:dyDescent="0.35">
      <c r="B30" s="298" t="s">
        <v>168</v>
      </c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300"/>
    </row>
    <row r="31" spans="1:24" ht="15" thickBot="1" x14ac:dyDescent="0.35">
      <c r="A31" s="1" t="s">
        <v>1</v>
      </c>
      <c r="B31" s="1" t="s">
        <v>92</v>
      </c>
      <c r="C31" s="1" t="s">
        <v>22</v>
      </c>
      <c r="D31" s="1" t="s">
        <v>175</v>
      </c>
      <c r="E31" s="1" t="s">
        <v>180</v>
      </c>
      <c r="F31" s="1" t="s">
        <v>179</v>
      </c>
      <c r="G31" s="1" t="s">
        <v>209</v>
      </c>
      <c r="H31" s="1" t="s">
        <v>210</v>
      </c>
      <c r="I31" s="1" t="s">
        <v>211</v>
      </c>
      <c r="J31" s="52" t="s">
        <v>177</v>
      </c>
      <c r="K31" s="1" t="s">
        <v>165</v>
      </c>
      <c r="L31" s="1" t="s">
        <v>166</v>
      </c>
      <c r="M31" s="1" t="s">
        <v>170</v>
      </c>
    </row>
    <row r="32" spans="1:24" x14ac:dyDescent="0.3">
      <c r="A32" s="5" t="s">
        <v>72</v>
      </c>
      <c r="B32" s="84">
        <v>0</v>
      </c>
      <c r="C32" s="50">
        <v>540</v>
      </c>
      <c r="D32" s="50">
        <f t="shared" ref="D32:D39" si="16">AVERAGE(D4,D18)</f>
        <v>2.4493852232820066</v>
      </c>
      <c r="E32" s="50">
        <f t="shared" ref="E32:E39" si="17">AVERAGE(E18,E4)</f>
        <v>0.47203478416445654</v>
      </c>
      <c r="F32" s="50">
        <f t="shared" ref="F32:F39" si="18">AVERAGE(F4,F18)</f>
        <v>22.604166666666664</v>
      </c>
      <c r="G32" s="50">
        <f t="shared" ref="G32:H39" si="19">STDEV(D18,D4)</f>
        <v>0.1386138265475568</v>
      </c>
      <c r="H32" s="50">
        <f t="shared" si="19"/>
        <v>7.6983173891933043E-2</v>
      </c>
      <c r="I32" s="131">
        <f t="shared" ref="I32:I39" si="20">F32*SQRT((G4/F4)^2+(G18/F18)^2)</f>
        <v>0.52997617784365647</v>
      </c>
      <c r="J32" s="99">
        <v>0</v>
      </c>
      <c r="K32" s="84">
        <f t="shared" ref="K32:K39" si="21">(C32/1000)*F32</f>
        <v>12.206249999999999</v>
      </c>
      <c r="L32" s="50">
        <f t="shared" ref="L32:L39" si="22">(C32/1000)*D32</f>
        <v>1.3226680205722836</v>
      </c>
      <c r="M32" s="50">
        <f t="shared" ref="M32:M39" si="23">(C32/1000)*J32</f>
        <v>0</v>
      </c>
    </row>
    <row r="33" spans="1:13" x14ac:dyDescent="0.3">
      <c r="A33" s="5" t="s">
        <v>4</v>
      </c>
      <c r="B33" s="84">
        <v>5.3</v>
      </c>
      <c r="C33" s="50">
        <v>558.84232992682405</v>
      </c>
      <c r="D33" s="50">
        <f t="shared" si="16"/>
        <v>4.9927372648665802</v>
      </c>
      <c r="E33" s="50">
        <f t="shared" si="17"/>
        <v>0</v>
      </c>
      <c r="F33" s="50">
        <f t="shared" si="18"/>
        <v>25.692809896055671</v>
      </c>
      <c r="G33" s="50">
        <f t="shared" si="19"/>
        <v>0.14028032087620601</v>
      </c>
      <c r="H33" s="50">
        <f t="shared" si="19"/>
        <v>0</v>
      </c>
      <c r="I33" s="131">
        <f t="shared" si="20"/>
        <v>1.4776021415438794</v>
      </c>
      <c r="J33" s="50">
        <f>(C33-$C$32)*396/C33</f>
        <v>13.351820811425211</v>
      </c>
      <c r="K33" s="84">
        <f t="shared" si="21"/>
        <v>14.358229744678713</v>
      </c>
      <c r="L33" s="50">
        <f t="shared" si="22"/>
        <v>2.7901529258105184</v>
      </c>
      <c r="M33" s="50">
        <f t="shared" si="23"/>
        <v>7.461562651022323</v>
      </c>
    </row>
    <row r="34" spans="1:13" x14ac:dyDescent="0.3">
      <c r="A34" s="5" t="s">
        <v>6</v>
      </c>
      <c r="B34" s="84">
        <v>10.8</v>
      </c>
      <c r="C34" s="50">
        <v>581.97058232399388</v>
      </c>
      <c r="D34" s="50">
        <f t="shared" si="16"/>
        <v>7.8942089650191214</v>
      </c>
      <c r="E34" s="50">
        <f t="shared" si="17"/>
        <v>0</v>
      </c>
      <c r="F34" s="50">
        <f t="shared" si="18"/>
        <v>27.487528234383092</v>
      </c>
      <c r="G34" s="50">
        <f t="shared" si="19"/>
        <v>4.8381837731612948E-2</v>
      </c>
      <c r="H34" s="50">
        <f t="shared" si="19"/>
        <v>0</v>
      </c>
      <c r="I34" s="131">
        <f t="shared" si="20"/>
        <v>1.1700904040852618</v>
      </c>
      <c r="J34" s="50">
        <f t="shared" ref="J34:J39" si="24">(C34-$C$32)*396/C34</f>
        <v>28.558746962657843</v>
      </c>
      <c r="K34" s="84">
        <f t="shared" si="21"/>
        <v>15.996932813211151</v>
      </c>
      <c r="L34" s="50">
        <f t="shared" si="22"/>
        <v>4.5941973883594711</v>
      </c>
      <c r="M34" s="50">
        <f t="shared" si="23"/>
        <v>16.620350600301578</v>
      </c>
    </row>
    <row r="35" spans="1:13" x14ac:dyDescent="0.3">
      <c r="A35" s="5" t="s">
        <v>8</v>
      </c>
      <c r="B35" s="84">
        <v>16.3</v>
      </c>
      <c r="C35" s="50">
        <v>609.24788404903586</v>
      </c>
      <c r="D35" s="50">
        <f t="shared" si="16"/>
        <v>10.812266836621077</v>
      </c>
      <c r="E35" s="50">
        <f t="shared" si="17"/>
        <v>0</v>
      </c>
      <c r="F35" s="50">
        <f t="shared" si="18"/>
        <v>29.459356935045452</v>
      </c>
      <c r="G35" s="50">
        <f t="shared" si="19"/>
        <v>0.16379549297932228</v>
      </c>
      <c r="H35" s="50">
        <f t="shared" si="19"/>
        <v>0</v>
      </c>
      <c r="I35" s="131">
        <f t="shared" si="20"/>
        <v>1.1548893474916198</v>
      </c>
      <c r="J35" s="50">
        <f t="shared" si="24"/>
        <v>45.00986019216294</v>
      </c>
      <c r="K35" s="84">
        <f t="shared" si="21"/>
        <v>17.94805087812173</v>
      </c>
      <c r="L35" s="50">
        <f t="shared" si="22"/>
        <v>6.5873506919849536</v>
      </c>
      <c r="M35" s="50">
        <f t="shared" si="23"/>
        <v>27.4221620834182</v>
      </c>
    </row>
    <row r="36" spans="1:13" x14ac:dyDescent="0.3">
      <c r="A36" s="5" t="s">
        <v>10</v>
      </c>
      <c r="B36" s="84">
        <v>21.8</v>
      </c>
      <c r="C36" s="50">
        <v>641.41854600056502</v>
      </c>
      <c r="D36" s="50">
        <f t="shared" si="16"/>
        <v>13.695776479942598</v>
      </c>
      <c r="E36" s="50">
        <f t="shared" si="17"/>
        <v>0</v>
      </c>
      <c r="F36" s="50">
        <f t="shared" si="18"/>
        <v>32.616666666666667</v>
      </c>
      <c r="G36" s="50">
        <f t="shared" si="19"/>
        <v>0.3418743843037893</v>
      </c>
      <c r="H36" s="50">
        <f t="shared" si="19"/>
        <v>0</v>
      </c>
      <c r="I36" s="131">
        <f t="shared" si="20"/>
        <v>0.38051600658883761</v>
      </c>
      <c r="J36" s="50">
        <f t="shared" si="24"/>
        <v>62.613942903029766</v>
      </c>
      <c r="K36" s="84">
        <f t="shared" si="21"/>
        <v>20.920934908718429</v>
      </c>
      <c r="L36" s="50">
        <f t="shared" si="22"/>
        <v>8.7847250361135174</v>
      </c>
      <c r="M36" s="50">
        <f t="shared" si="23"/>
        <v>40.161744216223752</v>
      </c>
    </row>
    <row r="37" spans="1:13" x14ac:dyDescent="0.3">
      <c r="A37" s="5" t="s">
        <v>12</v>
      </c>
      <c r="B37" s="84">
        <v>27.3</v>
      </c>
      <c r="C37" s="50">
        <v>679.36040333058884</v>
      </c>
      <c r="D37" s="50">
        <f t="shared" si="16"/>
        <v>16.227254701528505</v>
      </c>
      <c r="E37" s="50">
        <f t="shared" si="17"/>
        <v>0</v>
      </c>
      <c r="F37" s="50">
        <f t="shared" si="18"/>
        <v>37.641855674919796</v>
      </c>
      <c r="G37" s="50">
        <f t="shared" si="19"/>
        <v>0.67704069129926414</v>
      </c>
      <c r="H37" s="50">
        <f t="shared" si="19"/>
        <v>0</v>
      </c>
      <c r="I37" s="131">
        <f t="shared" si="20"/>
        <v>1.4416927998552365</v>
      </c>
      <c r="J37" s="50">
        <f t="shared" si="24"/>
        <v>81.233347496201276</v>
      </c>
      <c r="K37" s="84">
        <f t="shared" si="21"/>
        <v>25.572386253425329</v>
      </c>
      <c r="L37" s="50">
        <f t="shared" si="22"/>
        <v>11.024154298978599</v>
      </c>
      <c r="M37" s="50">
        <f t="shared" si="23"/>
        <v>55.186719718913182</v>
      </c>
    </row>
    <row r="38" spans="1:13" x14ac:dyDescent="0.3">
      <c r="A38" s="5" t="s">
        <v>14</v>
      </c>
      <c r="B38" s="84">
        <v>33.299999999999997</v>
      </c>
      <c r="C38" s="50">
        <v>727.80924115306891</v>
      </c>
      <c r="D38" s="50">
        <f t="shared" si="16"/>
        <v>18.829297986821036</v>
      </c>
      <c r="E38" s="50">
        <f t="shared" si="17"/>
        <v>0</v>
      </c>
      <c r="F38" s="50">
        <f t="shared" si="18"/>
        <v>41.62093514871151</v>
      </c>
      <c r="G38" s="50">
        <f t="shared" si="19"/>
        <v>0.68607178118749645</v>
      </c>
      <c r="H38" s="50">
        <f t="shared" si="19"/>
        <v>0</v>
      </c>
      <c r="I38" s="131">
        <f t="shared" si="20"/>
        <v>1.7420101301240449</v>
      </c>
      <c r="J38" s="50">
        <f t="shared" si="24"/>
        <v>102.18674797092014</v>
      </c>
      <c r="K38" s="84">
        <f t="shared" si="21"/>
        <v>30.292101226664816</v>
      </c>
      <c r="L38" s="50">
        <f t="shared" si="22"/>
        <v>13.704137079233226</v>
      </c>
      <c r="M38" s="50">
        <f t="shared" si="23"/>
        <v>74.372459496615292</v>
      </c>
    </row>
    <row r="39" spans="1:13" ht="15" thickBot="1" x14ac:dyDescent="0.35">
      <c r="A39" s="7" t="s">
        <v>16</v>
      </c>
      <c r="B39" s="85">
        <v>39.299999999999997</v>
      </c>
      <c r="C39" s="51">
        <v>787.45141117193452</v>
      </c>
      <c r="D39" s="51">
        <f t="shared" si="16"/>
        <v>21.409156439754781</v>
      </c>
      <c r="E39" s="51">
        <f t="shared" si="17"/>
        <v>0</v>
      </c>
      <c r="F39" s="51">
        <f t="shared" si="18"/>
        <v>44.333333333333336</v>
      </c>
      <c r="G39" s="51">
        <f t="shared" si="19"/>
        <v>0.72544880611474039</v>
      </c>
      <c r="H39" s="51">
        <f t="shared" si="19"/>
        <v>0</v>
      </c>
      <c r="I39" s="132">
        <f t="shared" si="20"/>
        <v>0.6842420775997754</v>
      </c>
      <c r="J39" s="51">
        <f t="shared" si="24"/>
        <v>124.440387602138</v>
      </c>
      <c r="K39" s="85">
        <f t="shared" si="21"/>
        <v>34.910345895289097</v>
      </c>
      <c r="L39" s="51">
        <f t="shared" si="22"/>
        <v>16.858670450485612</v>
      </c>
      <c r="M39" s="51">
        <f t="shared" si="23"/>
        <v>97.990758824086072</v>
      </c>
    </row>
  </sheetData>
  <mergeCells count="13">
    <mergeCell ref="B30:M30"/>
    <mergeCell ref="B2:O2"/>
    <mergeCell ref="J18:J25"/>
    <mergeCell ref="K18:K25"/>
    <mergeCell ref="L18:L25"/>
    <mergeCell ref="M18:M25"/>
    <mergeCell ref="O18:O25"/>
    <mergeCell ref="B16:O16"/>
    <mergeCell ref="J4:J11"/>
    <mergeCell ref="K4:K11"/>
    <mergeCell ref="L4:L11"/>
    <mergeCell ref="M4:M11"/>
    <mergeCell ref="O4:O11"/>
  </mergeCells>
  <pageMargins left="0.7" right="0.7" top="0.75" bottom="0.75" header="0.3" footer="0.3"/>
  <ignoredErrors>
    <ignoredError sqref="E32:E39 W7:X7 F8:G8 F22:G2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22AB-6319-4AAA-9E39-1EE1899675F3}">
  <dimension ref="A1:AA42"/>
  <sheetViews>
    <sheetView zoomScale="50" zoomScaleNormal="50" workbookViewId="0">
      <selection activeCell="O32" sqref="O32"/>
    </sheetView>
  </sheetViews>
  <sheetFormatPr baseColWidth="10" defaultColWidth="8.77734375" defaultRowHeight="14.4" x14ac:dyDescent="0.3"/>
  <cols>
    <col min="1" max="1" width="10.77734375" bestFit="1" customWidth="1"/>
    <col min="2" max="2" width="17.77734375" bestFit="1" customWidth="1"/>
    <col min="3" max="3" width="19.77734375" bestFit="1" customWidth="1"/>
    <col min="4" max="4" width="17.77734375" bestFit="1" customWidth="1"/>
    <col min="5" max="5" width="22" bestFit="1" customWidth="1"/>
    <col min="6" max="6" width="21.77734375" customWidth="1"/>
    <col min="7" max="7" width="17.21875" customWidth="1"/>
    <col min="8" max="8" width="20.77734375" customWidth="1"/>
    <col min="9" max="9" width="16.77734375" customWidth="1"/>
    <col min="10" max="10" width="21.21875" customWidth="1"/>
    <col min="11" max="11" width="11.77734375" customWidth="1"/>
    <col min="12" max="12" width="13.21875" customWidth="1"/>
    <col min="13" max="13" width="16.77734375" customWidth="1"/>
    <col min="14" max="15" width="14.77734375" customWidth="1"/>
    <col min="19" max="19" width="11.21875" bestFit="1" customWidth="1"/>
    <col min="20" max="20" width="10.21875" customWidth="1"/>
  </cols>
  <sheetData>
    <row r="1" spans="1:27" ht="15" thickBot="1" x14ac:dyDescent="0.35"/>
    <row r="2" spans="1:27" ht="15" thickBot="1" x14ac:dyDescent="0.35">
      <c r="B2" s="301" t="s">
        <v>261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3"/>
      <c r="Z2" s="167" t="s">
        <v>191</v>
      </c>
    </row>
    <row r="3" spans="1:27" ht="15" thickBot="1" x14ac:dyDescent="0.35">
      <c r="A3" s="1" t="s">
        <v>1</v>
      </c>
      <c r="B3" s="100" t="s">
        <v>92</v>
      </c>
      <c r="C3" s="100" t="s">
        <v>22</v>
      </c>
      <c r="D3" s="100" t="s">
        <v>175</v>
      </c>
      <c r="E3" s="100" t="s">
        <v>178</v>
      </c>
      <c r="F3" s="100" t="s">
        <v>176</v>
      </c>
      <c r="G3" s="100" t="s">
        <v>211</v>
      </c>
      <c r="H3" s="100" t="s">
        <v>165</v>
      </c>
      <c r="I3" s="100" t="s">
        <v>166</v>
      </c>
      <c r="J3" s="1" t="s">
        <v>204</v>
      </c>
      <c r="K3" s="1" t="s">
        <v>205</v>
      </c>
      <c r="L3" s="1" t="s">
        <v>206</v>
      </c>
      <c r="M3" s="1" t="s">
        <v>207</v>
      </c>
      <c r="N3" s="1" t="s">
        <v>208</v>
      </c>
      <c r="O3" s="101" t="s">
        <v>171</v>
      </c>
      <c r="S3" s="1" t="s">
        <v>1</v>
      </c>
      <c r="T3" s="1" t="s">
        <v>161</v>
      </c>
      <c r="U3" s="1" t="s">
        <v>162</v>
      </c>
      <c r="V3" s="1" t="s">
        <v>163</v>
      </c>
      <c r="W3" s="1" t="s">
        <v>19</v>
      </c>
      <c r="X3" s="1" t="s">
        <v>181</v>
      </c>
      <c r="Z3" s="86" t="s">
        <v>185</v>
      </c>
      <c r="AA3" s="114">
        <f>'Raw DCW'!AN95</f>
        <v>0.35290863020414126</v>
      </c>
    </row>
    <row r="4" spans="1:27" ht="15" thickBot="1" x14ac:dyDescent="0.35">
      <c r="A4" s="4" t="s">
        <v>267</v>
      </c>
      <c r="B4" s="84">
        <v>0</v>
      </c>
      <c r="C4" s="50">
        <v>540</v>
      </c>
      <c r="D4" s="50">
        <f>IR_3HP!E59</f>
        <v>1.0076000000000001</v>
      </c>
      <c r="E4" s="99">
        <f>IR_3HP!O59</f>
        <v>0.56179999999999997</v>
      </c>
      <c r="F4" s="190">
        <f>AVERAGE('Raw DCW'!G66:G68)</f>
        <v>20.349999999999998</v>
      </c>
      <c r="G4" s="130">
        <f>STDEV('Raw DCW'!G66:G68)</f>
        <v>0.14999999999999858</v>
      </c>
      <c r="H4" s="99">
        <f t="shared" ref="H4:H11" si="0">(C4/1000)*F4</f>
        <v>10.988999999999999</v>
      </c>
      <c r="I4" s="99">
        <f>(C4/1000)*D4</f>
        <v>0.54410400000000003</v>
      </c>
      <c r="J4" s="232">
        <f>SLOPE(H4:H11,M32:M39)</f>
        <v>0.19844404601752899</v>
      </c>
      <c r="K4" s="232">
        <f>SLOPE(I4:I11,M32:M39)</f>
        <v>0.1500777601870556</v>
      </c>
      <c r="L4" s="232">
        <f>K4*(32.04/90.08)*3</f>
        <v>0.16014070059036173</v>
      </c>
      <c r="M4" s="232">
        <f>SLOPE(I4:I11,H4:H11)</f>
        <v>0.75196259379550423</v>
      </c>
      <c r="N4" s="130">
        <f t="shared" ref="N4:N11" si="1">LN((F4*C4)/($F$4*$C$4))</f>
        <v>0</v>
      </c>
      <c r="O4" s="232">
        <f>SLOPE(N4:N11,B4:B11)</f>
        <v>2.6428293400191372E-2</v>
      </c>
      <c r="S4" s="4" t="s">
        <v>267</v>
      </c>
      <c r="T4" s="126">
        <f>'Raw DO600'!E102</f>
        <v>0.53500000000000003</v>
      </c>
      <c r="U4" s="126">
        <f>'Raw DO600'!E103</f>
        <v>0.52100000000000002</v>
      </c>
      <c r="V4" s="126">
        <f>'Raw DO600'!E104</f>
        <v>0.53200000000000003</v>
      </c>
      <c r="W4" s="168">
        <f>AVERAGE(T4:V4)</f>
        <v>0.52933333333333332</v>
      </c>
      <c r="X4" s="168">
        <f>STDEV(T4:V4)</f>
        <v>7.3711147958320008E-3</v>
      </c>
      <c r="Z4" s="86" t="s">
        <v>181</v>
      </c>
      <c r="AA4" s="114">
        <f>'Raw DCW'!AO95</f>
        <v>6.539604776445663E-3</v>
      </c>
    </row>
    <row r="5" spans="1:27" x14ac:dyDescent="0.3">
      <c r="A5" s="6" t="s">
        <v>275</v>
      </c>
      <c r="B5" s="84">
        <v>5.3</v>
      </c>
      <c r="C5" s="50">
        <v>558.84232992682405</v>
      </c>
      <c r="D5" s="50">
        <f>IR_3HP!E61</f>
        <v>2.0095999999999998</v>
      </c>
      <c r="E5" s="50">
        <v>0</v>
      </c>
      <c r="F5" s="173">
        <f>$AA$3*W5*200</f>
        <v>20.539282277881021</v>
      </c>
      <c r="G5" s="106">
        <f>F5*SQRT(($AA$4/$AA$3)^2+(X5/W5)^2)</f>
        <v>0.42394884697405322</v>
      </c>
      <c r="H5" s="50">
        <f t="shared" si="0"/>
        <v>11.478220363195756</v>
      </c>
      <c r="I5" s="50">
        <f t="shared" ref="I5:I11" si="2">(C5/1000)*D5</f>
        <v>1.1230495462209455</v>
      </c>
      <c r="J5" s="233"/>
      <c r="K5" s="233"/>
      <c r="L5" s="233"/>
      <c r="M5" s="233"/>
      <c r="N5" s="106">
        <f t="shared" si="1"/>
        <v>4.3556585782146849E-2</v>
      </c>
      <c r="O5" s="233"/>
      <c r="S5" s="6" t="s">
        <v>275</v>
      </c>
      <c r="T5" s="126">
        <f>'Raw DO600'!E108</f>
        <v>0.29399999999999998</v>
      </c>
      <c r="U5" s="126">
        <f>'Raw DO600'!E109</f>
        <v>0.28899999999999998</v>
      </c>
      <c r="V5" s="126">
        <f>'Raw DO600'!E110</f>
        <v>0.28999999999999998</v>
      </c>
      <c r="W5" s="126">
        <f t="shared" ref="W5:W11" si="3">AVERAGE(T5:V5)</f>
        <v>0.29099999999999998</v>
      </c>
      <c r="X5" s="126">
        <f t="shared" ref="X5:X11" si="4">STDEV(T5:V5)</f>
        <v>2.6457513110645929E-3</v>
      </c>
    </row>
    <row r="6" spans="1:27" x14ac:dyDescent="0.3">
      <c r="A6" s="6" t="s">
        <v>269</v>
      </c>
      <c r="B6" s="84">
        <v>10.8</v>
      </c>
      <c r="C6" s="50">
        <v>581.97058232399388</v>
      </c>
      <c r="D6" s="50">
        <f>IR_3HP!E63</f>
        <v>4.3262999999999998</v>
      </c>
      <c r="E6" s="50">
        <v>0</v>
      </c>
      <c r="F6" s="173">
        <f>$AA$3*W6*200</f>
        <v>22.421461638969777</v>
      </c>
      <c r="G6" s="106">
        <f>F6*SQRT(($AA$4/$AA$3)^2+(X6/W6)^2)</f>
        <v>0.90384525882899713</v>
      </c>
      <c r="H6" s="50">
        <f t="shared" si="0"/>
        <v>13.048631086586331</v>
      </c>
      <c r="I6" s="50">
        <f t="shared" si="2"/>
        <v>2.5177793303082949</v>
      </c>
      <c r="J6" s="233"/>
      <c r="K6" s="233"/>
      <c r="L6" s="233"/>
      <c r="M6" s="233"/>
      <c r="N6" s="106">
        <f t="shared" si="1"/>
        <v>0.17178845822218833</v>
      </c>
      <c r="O6" s="233"/>
      <c r="S6" s="6" t="s">
        <v>269</v>
      </c>
      <c r="T6" s="126">
        <f>'Raw DO600'!E114</f>
        <v>0.30499999999999999</v>
      </c>
      <c r="U6" s="126">
        <f>'Raw DO600'!E115</f>
        <v>0.32100000000000001</v>
      </c>
      <c r="V6" s="126">
        <f>'Raw DO600'!E116</f>
        <v>0.32700000000000001</v>
      </c>
      <c r="W6" s="126">
        <f t="shared" si="3"/>
        <v>0.31766666666666671</v>
      </c>
      <c r="X6" s="126">
        <f t="shared" si="4"/>
        <v>1.1372481406154664E-2</v>
      </c>
    </row>
    <row r="7" spans="1:27" x14ac:dyDescent="0.3">
      <c r="A7" s="6" t="s">
        <v>276</v>
      </c>
      <c r="B7" s="84">
        <v>16.3</v>
      </c>
      <c r="C7" s="50">
        <v>609.24788404903586</v>
      </c>
      <c r="D7" s="50">
        <f>IR_3HP!E65</f>
        <v>7.2622999999999998</v>
      </c>
      <c r="E7" s="50">
        <v>0</v>
      </c>
      <c r="F7" s="173">
        <f>$AA$3*W7*200</f>
        <v>25.668221036847871</v>
      </c>
      <c r="G7" s="106">
        <f>F7*SQRT(($AA$4/$AA$3)^2+(X7/W7)^2)</f>
        <v>0.69064455851260464</v>
      </c>
      <c r="H7" s="50">
        <f t="shared" si="0"/>
        <v>15.638309354002514</v>
      </c>
      <c r="I7" s="50">
        <f t="shared" si="2"/>
        <v>4.4245409083293126</v>
      </c>
      <c r="J7" s="233"/>
      <c r="K7" s="233"/>
      <c r="L7" s="233"/>
      <c r="M7" s="233"/>
      <c r="N7" s="106">
        <f t="shared" si="1"/>
        <v>0.35282885923924312</v>
      </c>
      <c r="O7" s="233"/>
      <c r="S7" s="6" t="s">
        <v>276</v>
      </c>
      <c r="T7" s="126">
        <f>'Raw DO600'!E120</f>
        <v>0.35599999999999998</v>
      </c>
      <c r="U7" s="126">
        <f>'Raw DO600'!E121</f>
        <v>0.37</v>
      </c>
      <c r="V7" s="126">
        <f>'Raw DO600'!E122</f>
        <v>0.36499999999999999</v>
      </c>
      <c r="W7" s="126">
        <f t="shared" si="3"/>
        <v>0.36366666666666664</v>
      </c>
      <c r="X7" s="126">
        <f t="shared" si="4"/>
        <v>7.0945988845975937E-3</v>
      </c>
    </row>
    <row r="8" spans="1:27" x14ac:dyDescent="0.3">
      <c r="A8" s="6" t="s">
        <v>271</v>
      </c>
      <c r="B8" s="84">
        <v>21.8</v>
      </c>
      <c r="C8" s="50">
        <v>641.41854600056502</v>
      </c>
      <c r="D8" s="50">
        <f>IR_3HP!E67</f>
        <v>10.0877</v>
      </c>
      <c r="E8" s="50">
        <v>0</v>
      </c>
      <c r="F8" s="170">
        <f>AVERAGE('Raw DCW'!G72:G74)</f>
        <v>27.599999999999991</v>
      </c>
      <c r="G8" s="106">
        <f>STDEV('Raw DCW'!G72:G74)</f>
        <v>0.17320508075688609</v>
      </c>
      <c r="H8" s="50">
        <f t="shared" si="0"/>
        <v>17.703151869615589</v>
      </c>
      <c r="I8" s="50">
        <f t="shared" si="2"/>
        <v>6.4704378664898998</v>
      </c>
      <c r="J8" s="233"/>
      <c r="K8" s="233"/>
      <c r="L8" s="233"/>
      <c r="M8" s="233"/>
      <c r="N8" s="106">
        <f t="shared" si="1"/>
        <v>0.47684792299180234</v>
      </c>
      <c r="O8" s="233"/>
      <c r="S8" s="6" t="s">
        <v>271</v>
      </c>
      <c r="T8" s="126">
        <f>'Raw DO600'!E126</f>
        <v>0.42499999999999999</v>
      </c>
      <c r="U8" s="126">
        <f>'Raw DO600'!E127</f>
        <v>0.42</v>
      </c>
      <c r="V8" s="126">
        <f>'Raw DO600'!E128</f>
        <v>0.41899999999999998</v>
      </c>
      <c r="W8" s="126">
        <f t="shared" si="3"/>
        <v>0.42133333333333334</v>
      </c>
      <c r="X8" s="126">
        <f t="shared" si="4"/>
        <v>3.2145502536643214E-3</v>
      </c>
    </row>
    <row r="9" spans="1:27" x14ac:dyDescent="0.3">
      <c r="A9" s="6" t="s">
        <v>277</v>
      </c>
      <c r="B9" s="84">
        <v>27.3</v>
      </c>
      <c r="C9" s="50">
        <v>679.36040333058884</v>
      </c>
      <c r="D9" s="50">
        <f>IR_3HP!E69</f>
        <v>13.065799999999999</v>
      </c>
      <c r="E9" s="50">
        <v>0</v>
      </c>
      <c r="F9" s="173">
        <f>$AA$3*W9*200</f>
        <v>30.585414617692241</v>
      </c>
      <c r="G9" s="106">
        <f>F9*SQRT(($AA$4/$AA$3)^2+(X9/W9)^2)</f>
        <v>0.88947812251822722</v>
      </c>
      <c r="H9" s="50">
        <f t="shared" si="0"/>
        <v>20.778519610708688</v>
      </c>
      <c r="I9" s="50">
        <f t="shared" si="2"/>
        <v>8.8763871578368079</v>
      </c>
      <c r="J9" s="233"/>
      <c r="K9" s="233"/>
      <c r="L9" s="233"/>
      <c r="M9" s="233"/>
      <c r="N9" s="106">
        <f t="shared" si="1"/>
        <v>0.63702496960542498</v>
      </c>
      <c r="O9" s="233"/>
      <c r="S9" s="6" t="s">
        <v>277</v>
      </c>
      <c r="T9" s="126">
        <f>'Raw DO600'!E132</f>
        <v>0.44400000000000001</v>
      </c>
      <c r="U9" s="126">
        <f>'Raw DO600'!E133</f>
        <v>0.43099999999999999</v>
      </c>
      <c r="V9" s="126">
        <f>'Raw DO600'!E134</f>
        <v>0.42499999999999999</v>
      </c>
      <c r="W9" s="126">
        <f t="shared" si="3"/>
        <v>0.43333333333333335</v>
      </c>
      <c r="X9" s="126">
        <f t="shared" si="4"/>
        <v>9.7125348562223188E-3</v>
      </c>
    </row>
    <row r="10" spans="1:27" x14ac:dyDescent="0.3">
      <c r="A10" s="6" t="s">
        <v>278</v>
      </c>
      <c r="B10" s="84">
        <v>33.299999999999997</v>
      </c>
      <c r="C10" s="50">
        <v>727.80924115306891</v>
      </c>
      <c r="D10" s="50">
        <f>IR_3HP!E71</f>
        <v>15.967700000000001</v>
      </c>
      <c r="E10" s="50">
        <v>0</v>
      </c>
      <c r="F10" s="190">
        <f>AVERAGE('Raw DCW'!G78:G80)</f>
        <v>33.666666666666679</v>
      </c>
      <c r="G10" s="106">
        <f>STDEV('Raw DCW'!G78:G80)</f>
        <v>0.2309401076758536</v>
      </c>
      <c r="H10" s="50">
        <f t="shared" si="0"/>
        <v>24.502911118819995</v>
      </c>
      <c r="I10" s="50">
        <f t="shared" si="2"/>
        <v>11.621439619959858</v>
      </c>
      <c r="J10" s="233"/>
      <c r="K10" s="233"/>
      <c r="L10" s="233"/>
      <c r="M10" s="233"/>
      <c r="N10" s="106">
        <f t="shared" si="1"/>
        <v>0.80189715920354399</v>
      </c>
      <c r="O10" s="233"/>
      <c r="S10" s="6" t="s">
        <v>278</v>
      </c>
      <c r="T10" s="126">
        <f>'Raw DO600'!E138</f>
        <v>0.46400000000000002</v>
      </c>
      <c r="U10" s="126">
        <f>'Raw DO600'!E139</f>
        <v>0.47599999999999998</v>
      </c>
      <c r="V10" s="126">
        <f>'Raw DO600'!E140</f>
        <v>0.48299999999999998</v>
      </c>
      <c r="W10" s="126">
        <f t="shared" si="3"/>
        <v>0.47433333333333333</v>
      </c>
      <c r="X10" s="126">
        <f t="shared" si="4"/>
        <v>9.6090235369330271E-3</v>
      </c>
    </row>
    <row r="11" spans="1:27" ht="15" thickBot="1" x14ac:dyDescent="0.35">
      <c r="A11" s="2" t="s">
        <v>273</v>
      </c>
      <c r="B11" s="85">
        <v>39.299999999999997</v>
      </c>
      <c r="C11" s="51">
        <v>787.45141117193452</v>
      </c>
      <c r="D11" s="51">
        <f>IR_3HP!E73</f>
        <v>18.7014</v>
      </c>
      <c r="E11" s="51">
        <v>0</v>
      </c>
      <c r="F11" s="171">
        <f>AVERAGE('Raw DCW'!G84:G86)</f>
        <v>38.433333333333337</v>
      </c>
      <c r="G11" s="108">
        <f>STDEV('Raw DCW'!G84:G86)</f>
        <v>0.10408329997330072</v>
      </c>
      <c r="H11" s="51">
        <f t="shared" si="0"/>
        <v>30.264382569374686</v>
      </c>
      <c r="I11" s="51">
        <f t="shared" si="2"/>
        <v>14.726443820890816</v>
      </c>
      <c r="J11" s="234"/>
      <c r="K11" s="234"/>
      <c r="L11" s="234"/>
      <c r="M11" s="234"/>
      <c r="N11" s="108">
        <f t="shared" si="1"/>
        <v>1.0130767558571079</v>
      </c>
      <c r="O11" s="234"/>
      <c r="S11" s="2" t="s">
        <v>273</v>
      </c>
      <c r="T11" s="127">
        <f>'Raw DO600'!E144</f>
        <v>0.52900000000000003</v>
      </c>
      <c r="U11" s="127">
        <f>'Raw DO600'!E145</f>
        <v>0.52400000000000002</v>
      </c>
      <c r="V11" s="127">
        <f>'Raw DO600'!E146</f>
        <v>0.52500000000000002</v>
      </c>
      <c r="W11" s="127">
        <f t="shared" si="3"/>
        <v>0.52599999999999991</v>
      </c>
      <c r="X11" s="127">
        <f t="shared" si="4"/>
        <v>2.6457513110645929E-3</v>
      </c>
    </row>
    <row r="12" spans="1:27" x14ac:dyDescent="0.3">
      <c r="A12" s="10"/>
      <c r="B12" s="10"/>
      <c r="C12" s="58"/>
      <c r="D12" s="58"/>
      <c r="E12" s="58"/>
    </row>
    <row r="13" spans="1:27" x14ac:dyDescent="0.3">
      <c r="A13" s="10"/>
      <c r="B13" s="172"/>
      <c r="C13" t="s">
        <v>265</v>
      </c>
      <c r="E13" s="174"/>
      <c r="F13" t="s">
        <v>266</v>
      </c>
      <c r="S13" s="115"/>
    </row>
    <row r="15" spans="1:27" ht="15" thickBot="1" x14ac:dyDescent="0.35"/>
    <row r="16" spans="1:27" ht="15" thickBot="1" x14ac:dyDescent="0.35">
      <c r="B16" s="301" t="s">
        <v>262</v>
      </c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3"/>
    </row>
    <row r="17" spans="1:24" ht="15" thickBot="1" x14ac:dyDescent="0.35">
      <c r="A17" s="1" t="s">
        <v>1</v>
      </c>
      <c r="B17" s="100" t="s">
        <v>92</v>
      </c>
      <c r="C17" s="100" t="s">
        <v>22</v>
      </c>
      <c r="D17" s="100" t="s">
        <v>23</v>
      </c>
      <c r="E17" s="100" t="s">
        <v>167</v>
      </c>
      <c r="F17" s="100" t="s">
        <v>176</v>
      </c>
      <c r="G17" s="100" t="s">
        <v>211</v>
      </c>
      <c r="H17" s="100" t="s">
        <v>165</v>
      </c>
      <c r="I17" s="100" t="s">
        <v>166</v>
      </c>
      <c r="J17" s="1" t="s">
        <v>204</v>
      </c>
      <c r="K17" s="1" t="s">
        <v>205</v>
      </c>
      <c r="L17" s="1" t="s">
        <v>206</v>
      </c>
      <c r="M17" s="1" t="s">
        <v>207</v>
      </c>
      <c r="N17" s="1" t="s">
        <v>208</v>
      </c>
      <c r="O17" s="101" t="s">
        <v>171</v>
      </c>
      <c r="S17" s="1" t="s">
        <v>1</v>
      </c>
      <c r="T17" s="1" t="s">
        <v>161</v>
      </c>
      <c r="U17" s="1" t="s">
        <v>162</v>
      </c>
      <c r="V17" s="1" t="s">
        <v>163</v>
      </c>
      <c r="W17" s="1" t="s">
        <v>19</v>
      </c>
      <c r="X17" s="1" t="s">
        <v>181</v>
      </c>
    </row>
    <row r="18" spans="1:24" x14ac:dyDescent="0.3">
      <c r="A18" s="4" t="s">
        <v>268</v>
      </c>
      <c r="B18" s="84">
        <v>0</v>
      </c>
      <c r="C18" s="50">
        <v>540</v>
      </c>
      <c r="D18" s="50">
        <f>IR_3HP!E60</f>
        <v>1.1508</v>
      </c>
      <c r="E18" s="50">
        <f>IR_3HP!O60</f>
        <v>0.43380000000000002</v>
      </c>
      <c r="F18" s="190">
        <f>AVERAGE('Raw DCW'!G69:G71)</f>
        <v>20.299999999999997</v>
      </c>
      <c r="G18" s="130">
        <f>STDEV('Raw DCW'!G69:G71)</f>
        <v>0.15000000000000568</v>
      </c>
      <c r="H18" s="99">
        <f t="shared" ref="H18:H25" si="5">(C18/1000)*F18</f>
        <v>10.962</v>
      </c>
      <c r="I18" s="99">
        <f>(C18/1000)*D18</f>
        <v>0.6214320000000001</v>
      </c>
      <c r="J18" s="232">
        <f>SLOPE(H18:H25,M32:M39)</f>
        <v>0.20398075298013255</v>
      </c>
      <c r="K18" s="232">
        <f>SLOPE(I18:I25,M32:M39)</f>
        <v>0.15401606012670979</v>
      </c>
      <c r="L18" s="232">
        <f>K18*(32.04/90.08)*3</f>
        <v>0.16434306948689326</v>
      </c>
      <c r="M18" s="232">
        <f>SLOPE(I18:I25,H18:H25)</f>
        <v>0.75165896819061007</v>
      </c>
      <c r="N18" s="130">
        <f t="shared" ref="N18:N25" si="6">LN((F18*C18)/($F$18*$C$18))</f>
        <v>0</v>
      </c>
      <c r="O18" s="232">
        <f>SLOPE(N18:N25,B18:B25)</f>
        <v>2.6806526971243586E-2</v>
      </c>
      <c r="S18" s="4" t="s">
        <v>268</v>
      </c>
      <c r="T18" s="106">
        <f>'Raw DO600'!E105</f>
        <v>0.52</v>
      </c>
      <c r="U18" s="106">
        <f>'Raw DO600'!E106</f>
        <v>0.504</v>
      </c>
      <c r="V18" s="106">
        <f>'Raw DO600'!E107</f>
        <v>0.52700000000000002</v>
      </c>
      <c r="W18" s="130">
        <f>AVERAGE(T18:V18)</f>
        <v>0.51700000000000002</v>
      </c>
      <c r="X18" s="168">
        <f>STDEV(T18:V18)</f>
        <v>1.1789826122551606E-2</v>
      </c>
    </row>
    <row r="19" spans="1:24" x14ac:dyDescent="0.3">
      <c r="A19" s="6" t="s">
        <v>279</v>
      </c>
      <c r="B19" s="84">
        <v>5.3</v>
      </c>
      <c r="C19" s="50">
        <v>558.84232992682405</v>
      </c>
      <c r="D19" s="50">
        <f>IR_3HP!E62</f>
        <v>2.1943000000000001</v>
      </c>
      <c r="E19" s="50">
        <v>0</v>
      </c>
      <c r="F19" s="173">
        <f>$AA$3*W19*200</f>
        <v>20.680445729962678</v>
      </c>
      <c r="G19" s="106">
        <f>F19*SQRT(($AA$4/$AA$3)^2+(X19/W19)^2)</f>
        <v>0.78112979514763103</v>
      </c>
      <c r="H19" s="50">
        <f t="shared" si="5"/>
        <v>11.557108475657582</v>
      </c>
      <c r="I19" s="50">
        <f t="shared" ref="I19:I25" si="7">(C19/1000)*D19</f>
        <v>1.2262677245584301</v>
      </c>
      <c r="J19" s="233"/>
      <c r="K19" s="233"/>
      <c r="L19" s="233"/>
      <c r="M19" s="233"/>
      <c r="N19" s="106">
        <f t="shared" si="6"/>
        <v>5.2865953468583748E-2</v>
      </c>
      <c r="O19" s="233"/>
      <c r="S19" s="6" t="s">
        <v>279</v>
      </c>
      <c r="T19" s="106">
        <f>'Raw DO600'!E111</f>
        <v>0.28199999999999997</v>
      </c>
      <c r="U19" s="106">
        <f>'Raw DO600'!E112</f>
        <v>0.3</v>
      </c>
      <c r="V19" s="106">
        <f>'Raw DO600'!E113</f>
        <v>0.29699999999999999</v>
      </c>
      <c r="W19" s="106">
        <f t="shared" ref="W19:W25" si="8">AVERAGE(T19:V19)</f>
        <v>0.29299999999999998</v>
      </c>
      <c r="X19" s="126">
        <f t="shared" ref="X19:X25" si="9">STDEV(T19:V19)</f>
        <v>9.6436507609929632E-3</v>
      </c>
    </row>
    <row r="20" spans="1:24" x14ac:dyDescent="0.3">
      <c r="A20" s="6" t="s">
        <v>270</v>
      </c>
      <c r="B20" s="84">
        <v>10.8</v>
      </c>
      <c r="C20" s="50">
        <v>581.97058232399388</v>
      </c>
      <c r="D20" s="50">
        <f>IR_3HP!E64</f>
        <v>4.7621000000000002</v>
      </c>
      <c r="E20" s="50">
        <v>0</v>
      </c>
      <c r="F20" s="173">
        <f>$AA$3*W20*200</f>
        <v>23.50371477159581</v>
      </c>
      <c r="G20" s="106">
        <f>F20*SQRT(($AA$4/$AA$3)^2+(X20/W20)^2)</f>
        <v>0.91232817320358695</v>
      </c>
      <c r="H20" s="50">
        <f t="shared" si="5"/>
        <v>13.67847057240267</v>
      </c>
      <c r="I20" s="50">
        <f t="shared" si="7"/>
        <v>2.7714021100850914</v>
      </c>
      <c r="J20" s="233"/>
      <c r="K20" s="233"/>
      <c r="L20" s="233"/>
      <c r="M20" s="233"/>
      <c r="N20" s="106">
        <f t="shared" si="6"/>
        <v>0.22138835905740195</v>
      </c>
      <c r="O20" s="233"/>
      <c r="S20" s="6" t="s">
        <v>270</v>
      </c>
      <c r="T20" s="106">
        <f>'Raw DO600'!E117</f>
        <v>0.32</v>
      </c>
      <c r="U20" s="106">
        <f>'Raw DO600'!E118</f>
        <v>0.33800000000000002</v>
      </c>
      <c r="V20" s="106">
        <f>'Raw DO600'!E119</f>
        <v>0.34100000000000003</v>
      </c>
      <c r="W20" s="106">
        <f t="shared" si="8"/>
        <v>0.33300000000000002</v>
      </c>
      <c r="X20" s="126">
        <f t="shared" si="9"/>
        <v>1.1357816691600558E-2</v>
      </c>
    </row>
    <row r="21" spans="1:24" x14ac:dyDescent="0.3">
      <c r="A21" s="6" t="s">
        <v>280</v>
      </c>
      <c r="B21" s="84">
        <v>16.3</v>
      </c>
      <c r="C21" s="50">
        <v>609.24788404903586</v>
      </c>
      <c r="D21" s="50">
        <f>IR_3HP!E66</f>
        <v>7.8037999999999998</v>
      </c>
      <c r="E21" s="50">
        <v>0</v>
      </c>
      <c r="F21" s="173">
        <f>$AA$3*W21*200</f>
        <v>25.974075183024802</v>
      </c>
      <c r="G21" s="106">
        <f>F21*SQRT(($AA$4/$AA$3)^2+(X21/W21)^2)</f>
        <v>1.0409363250368653</v>
      </c>
      <c r="H21" s="50">
        <f t="shared" si="5"/>
        <v>15.824650345388434</v>
      </c>
      <c r="I21" s="50">
        <f t="shared" si="7"/>
        <v>4.7544486375418655</v>
      </c>
      <c r="J21" s="233"/>
      <c r="K21" s="233"/>
      <c r="L21" s="233"/>
      <c r="M21" s="233"/>
      <c r="N21" s="106">
        <f t="shared" si="6"/>
        <v>0.36713412608407553</v>
      </c>
      <c r="O21" s="233"/>
      <c r="S21" s="6" t="s">
        <v>280</v>
      </c>
      <c r="T21" s="106">
        <f>'Raw DO600'!E123</f>
        <v>0.36199999999999999</v>
      </c>
      <c r="U21" s="106">
        <f>'Raw DO600'!E124</f>
        <v>0.38300000000000001</v>
      </c>
      <c r="V21" s="106">
        <f>'Raw DO600'!E125</f>
        <v>0.35899999999999999</v>
      </c>
      <c r="W21" s="106">
        <f t="shared" si="8"/>
        <v>0.36800000000000005</v>
      </c>
      <c r="X21" s="126">
        <f t="shared" si="9"/>
        <v>1.3076696830622032E-2</v>
      </c>
    </row>
    <row r="22" spans="1:24" x14ac:dyDescent="0.3">
      <c r="A22" s="6" t="s">
        <v>272</v>
      </c>
      <c r="B22" s="84">
        <v>21.8</v>
      </c>
      <c r="C22" s="50">
        <v>641.41854600056502</v>
      </c>
      <c r="D22" s="50">
        <f>IR_3HP!E68</f>
        <v>10.716799999999999</v>
      </c>
      <c r="E22" s="50">
        <v>0</v>
      </c>
      <c r="F22" s="170">
        <f>AVERAGE('Raw DCW'!G75:G77)</f>
        <v>28.116666666666664</v>
      </c>
      <c r="G22" s="106">
        <f>STDEV('Raw DCW'!G75:G77)</f>
        <v>7.6376261582600746E-2</v>
      </c>
      <c r="H22" s="50">
        <f t="shared" si="5"/>
        <v>18.034551451715885</v>
      </c>
      <c r="I22" s="50">
        <f t="shared" si="7"/>
        <v>6.873954273778855</v>
      </c>
      <c r="J22" s="233"/>
      <c r="K22" s="233"/>
      <c r="L22" s="233"/>
      <c r="M22" s="233"/>
      <c r="N22" s="106">
        <f t="shared" si="6"/>
        <v>0.49785469643342828</v>
      </c>
      <c r="O22" s="233"/>
      <c r="S22" s="6" t="s">
        <v>272</v>
      </c>
      <c r="T22" s="126">
        <f>'Raw DO600'!E129</f>
        <v>0.39</v>
      </c>
      <c r="U22" s="106">
        <f>'Raw DO600'!E130</f>
        <v>0.42099999999999999</v>
      </c>
      <c r="V22" s="106">
        <f>'Raw DO600'!E131</f>
        <v>0.41399999999999998</v>
      </c>
      <c r="W22" s="106">
        <f>AVERAGE(T22:V22)</f>
        <v>0.40833333333333327</v>
      </c>
      <c r="X22" s="126">
        <f>STDEV(T22:V22)</f>
        <v>1.6258331197676248E-2</v>
      </c>
    </row>
    <row r="23" spans="1:24" x14ac:dyDescent="0.3">
      <c r="A23" s="6" t="s">
        <v>281</v>
      </c>
      <c r="B23" s="84">
        <v>27.3</v>
      </c>
      <c r="C23" s="50">
        <v>679.36040333058884</v>
      </c>
      <c r="D23" s="50">
        <f>IR_3HP!E70</f>
        <v>13.650600000000001</v>
      </c>
      <c r="E23" s="50">
        <v>0</v>
      </c>
      <c r="F23" s="173">
        <f>$AA$3*W23*200</f>
        <v>31.385340846154964</v>
      </c>
      <c r="G23" s="106">
        <f>F23*SQRT(($AA$4/$AA$3)^2+(X23/W23)^2)</f>
        <v>1.0037254167870728</v>
      </c>
      <c r="H23" s="50">
        <f t="shared" si="5"/>
        <v>21.321957815911844</v>
      </c>
      <c r="I23" s="50">
        <f t="shared" si="7"/>
        <v>9.2736771217045373</v>
      </c>
      <c r="J23" s="233"/>
      <c r="K23" s="233"/>
      <c r="L23" s="233"/>
      <c r="M23" s="233"/>
      <c r="N23" s="106">
        <f t="shared" si="6"/>
        <v>0.66530267847222824</v>
      </c>
      <c r="O23" s="233"/>
      <c r="S23" s="6" t="s">
        <v>281</v>
      </c>
      <c r="T23" s="106">
        <f>'Raw DO600'!E135</f>
        <v>0.434</v>
      </c>
      <c r="U23" s="106">
        <f>'Raw DO600'!E136</f>
        <v>0.45700000000000002</v>
      </c>
      <c r="V23" s="106">
        <f>'Raw DO600'!E137</f>
        <v>0.443</v>
      </c>
      <c r="W23" s="106">
        <f t="shared" si="8"/>
        <v>0.44466666666666671</v>
      </c>
      <c r="X23" s="126">
        <f t="shared" si="9"/>
        <v>1.1590225767142484E-2</v>
      </c>
    </row>
    <row r="24" spans="1:24" x14ac:dyDescent="0.3">
      <c r="A24" s="6" t="s">
        <v>282</v>
      </c>
      <c r="B24" s="84">
        <v>33.299999999999997</v>
      </c>
      <c r="C24" s="50">
        <v>727.80924115306891</v>
      </c>
      <c r="D24" s="50">
        <f>IR_3HP!E72</f>
        <v>16.505600000000001</v>
      </c>
      <c r="E24" s="50">
        <v>0</v>
      </c>
      <c r="F24" s="190">
        <f>AVERAGE('Raw DCW'!G81:G83)</f>
        <v>34.466666666666661</v>
      </c>
      <c r="G24" s="106">
        <f>STDEV('Raw DCW'!G81:G83)</f>
        <v>0.18929694486000648</v>
      </c>
      <c r="H24" s="50">
        <f t="shared" si="5"/>
        <v>25.085158511742438</v>
      </c>
      <c r="I24" s="50">
        <f t="shared" si="7"/>
        <v>12.012928210776094</v>
      </c>
      <c r="J24" s="233"/>
      <c r="K24" s="233"/>
      <c r="L24" s="233"/>
      <c r="M24" s="233"/>
      <c r="N24" s="106">
        <f t="shared" si="6"/>
        <v>0.82784163027747504</v>
      </c>
      <c r="O24" s="233"/>
      <c r="S24" s="6" t="s">
        <v>282</v>
      </c>
      <c r="T24" s="106">
        <f>'Raw DO600'!E141</f>
        <v>0.47799999999999998</v>
      </c>
      <c r="U24" s="106">
        <f>'Raw DO600'!E142</f>
        <v>0.48099999999999998</v>
      </c>
      <c r="V24" s="106">
        <f>'Raw DO600'!E143</f>
        <v>0.48399999999999999</v>
      </c>
      <c r="W24" s="106">
        <f t="shared" si="8"/>
        <v>0.48100000000000004</v>
      </c>
      <c r="X24" s="126">
        <f t="shared" si="9"/>
        <v>3.0000000000000027E-3</v>
      </c>
    </row>
    <row r="25" spans="1:24" ht="15" thickBot="1" x14ac:dyDescent="0.35">
      <c r="A25" s="2" t="s">
        <v>274</v>
      </c>
      <c r="B25" s="85">
        <v>39.299999999999997</v>
      </c>
      <c r="C25" s="51">
        <v>787.45141117193452</v>
      </c>
      <c r="D25" s="51">
        <f>IR_3HP!E74</f>
        <v>19.331800000000001</v>
      </c>
      <c r="E25" s="51">
        <v>0</v>
      </c>
      <c r="F25" s="171">
        <f>AVERAGE('Raw DCW'!G87:G89)</f>
        <v>39.199999999999996</v>
      </c>
      <c r="G25" s="108">
        <f>STDEV('Raw DCW'!G87:G89)</f>
        <v>0.10000000000000142</v>
      </c>
      <c r="H25" s="51">
        <f t="shared" si="5"/>
        <v>30.868095317939829</v>
      </c>
      <c r="I25" s="51">
        <f t="shared" si="7"/>
        <v>15.222853190493604</v>
      </c>
      <c r="J25" s="234"/>
      <c r="K25" s="234"/>
      <c r="L25" s="234"/>
      <c r="M25" s="234"/>
      <c r="N25" s="108">
        <f t="shared" si="6"/>
        <v>1.0352883898874832</v>
      </c>
      <c r="O25" s="234"/>
      <c r="S25" s="2" t="s">
        <v>274</v>
      </c>
      <c r="T25" s="108">
        <f>'Raw DO600'!E147</f>
        <v>0.53700000000000003</v>
      </c>
      <c r="U25" s="108">
        <f>'Raw DO600'!E148</f>
        <v>0.53300000000000003</v>
      </c>
      <c r="V25" s="108">
        <f>'Raw DO600'!E149</f>
        <v>0.54400000000000004</v>
      </c>
      <c r="W25" s="108">
        <f t="shared" si="8"/>
        <v>0.53800000000000003</v>
      </c>
      <c r="X25" s="127">
        <f t="shared" si="9"/>
        <v>5.5677643628300267E-3</v>
      </c>
    </row>
    <row r="29" spans="1:24" ht="15" thickBot="1" x14ac:dyDescent="0.35"/>
    <row r="30" spans="1:24" ht="15" thickBot="1" x14ac:dyDescent="0.35">
      <c r="B30" s="301" t="s">
        <v>263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3"/>
    </row>
    <row r="31" spans="1:24" ht="15" thickBot="1" x14ac:dyDescent="0.35">
      <c r="A31" s="1" t="s">
        <v>1</v>
      </c>
      <c r="B31" s="1" t="s">
        <v>92</v>
      </c>
      <c r="C31" s="1" t="s">
        <v>22</v>
      </c>
      <c r="D31" s="1" t="s">
        <v>175</v>
      </c>
      <c r="E31" s="1" t="s">
        <v>180</v>
      </c>
      <c r="F31" s="1" t="s">
        <v>179</v>
      </c>
      <c r="G31" s="1" t="s">
        <v>209</v>
      </c>
      <c r="H31" s="1" t="s">
        <v>210</v>
      </c>
      <c r="I31" s="1" t="s">
        <v>211</v>
      </c>
      <c r="J31" s="52" t="s">
        <v>177</v>
      </c>
      <c r="K31" s="1" t="s">
        <v>165</v>
      </c>
      <c r="L31" s="1" t="s">
        <v>166</v>
      </c>
      <c r="M31" s="1" t="s">
        <v>170</v>
      </c>
    </row>
    <row r="32" spans="1:24" x14ac:dyDescent="0.3">
      <c r="A32" s="4" t="s">
        <v>267</v>
      </c>
      <c r="B32" s="50">
        <v>0</v>
      </c>
      <c r="C32" s="50">
        <v>540</v>
      </c>
      <c r="D32" s="99">
        <f>AVERAGE(D18,D4)</f>
        <v>1.0792000000000002</v>
      </c>
      <c r="E32" s="99">
        <f>AVERAGE(E18,E4)</f>
        <v>0.49780000000000002</v>
      </c>
      <c r="F32" s="99">
        <f>AVERAGE(F18,F4)</f>
        <v>20.324999999999996</v>
      </c>
      <c r="G32" s="99">
        <f t="shared" ref="G32:H39" si="10">STDEV(D18,D4)</f>
        <v>0.1012576910659136</v>
      </c>
      <c r="H32" s="99">
        <f t="shared" si="10"/>
        <v>9.0509667991877957E-2</v>
      </c>
      <c r="I32" s="99">
        <f>F32*SQRT((G4/F4)^2+(G18/F18)^2)</f>
        <v>0.21213251576809525</v>
      </c>
      <c r="J32" s="99">
        <f>(C32-$C$32)*396/C32</f>
        <v>0</v>
      </c>
      <c r="K32" s="99">
        <f t="shared" ref="K32:K39" si="11">(C32/1000)*F32</f>
        <v>10.975499999999998</v>
      </c>
      <c r="L32" s="99">
        <f>(C32/1000)*D32</f>
        <v>0.58276800000000017</v>
      </c>
      <c r="M32" s="50">
        <f t="shared" ref="M32:M39" si="12">(C32/1000)*J32</f>
        <v>0</v>
      </c>
    </row>
    <row r="33" spans="1:16" x14ac:dyDescent="0.3">
      <c r="A33" s="6" t="s">
        <v>275</v>
      </c>
      <c r="B33" s="50">
        <v>5.3</v>
      </c>
      <c r="C33" s="50">
        <v>558.84232992682405</v>
      </c>
      <c r="D33" s="50">
        <f t="shared" ref="D33:E39" si="13">AVERAGE(D19,D5)</f>
        <v>2.10195</v>
      </c>
      <c r="E33" s="50">
        <f t="shared" si="13"/>
        <v>0</v>
      </c>
      <c r="F33" s="50">
        <f t="shared" ref="F33:F39" si="14">AVERAGE(F19,F5)</f>
        <v>20.609864003921849</v>
      </c>
      <c r="G33" s="50">
        <f t="shared" si="10"/>
        <v>0.13060262248515553</v>
      </c>
      <c r="H33" s="50">
        <f t="shared" si="10"/>
        <v>0</v>
      </c>
      <c r="I33" s="50">
        <f t="shared" ref="I33:I39" si="15">F33*SQRT((G5/F5)^2+(G19/F19)^2)</f>
        <v>0.88711664793527378</v>
      </c>
      <c r="J33" s="50">
        <f>(C33-$C$32)*396/C33</f>
        <v>13.351820811425211</v>
      </c>
      <c r="K33" s="50">
        <f t="shared" si="11"/>
        <v>11.517664419426669</v>
      </c>
      <c r="L33" s="50">
        <f t="shared" ref="L33:L39" si="16">(C33/1000)*D33</f>
        <v>1.1746586353896877</v>
      </c>
      <c r="M33" s="50">
        <f t="shared" si="12"/>
        <v>7.461562651022323</v>
      </c>
    </row>
    <row r="34" spans="1:16" x14ac:dyDescent="0.3">
      <c r="A34" s="6" t="s">
        <v>269</v>
      </c>
      <c r="B34" s="50">
        <v>10.8</v>
      </c>
      <c r="C34" s="50">
        <v>581.97058232399388</v>
      </c>
      <c r="D34" s="50">
        <f t="shared" si="13"/>
        <v>4.5442</v>
      </c>
      <c r="E34" s="50">
        <f t="shared" si="13"/>
        <v>0</v>
      </c>
      <c r="F34" s="50">
        <f t="shared" si="14"/>
        <v>22.962588205282792</v>
      </c>
      <c r="G34" s="50">
        <f t="shared" si="10"/>
        <v>0.30815713524109772</v>
      </c>
      <c r="H34" s="50">
        <f t="shared" si="10"/>
        <v>0</v>
      </c>
      <c r="I34" s="50">
        <f t="shared" si="15"/>
        <v>1.285030067895385</v>
      </c>
      <c r="J34" s="50">
        <f t="shared" ref="J34:J39" si="17">(C34-$C$32)*396/C34</f>
        <v>28.558746962657843</v>
      </c>
      <c r="K34" s="50">
        <f t="shared" si="11"/>
        <v>13.3635508294945</v>
      </c>
      <c r="L34" s="50">
        <f t="shared" si="16"/>
        <v>2.6445907201966929</v>
      </c>
      <c r="M34" s="50">
        <f t="shared" si="12"/>
        <v>16.620350600301578</v>
      </c>
    </row>
    <row r="35" spans="1:16" x14ac:dyDescent="0.3">
      <c r="A35" s="6" t="s">
        <v>276</v>
      </c>
      <c r="B35" s="50">
        <v>16.3</v>
      </c>
      <c r="C35" s="50">
        <v>609.24788404903586</v>
      </c>
      <c r="D35" s="50">
        <f t="shared" si="13"/>
        <v>7.5330499999999994</v>
      </c>
      <c r="E35" s="50">
        <f t="shared" si="13"/>
        <v>0</v>
      </c>
      <c r="F35" s="50">
        <f t="shared" si="14"/>
        <v>25.821148109936338</v>
      </c>
      <c r="G35" s="50">
        <f t="shared" si="10"/>
        <v>0.38289832201251556</v>
      </c>
      <c r="H35" s="50">
        <f t="shared" si="10"/>
        <v>0</v>
      </c>
      <c r="I35" s="50">
        <f t="shared" si="15"/>
        <v>1.2464017457473178</v>
      </c>
      <c r="J35" s="50">
        <f t="shared" si="17"/>
        <v>45.00986019216294</v>
      </c>
      <c r="K35" s="50">
        <f t="shared" si="11"/>
        <v>15.731479849695475</v>
      </c>
      <c r="L35" s="50">
        <f t="shared" si="16"/>
        <v>4.5894947729355895</v>
      </c>
      <c r="M35" s="50">
        <f t="shared" si="12"/>
        <v>27.4221620834182</v>
      </c>
    </row>
    <row r="36" spans="1:16" x14ac:dyDescent="0.3">
      <c r="A36" s="6" t="s">
        <v>271</v>
      </c>
      <c r="B36" s="50">
        <v>21.8</v>
      </c>
      <c r="C36" s="50">
        <v>641.41854600056502</v>
      </c>
      <c r="D36" s="50">
        <f t="shared" si="13"/>
        <v>10.402249999999999</v>
      </c>
      <c r="E36" s="50">
        <f t="shared" si="13"/>
        <v>0</v>
      </c>
      <c r="F36" s="50">
        <f t="shared" si="14"/>
        <v>27.858333333333327</v>
      </c>
      <c r="G36" s="50">
        <f t="shared" si="10"/>
        <v>0.44484087604445655</v>
      </c>
      <c r="H36" s="50">
        <f t="shared" si="10"/>
        <v>0</v>
      </c>
      <c r="I36" s="50">
        <f t="shared" si="15"/>
        <v>0.19050159041786791</v>
      </c>
      <c r="J36" s="50">
        <f t="shared" si="17"/>
        <v>62.613942903029766</v>
      </c>
      <c r="K36" s="50">
        <f t="shared" si="11"/>
        <v>17.868851660665737</v>
      </c>
      <c r="L36" s="50">
        <f t="shared" si="16"/>
        <v>6.672196070134377</v>
      </c>
      <c r="M36" s="50">
        <f t="shared" si="12"/>
        <v>40.161744216223752</v>
      </c>
    </row>
    <row r="37" spans="1:16" x14ac:dyDescent="0.3">
      <c r="A37" s="6" t="s">
        <v>277</v>
      </c>
      <c r="B37" s="50">
        <v>27.3</v>
      </c>
      <c r="C37" s="50">
        <v>679.36040333058884</v>
      </c>
      <c r="D37" s="50">
        <f t="shared" si="13"/>
        <v>13.3582</v>
      </c>
      <c r="E37" s="50">
        <f t="shared" si="13"/>
        <v>0</v>
      </c>
      <c r="F37" s="50">
        <f t="shared" si="14"/>
        <v>30.985377731923602</v>
      </c>
      <c r="G37" s="50">
        <f t="shared" si="10"/>
        <v>0.4135160456378939</v>
      </c>
      <c r="H37" s="50">
        <f t="shared" si="10"/>
        <v>0</v>
      </c>
      <c r="I37" s="50">
        <f t="shared" si="15"/>
        <v>1.3393840419762189</v>
      </c>
      <c r="J37" s="50">
        <f t="shared" si="17"/>
        <v>81.233347496201276</v>
      </c>
      <c r="K37" s="50">
        <f t="shared" si="11"/>
        <v>21.050238713310264</v>
      </c>
      <c r="L37" s="50">
        <f t="shared" si="16"/>
        <v>9.0750321397706717</v>
      </c>
      <c r="M37" s="50">
        <f t="shared" si="12"/>
        <v>55.186719718913182</v>
      </c>
    </row>
    <row r="38" spans="1:16" x14ac:dyDescent="0.3">
      <c r="A38" s="6" t="s">
        <v>278</v>
      </c>
      <c r="B38" s="50">
        <v>33.299999999999997</v>
      </c>
      <c r="C38" s="50">
        <v>727.80924115306891</v>
      </c>
      <c r="D38" s="50">
        <f t="shared" si="13"/>
        <v>16.236650000000001</v>
      </c>
      <c r="E38" s="50">
        <f t="shared" si="13"/>
        <v>0</v>
      </c>
      <c r="F38" s="50">
        <f t="shared" si="14"/>
        <v>34.06666666666667</v>
      </c>
      <c r="G38" s="50">
        <f t="shared" si="10"/>
        <v>0.3803527376002443</v>
      </c>
      <c r="H38" s="50">
        <f t="shared" si="10"/>
        <v>0</v>
      </c>
      <c r="I38" s="50">
        <f t="shared" si="15"/>
        <v>0.29935702236585421</v>
      </c>
      <c r="J38" s="50">
        <f t="shared" si="17"/>
        <v>102.18674797092014</v>
      </c>
      <c r="K38" s="50">
        <f t="shared" si="11"/>
        <v>24.794034815281215</v>
      </c>
      <c r="L38" s="50">
        <f t="shared" si="16"/>
        <v>11.817183915367977</v>
      </c>
      <c r="M38" s="50">
        <f t="shared" si="12"/>
        <v>74.372459496615292</v>
      </c>
      <c r="P38" s="102"/>
    </row>
    <row r="39" spans="1:16" ht="15" thickBot="1" x14ac:dyDescent="0.35">
      <c r="A39" s="2" t="s">
        <v>273</v>
      </c>
      <c r="B39" s="51">
        <v>39.299999999999997</v>
      </c>
      <c r="C39" s="51">
        <v>787.45141117193452</v>
      </c>
      <c r="D39" s="51">
        <f t="shared" si="13"/>
        <v>19.0166</v>
      </c>
      <c r="E39" s="51">
        <f t="shared" si="13"/>
        <v>0</v>
      </c>
      <c r="F39" s="51">
        <f t="shared" si="14"/>
        <v>38.816666666666663</v>
      </c>
      <c r="G39" s="51">
        <f t="shared" si="10"/>
        <v>0.44576011486000072</v>
      </c>
      <c r="H39" s="51">
        <f t="shared" si="10"/>
        <v>0</v>
      </c>
      <c r="I39" s="51">
        <f t="shared" si="15"/>
        <v>0.14441569165527934</v>
      </c>
      <c r="J39" s="51">
        <f t="shared" si="17"/>
        <v>124.440387602138</v>
      </c>
      <c r="K39" s="51">
        <f t="shared" si="11"/>
        <v>30.566238943657254</v>
      </c>
      <c r="L39" s="51">
        <f t="shared" si="16"/>
        <v>14.97464850569221</v>
      </c>
      <c r="M39" s="51">
        <f t="shared" si="12"/>
        <v>97.990758824086072</v>
      </c>
      <c r="P39" s="102"/>
    </row>
    <row r="42" spans="1:16" x14ac:dyDescent="0.3">
      <c r="G42" s="102"/>
    </row>
  </sheetData>
  <mergeCells count="13">
    <mergeCell ref="B30:M30"/>
    <mergeCell ref="B2:O2"/>
    <mergeCell ref="J4:J11"/>
    <mergeCell ref="K4:K11"/>
    <mergeCell ref="L4:L11"/>
    <mergeCell ref="M4:M11"/>
    <mergeCell ref="O4:O11"/>
    <mergeCell ref="B16:O16"/>
    <mergeCell ref="J18:J25"/>
    <mergeCell ref="K18:K25"/>
    <mergeCell ref="L18:L25"/>
    <mergeCell ref="M18:M25"/>
    <mergeCell ref="O18:O25"/>
  </mergeCells>
  <pageMargins left="0.7" right="0.7" top="0.75" bottom="0.75" header="0.3" footer="0.3"/>
  <ignoredErrors>
    <ignoredError sqref="F8:G8 F22:G22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3418-9EFE-4114-9EF3-60D81C0384B4}">
  <dimension ref="A1:X1626"/>
  <sheetViews>
    <sheetView topLeftCell="A85" zoomScale="40" zoomScaleNormal="40" workbookViewId="0">
      <selection activeCell="P478" sqref="P478"/>
    </sheetView>
  </sheetViews>
  <sheetFormatPr baseColWidth="10" defaultColWidth="8.77734375" defaultRowHeight="14.4" x14ac:dyDescent="0.3"/>
  <cols>
    <col min="1" max="2" width="13.77734375" bestFit="1" customWidth="1"/>
    <col min="3" max="3" width="11.77734375" bestFit="1" customWidth="1"/>
    <col min="5" max="5" width="21" bestFit="1" customWidth="1"/>
    <col min="6" max="6" width="15.77734375" bestFit="1" customWidth="1"/>
    <col min="7" max="7" width="22.44140625" bestFit="1" customWidth="1"/>
    <col min="8" max="8" width="23.44140625" bestFit="1" customWidth="1"/>
    <col min="9" max="9" width="19.21875" bestFit="1" customWidth="1"/>
    <col min="10" max="11" width="19.21875" customWidth="1"/>
    <col min="12" max="12" width="29.5546875" style="60" customWidth="1"/>
    <col min="13" max="13" width="24" bestFit="1" customWidth="1"/>
    <col min="14" max="14" width="10.21875" customWidth="1"/>
    <col min="16" max="16" width="10.21875" customWidth="1"/>
    <col min="19" max="19" width="13.21875" bestFit="1" customWidth="1"/>
    <col min="20" max="20" width="11.44140625" bestFit="1" customWidth="1"/>
    <col min="22" max="22" width="12" bestFit="1" customWidth="1"/>
  </cols>
  <sheetData>
    <row r="1" spans="1:24" ht="15.6" thickBot="1" x14ac:dyDescent="0.35">
      <c r="B1" s="1" t="s">
        <v>89</v>
      </c>
      <c r="C1" s="1" t="s">
        <v>87</v>
      </c>
      <c r="D1" s="1" t="s">
        <v>88</v>
      </c>
      <c r="E1" s="1" t="s">
        <v>43</v>
      </c>
      <c r="F1" s="1" t="s">
        <v>41</v>
      </c>
      <c r="G1" s="1" t="s">
        <v>214</v>
      </c>
      <c r="H1" s="1" t="s">
        <v>215</v>
      </c>
      <c r="I1" s="1" t="s">
        <v>42</v>
      </c>
      <c r="J1" s="1" t="s">
        <v>86</v>
      </c>
      <c r="K1" s="1" t="s">
        <v>94</v>
      </c>
      <c r="L1" s="59" t="s">
        <v>216</v>
      </c>
      <c r="M1" s="1" t="s">
        <v>217</v>
      </c>
      <c r="N1" s="56"/>
      <c r="O1" s="56"/>
      <c r="P1" s="56"/>
      <c r="S1" s="20" t="s">
        <v>44</v>
      </c>
      <c r="T1" s="21">
        <v>0.03</v>
      </c>
      <c r="U1" s="40" t="s">
        <v>45</v>
      </c>
      <c r="V1" s="10"/>
      <c r="W1" s="44"/>
      <c r="X1" s="45"/>
    </row>
    <row r="2" spans="1:24" x14ac:dyDescent="0.3">
      <c r="C2" s="16">
        <v>45034</v>
      </c>
      <c r="D2" s="179">
        <v>0.87847222222222221</v>
      </c>
      <c r="E2" s="19">
        <v>27.7</v>
      </c>
      <c r="F2" s="19">
        <v>0</v>
      </c>
      <c r="G2" s="19">
        <v>1.53</v>
      </c>
      <c r="H2" s="87">
        <v>1.53</v>
      </c>
      <c r="I2" s="89">
        <v>540</v>
      </c>
      <c r="J2" s="19">
        <v>0</v>
      </c>
      <c r="K2" s="19">
        <v>0</v>
      </c>
      <c r="M2" s="19">
        <v>22</v>
      </c>
      <c r="N2" s="56"/>
      <c r="O2" s="56"/>
      <c r="P2" s="56"/>
      <c r="S2" s="23"/>
      <c r="T2" s="78"/>
      <c r="U2" s="25"/>
      <c r="V2" s="10"/>
      <c r="W2" s="44"/>
      <c r="X2" s="45"/>
    </row>
    <row r="3" spans="1:24" ht="15" x14ac:dyDescent="0.35">
      <c r="A3" s="61" t="s">
        <v>169</v>
      </c>
      <c r="B3" s="61" t="s">
        <v>93</v>
      </c>
      <c r="C3" s="16">
        <v>45034</v>
      </c>
      <c r="D3" s="57">
        <v>0.88194444444444453</v>
      </c>
      <c r="E3" s="19">
        <v>27.8</v>
      </c>
      <c r="F3" s="19">
        <v>0</v>
      </c>
      <c r="G3" s="19">
        <v>0</v>
      </c>
      <c r="H3" s="87">
        <f>G3</f>
        <v>0</v>
      </c>
      <c r="I3" s="89">
        <v>540</v>
      </c>
      <c r="J3">
        <f>G3*F3</f>
        <v>0</v>
      </c>
      <c r="K3">
        <f>J3</f>
        <v>0</v>
      </c>
      <c r="L3" s="60">
        <v>0</v>
      </c>
      <c r="M3">
        <f>0.55*40</f>
        <v>22</v>
      </c>
      <c r="S3" s="23" t="s">
        <v>46</v>
      </c>
      <c r="T3" s="31">
        <v>22</v>
      </c>
      <c r="U3" s="25" t="s">
        <v>47</v>
      </c>
      <c r="X3" s="45"/>
    </row>
    <row r="4" spans="1:24" x14ac:dyDescent="0.3">
      <c r="B4" t="s">
        <v>218</v>
      </c>
      <c r="C4" s="16">
        <v>45034</v>
      </c>
      <c r="D4" s="57">
        <v>0.88263888888888886</v>
      </c>
      <c r="E4" s="19">
        <f>$E$3+F4</f>
        <v>27.816666666666666</v>
      </c>
      <c r="F4" s="19">
        <f>F3+1/60</f>
        <v>1.6666666666666666E-2</v>
      </c>
      <c r="G4" s="54">
        <f>T16*EXP($T$1*F4)</f>
        <v>1.649176030254125</v>
      </c>
      <c r="H4" s="87">
        <f t="shared" ref="H4:H67" si="0">G4</f>
        <v>1.649176030254125</v>
      </c>
      <c r="I4">
        <f>I3+(G4+H4)*1/60</f>
        <v>540.0549725343418</v>
      </c>
      <c r="J4">
        <f>G4*1/60</f>
        <v>2.7486267170902082E-2</v>
      </c>
      <c r="K4">
        <f>J4</f>
        <v>2.7486267170902082E-2</v>
      </c>
      <c r="L4" s="60">
        <f>((L3*I3/1000)+(G4*$T$7/1000*1/60))/(I4/1000)</f>
        <v>4.0309088345576088E-2</v>
      </c>
      <c r="M4">
        <f>(M3*I3+G4*$T$7*$T$6*(1/60))/I4</f>
        <v>22.008764987321367</v>
      </c>
      <c r="N4" s="102"/>
      <c r="S4" s="23"/>
      <c r="T4" s="31"/>
      <c r="U4" s="25"/>
      <c r="X4" s="45"/>
    </row>
    <row r="5" spans="1:24" ht="15" x14ac:dyDescent="0.35">
      <c r="C5" s="16">
        <v>45034</v>
      </c>
      <c r="D5" s="57">
        <v>0.88611111111111107</v>
      </c>
      <c r="E5" s="19">
        <f>$E$3+F5</f>
        <v>27.900000000000002</v>
      </c>
      <c r="F5" s="19">
        <f>F4+5/60</f>
        <v>9.9999999999999992E-2</v>
      </c>
      <c r="G5" s="54">
        <f t="shared" ref="G5:G68" si="1">$G$4*EXP($T$1*F5)</f>
        <v>1.6541309870638849</v>
      </c>
      <c r="H5" s="87">
        <f t="shared" si="0"/>
        <v>1.6541309870638849</v>
      </c>
      <c r="I5">
        <f>I4+(G5+H5)*5/60</f>
        <v>540.33066103218573</v>
      </c>
      <c r="J5">
        <f t="shared" ref="J5:J68" si="2">J4+G5*5/60</f>
        <v>0.16533051609289248</v>
      </c>
      <c r="K5">
        <f t="shared" ref="K5:K68" si="3">J5</f>
        <v>0.16533051609289248</v>
      </c>
      <c r="L5" s="60">
        <f t="shared" ref="L5:L68" si="4">((L4*I4/1000)+(G5*$T$7/1000*5/60))/(I5/1000)</f>
        <v>0.24233636583834559</v>
      </c>
      <c r="M5">
        <f t="shared" ref="M5:M68" si="5">(M4*I4+G5*$T$7*$T$6*(5/60))/I5</f>
        <v>22.052694696438408</v>
      </c>
      <c r="P5" s="54"/>
      <c r="S5" s="23" t="s">
        <v>48</v>
      </c>
      <c r="T5" s="24">
        <f>(I3/1000)</f>
        <v>0.54</v>
      </c>
      <c r="U5" s="25" t="s">
        <v>49</v>
      </c>
    </row>
    <row r="6" spans="1:24" ht="15" x14ac:dyDescent="0.35">
      <c r="C6" s="16">
        <v>45034</v>
      </c>
      <c r="D6" s="57">
        <v>0.88958333333333339</v>
      </c>
      <c r="E6" s="19">
        <f t="shared" ref="E6:E69" si="6">$E$3+F6</f>
        <v>27.983333333333334</v>
      </c>
      <c r="F6" s="19">
        <f t="shared" ref="F6:F69" si="7">F5+5/60</f>
        <v>0.18333333333333332</v>
      </c>
      <c r="G6" s="54">
        <f t="shared" si="1"/>
        <v>1.6582714880012057</v>
      </c>
      <c r="H6" s="87">
        <f t="shared" si="0"/>
        <v>1.6582714880012057</v>
      </c>
      <c r="I6">
        <f>I5+(G6+H6)*5/60</f>
        <v>540.60703961351931</v>
      </c>
      <c r="J6">
        <f t="shared" si="2"/>
        <v>0.30351980675965962</v>
      </c>
      <c r="K6">
        <f t="shared" si="3"/>
        <v>0.30351980675965962</v>
      </c>
      <c r="L6" s="60">
        <f t="shared" si="4"/>
        <v>0.44466251702068832</v>
      </c>
      <c r="M6">
        <f t="shared" si="5"/>
        <v>22.096689393978831</v>
      </c>
      <c r="S6" s="23" t="s">
        <v>50</v>
      </c>
      <c r="T6" s="24">
        <v>0.27300000000000002</v>
      </c>
      <c r="U6" s="25"/>
    </row>
    <row r="7" spans="1:24" ht="15" x14ac:dyDescent="0.35">
      <c r="C7" s="16">
        <v>45034</v>
      </c>
      <c r="D7" s="57">
        <v>0.89305555555555605</v>
      </c>
      <c r="E7" s="19">
        <f t="shared" si="6"/>
        <v>28.066666666666666</v>
      </c>
      <c r="F7" s="19">
        <f t="shared" si="7"/>
        <v>0.26666666666666666</v>
      </c>
      <c r="G7" s="54">
        <f t="shared" si="1"/>
        <v>1.6624223531407243</v>
      </c>
      <c r="H7" s="87">
        <f t="shared" si="0"/>
        <v>1.6624223531407243</v>
      </c>
      <c r="I7">
        <f>I6+(G7+H7)*5/60</f>
        <v>540.88411000570943</v>
      </c>
      <c r="J7">
        <f t="shared" si="2"/>
        <v>0.44205500285471999</v>
      </c>
      <c r="K7">
        <f t="shared" si="3"/>
        <v>0.44205500285471999</v>
      </c>
      <c r="L7" s="60">
        <f t="shared" si="4"/>
        <v>0.64728757192967379</v>
      </c>
      <c r="M7">
        <f t="shared" si="5"/>
        <v>22.140749086474042</v>
      </c>
      <c r="S7" s="23" t="s">
        <v>51</v>
      </c>
      <c r="T7" s="26">
        <v>792</v>
      </c>
      <c r="U7" s="25" t="s">
        <v>47</v>
      </c>
    </row>
    <row r="8" spans="1:24" x14ac:dyDescent="0.3">
      <c r="C8" s="16">
        <v>45034</v>
      </c>
      <c r="D8" s="57">
        <v>0.89652777777777803</v>
      </c>
      <c r="E8" s="19">
        <f t="shared" si="6"/>
        <v>28.150000000000002</v>
      </c>
      <c r="F8" s="19">
        <f t="shared" si="7"/>
        <v>0.35</v>
      </c>
      <c r="G8" s="54">
        <f t="shared" si="1"/>
        <v>1.6665836084253618</v>
      </c>
      <c r="H8" s="87">
        <f t="shared" si="0"/>
        <v>1.6665836084253618</v>
      </c>
      <c r="I8">
        <f>I7+(G8+H8)*5/60</f>
        <v>541.16187394044698</v>
      </c>
      <c r="J8">
        <f t="shared" si="2"/>
        <v>0.5809369702235001</v>
      </c>
      <c r="K8">
        <f t="shared" si="3"/>
        <v>0.5809369702235001</v>
      </c>
      <c r="L8" s="60">
        <f t="shared" si="4"/>
        <v>0.85021155882028132</v>
      </c>
      <c r="M8">
        <f t="shared" si="5"/>
        <v>22.184873780067921</v>
      </c>
      <c r="S8" s="23" t="s">
        <v>52</v>
      </c>
      <c r="T8" s="27"/>
      <c r="U8" s="25"/>
      <c r="V8" s="46" t="s">
        <v>53</v>
      </c>
      <c r="W8" s="28">
        <v>1.0055000000000001</v>
      </c>
    </row>
    <row r="9" spans="1:24" x14ac:dyDescent="0.3">
      <c r="C9" s="16">
        <v>45034</v>
      </c>
      <c r="D9" s="57">
        <v>0.9</v>
      </c>
      <c r="E9" s="19">
        <f t="shared" si="6"/>
        <v>28.233333333333334</v>
      </c>
      <c r="F9" s="19">
        <f t="shared" si="7"/>
        <v>0.43333333333333329</v>
      </c>
      <c r="G9" s="54">
        <f t="shared" si="1"/>
        <v>1.6707552798629768</v>
      </c>
      <c r="H9" s="87">
        <f t="shared" si="0"/>
        <v>1.6707552798629768</v>
      </c>
      <c r="I9">
        <f t="shared" ref="I9:I69" si="8">I8+(G9+H9)*5/60</f>
        <v>541.44033315375748</v>
      </c>
      <c r="J9">
        <f t="shared" si="2"/>
        <v>0.72016657687874819</v>
      </c>
      <c r="K9">
        <f t="shared" si="3"/>
        <v>0.72016657687874819</v>
      </c>
      <c r="L9" s="60">
        <f t="shared" si="4"/>
        <v>1.0534345041598425</v>
      </c>
      <c r="M9">
        <f t="shared" si="5"/>
        <v>22.229063480515649</v>
      </c>
      <c r="S9" s="23" t="s">
        <v>54</v>
      </c>
      <c r="T9" s="29"/>
      <c r="U9" s="30"/>
      <c r="V9" s="47" t="s">
        <v>55</v>
      </c>
      <c r="W9" s="22">
        <v>0.79200000000000004</v>
      </c>
    </row>
    <row r="10" spans="1:24" x14ac:dyDescent="0.3">
      <c r="C10" s="16">
        <v>45034</v>
      </c>
      <c r="D10" s="57">
        <v>0.90347222222222301</v>
      </c>
      <c r="E10" s="19">
        <f t="shared" si="6"/>
        <v>28.316666666666666</v>
      </c>
      <c r="F10" s="19">
        <f t="shared" si="7"/>
        <v>0.51666666666666661</v>
      </c>
      <c r="G10" s="54">
        <f t="shared" si="1"/>
        <v>1.6749373935265299</v>
      </c>
      <c r="H10" s="87">
        <f t="shared" si="0"/>
        <v>1.6749373935265299</v>
      </c>
      <c r="I10">
        <f t="shared" si="8"/>
        <v>541.7194893860119</v>
      </c>
      <c r="J10">
        <f t="shared" si="2"/>
        <v>0.85974469300595902</v>
      </c>
      <c r="K10">
        <f t="shared" si="3"/>
        <v>0.85974469300595902</v>
      </c>
      <c r="L10" s="60">
        <f t="shared" si="4"/>
        <v>1.2569564326224922</v>
      </c>
      <c r="M10">
        <f t="shared" si="5"/>
        <v>22.273318193182472</v>
      </c>
      <c r="S10" s="23" t="s">
        <v>56</v>
      </c>
      <c r="T10" s="29"/>
      <c r="U10" s="30"/>
    </row>
    <row r="11" spans="1:24" ht="15" x14ac:dyDescent="0.35">
      <c r="C11" s="16">
        <v>45034</v>
      </c>
      <c r="D11" s="57">
        <v>0.906944444444445</v>
      </c>
      <c r="E11" s="19">
        <f t="shared" si="6"/>
        <v>28.400000000000002</v>
      </c>
      <c r="F11" s="19">
        <f t="shared" si="7"/>
        <v>0.6</v>
      </c>
      <c r="G11" s="54">
        <f t="shared" si="1"/>
        <v>1.6791299755542444</v>
      </c>
      <c r="H11" s="87">
        <f t="shared" si="0"/>
        <v>1.6791299755542444</v>
      </c>
      <c r="I11">
        <f t="shared" si="8"/>
        <v>541.99934438193759</v>
      </c>
      <c r="J11">
        <f t="shared" si="2"/>
        <v>0.99967219096881266</v>
      </c>
      <c r="K11">
        <f t="shared" si="3"/>
        <v>0.99967219096881266</v>
      </c>
      <c r="L11" s="60">
        <f t="shared" si="4"/>
        <v>1.4607773670836286</v>
      </c>
      <c r="M11">
        <f t="shared" si="5"/>
        <v>22.317637923042522</v>
      </c>
      <c r="S11" s="23" t="s">
        <v>57</v>
      </c>
      <c r="T11" s="31"/>
      <c r="U11" s="25"/>
    </row>
    <row r="12" spans="1:24" ht="15" x14ac:dyDescent="0.35">
      <c r="C12" s="16">
        <v>45034</v>
      </c>
      <c r="D12" s="57">
        <v>0.91041666666666698</v>
      </c>
      <c r="E12" s="19">
        <f t="shared" si="6"/>
        <v>28.483333333333334</v>
      </c>
      <c r="F12" s="19">
        <f t="shared" si="7"/>
        <v>0.68333333333333335</v>
      </c>
      <c r="G12" s="54">
        <f t="shared" si="1"/>
        <v>1.6833330521497722</v>
      </c>
      <c r="H12" s="87">
        <f t="shared" si="0"/>
        <v>1.6833330521497722</v>
      </c>
      <c r="I12">
        <f t="shared" si="8"/>
        <v>542.27989989062917</v>
      </c>
      <c r="J12">
        <f t="shared" si="2"/>
        <v>1.1399499453146271</v>
      </c>
      <c r="K12">
        <f t="shared" si="3"/>
        <v>1.1399499453146271</v>
      </c>
      <c r="L12" s="60">
        <f>((L11*I11/1000)+(G12*$T$7/1000*5/60))/(I12/1000)</f>
        <v>1.6648973286143849</v>
      </c>
      <c r="M12">
        <f t="shared" si="5"/>
        <v>22.362022674677601</v>
      </c>
      <c r="S12" s="23" t="s">
        <v>58</v>
      </c>
      <c r="T12" s="32"/>
      <c r="U12" s="25"/>
    </row>
    <row r="13" spans="1:24" ht="15" x14ac:dyDescent="0.35">
      <c r="C13" s="16">
        <v>45034</v>
      </c>
      <c r="D13" s="57">
        <v>0.91388888888888997</v>
      </c>
      <c r="E13" s="19">
        <f t="shared" si="6"/>
        <v>28.566666666666666</v>
      </c>
      <c r="F13" s="19">
        <f t="shared" si="7"/>
        <v>0.76666666666666672</v>
      </c>
      <c r="G13" s="54">
        <f t="shared" si="1"/>
        <v>1.6875466495823559</v>
      </c>
      <c r="H13" s="87">
        <f t="shared" si="0"/>
        <v>1.6875466495823559</v>
      </c>
      <c r="I13">
        <f t="shared" si="8"/>
        <v>542.56115766555956</v>
      </c>
      <c r="J13">
        <f t="shared" si="2"/>
        <v>1.2805788327798235</v>
      </c>
      <c r="K13">
        <f t="shared" si="3"/>
        <v>1.2805788327798235</v>
      </c>
      <c r="L13" s="60">
        <f t="shared" si="4"/>
        <v>1.8693163364761083</v>
      </c>
      <c r="M13">
        <f t="shared" si="5"/>
        <v>22.406472452275978</v>
      </c>
      <c r="S13" s="23" t="s">
        <v>59</v>
      </c>
      <c r="T13" s="27"/>
      <c r="U13" s="25"/>
    </row>
    <row r="14" spans="1:24" ht="15" x14ac:dyDescent="0.35">
      <c r="C14" s="16">
        <v>45034</v>
      </c>
      <c r="D14" s="57">
        <v>0.91736111111111196</v>
      </c>
      <c r="E14" s="19">
        <f t="shared" si="6"/>
        <v>28.650000000000002</v>
      </c>
      <c r="F14" s="19">
        <f t="shared" si="7"/>
        <v>0.85000000000000009</v>
      </c>
      <c r="G14" s="54">
        <f t="shared" si="1"/>
        <v>1.6917707941869922</v>
      </c>
      <c r="H14" s="87">
        <f t="shared" si="0"/>
        <v>1.6917707941869922</v>
      </c>
      <c r="I14">
        <f t="shared" si="8"/>
        <v>542.8431194645907</v>
      </c>
      <c r="J14">
        <f t="shared" si="2"/>
        <v>1.4215597322954063</v>
      </c>
      <c r="K14">
        <f t="shared" si="3"/>
        <v>1.4215597322954063</v>
      </c>
      <c r="L14" s="60">
        <f t="shared" si="4"/>
        <v>2.0740344081148505</v>
      </c>
      <c r="M14">
        <f t="shared" si="5"/>
        <v>22.450987259631205</v>
      </c>
      <c r="S14" s="23" t="s">
        <v>60</v>
      </c>
      <c r="T14" s="27"/>
      <c r="U14" s="25"/>
    </row>
    <row r="15" spans="1:24" x14ac:dyDescent="0.3">
      <c r="C15" s="16">
        <v>45034</v>
      </c>
      <c r="D15" s="57">
        <v>0.92083333333333395</v>
      </c>
      <c r="E15" s="19">
        <f t="shared" si="6"/>
        <v>28.733333333333334</v>
      </c>
      <c r="F15" s="19">
        <f t="shared" si="7"/>
        <v>0.93333333333333346</v>
      </c>
      <c r="G15" s="54">
        <f t="shared" si="1"/>
        <v>1.6960055123645996</v>
      </c>
      <c r="H15" s="87">
        <f t="shared" si="0"/>
        <v>1.6960055123645996</v>
      </c>
      <c r="I15">
        <f t="shared" si="8"/>
        <v>543.12578704998475</v>
      </c>
      <c r="J15">
        <f t="shared" si="2"/>
        <v>1.5628935249924563</v>
      </c>
      <c r="K15">
        <f t="shared" si="3"/>
        <v>1.5628935249924563</v>
      </c>
      <c r="L15" s="60">
        <f t="shared" si="4"/>
        <v>2.2790515591558669</v>
      </c>
      <c r="M15">
        <f t="shared" si="5"/>
        <v>22.495567100140903</v>
      </c>
      <c r="S15" s="23" t="s">
        <v>61</v>
      </c>
      <c r="T15" s="27"/>
      <c r="U15" s="25"/>
      <c r="V15" s="48" t="s">
        <v>62</v>
      </c>
    </row>
    <row r="16" spans="1:24" x14ac:dyDescent="0.3">
      <c r="C16" s="16">
        <v>45034</v>
      </c>
      <c r="D16" s="57">
        <v>0.92430555555555705</v>
      </c>
      <c r="E16" s="19">
        <f t="shared" si="6"/>
        <v>28.816666666666666</v>
      </c>
      <c r="F16" s="19">
        <f t="shared" si="7"/>
        <v>1.0166666666666668</v>
      </c>
      <c r="G16" s="54">
        <f t="shared" si="1"/>
        <v>1.7002508305821802</v>
      </c>
      <c r="H16" s="87">
        <f t="shared" si="0"/>
        <v>1.7002508305821802</v>
      </c>
      <c r="I16">
        <f t="shared" si="8"/>
        <v>543.40916218841517</v>
      </c>
      <c r="J16">
        <f t="shared" si="2"/>
        <v>1.704581094207638</v>
      </c>
      <c r="K16">
        <f t="shared" si="3"/>
        <v>1.704581094207638</v>
      </c>
      <c r="L16" s="60">
        <f t="shared" si="4"/>
        <v>2.4843678033981265</v>
      </c>
      <c r="M16">
        <f t="shared" si="5"/>
        <v>22.540211976805576</v>
      </c>
      <c r="S16" s="23" t="s">
        <v>63</v>
      </c>
      <c r="T16" s="33">
        <f>((T3*T5*T1)/(T7*T6))*10^3</f>
        <v>1.6483516483516483</v>
      </c>
      <c r="U16" s="55" t="s">
        <v>85</v>
      </c>
      <c r="V16" s="49">
        <f>T16/2</f>
        <v>0.82417582417582413</v>
      </c>
    </row>
    <row r="17" spans="3:22" x14ac:dyDescent="0.3">
      <c r="C17" s="16">
        <v>45034</v>
      </c>
      <c r="D17" s="57">
        <v>0.92777777777777903</v>
      </c>
      <c r="E17" s="19">
        <f t="shared" si="6"/>
        <v>28.900000000000002</v>
      </c>
      <c r="F17" s="19">
        <f t="shared" si="7"/>
        <v>1.1000000000000001</v>
      </c>
      <c r="G17" s="54">
        <f t="shared" si="1"/>
        <v>1.7045067753729866</v>
      </c>
      <c r="H17" s="87">
        <f t="shared" si="0"/>
        <v>1.7045067753729866</v>
      </c>
      <c r="I17">
        <f t="shared" si="8"/>
        <v>543.69324665097736</v>
      </c>
      <c r="J17">
        <f t="shared" si="2"/>
        <v>1.8466233254887203</v>
      </c>
      <c r="K17">
        <f t="shared" si="3"/>
        <v>1.8466233254887203</v>
      </c>
      <c r="L17" s="60">
        <f t="shared" si="4"/>
        <v>2.6899831528088325</v>
      </c>
      <c r="M17">
        <f t="shared" si="5"/>
        <v>22.584921892227435</v>
      </c>
      <c r="S17" s="23" t="s">
        <v>64</v>
      </c>
      <c r="T17" s="34"/>
      <c r="U17" s="35"/>
    </row>
    <row r="18" spans="3:22" ht="15" thickBot="1" x14ac:dyDescent="0.35">
      <c r="C18" s="16">
        <v>45034</v>
      </c>
      <c r="D18" s="57">
        <v>0.93125000000000102</v>
      </c>
      <c r="E18" s="19">
        <f t="shared" si="6"/>
        <v>28.983333333333334</v>
      </c>
      <c r="F18" s="19">
        <f t="shared" si="7"/>
        <v>1.1833333333333333</v>
      </c>
      <c r="G18" s="54">
        <f t="shared" si="1"/>
        <v>1.7087733733366874</v>
      </c>
      <c r="H18" s="87">
        <f t="shared" si="0"/>
        <v>1.7087733733366874</v>
      </c>
      <c r="I18">
        <f t="shared" si="8"/>
        <v>543.97804221320018</v>
      </c>
      <c r="J18">
        <f t="shared" si="2"/>
        <v>1.9890211066001109</v>
      </c>
      <c r="K18">
        <f t="shared" si="3"/>
        <v>1.9890211066001109</v>
      </c>
      <c r="L18" s="60">
        <f t="shared" si="4"/>
        <v>2.8958976175179543</v>
      </c>
      <c r="M18">
        <f t="shared" si="5"/>
        <v>22.629696848609182</v>
      </c>
      <c r="S18" s="36" t="s">
        <v>65</v>
      </c>
      <c r="T18" s="37"/>
      <c r="U18" s="38"/>
    </row>
    <row r="19" spans="3:22" ht="15" thickBot="1" x14ac:dyDescent="0.35">
      <c r="C19" s="16">
        <v>45034</v>
      </c>
      <c r="D19" s="57">
        <v>0.93472222222222401</v>
      </c>
      <c r="E19" s="19">
        <f t="shared" si="6"/>
        <v>29.066666666666666</v>
      </c>
      <c r="F19" s="19">
        <f t="shared" si="7"/>
        <v>1.2666666666666666</v>
      </c>
      <c r="G19" s="54">
        <f t="shared" si="1"/>
        <v>1.7130506511395338</v>
      </c>
      <c r="H19" s="87">
        <f t="shared" si="0"/>
        <v>1.7130506511395338</v>
      </c>
      <c r="I19">
        <f t="shared" si="8"/>
        <v>544.26355065505675</v>
      </c>
      <c r="J19">
        <f t="shared" si="2"/>
        <v>2.1317753275284055</v>
      </c>
      <c r="K19">
        <f t="shared" si="3"/>
        <v>2.1317753275284055</v>
      </c>
      <c r="L19" s="60">
        <f t="shared" si="4"/>
        <v>3.1021112058127684</v>
      </c>
      <c r="M19">
        <f t="shared" si="5"/>
        <v>22.674536847752847</v>
      </c>
    </row>
    <row r="20" spans="3:22" ht="15" x14ac:dyDescent="0.35">
      <c r="C20" s="16">
        <v>45034</v>
      </c>
      <c r="D20" s="57">
        <v>0.938194444444446</v>
      </c>
      <c r="E20" s="19">
        <f t="shared" si="6"/>
        <v>29.150000000000002</v>
      </c>
      <c r="F20" s="19">
        <f t="shared" si="7"/>
        <v>1.3499999999999999</v>
      </c>
      <c r="G20" s="54">
        <f t="shared" si="1"/>
        <v>1.7173386355145264</v>
      </c>
      <c r="H20" s="87">
        <f t="shared" si="0"/>
        <v>1.7173386355145264</v>
      </c>
      <c r="I20">
        <f t="shared" si="8"/>
        <v>544.54977376097588</v>
      </c>
      <c r="J20">
        <f t="shared" si="2"/>
        <v>2.2748868804879492</v>
      </c>
      <c r="K20">
        <f t="shared" si="3"/>
        <v>2.2748868804879492</v>
      </c>
      <c r="L20" s="60">
        <f t="shared" si="4"/>
        <v>3.3086239241324087</v>
      </c>
      <c r="M20">
        <f t="shared" si="5"/>
        <v>22.719441891058572</v>
      </c>
      <c r="S20" s="20" t="s">
        <v>66</v>
      </c>
      <c r="T20" s="39"/>
      <c r="U20" s="40"/>
    </row>
    <row r="21" spans="3:22" ht="15" x14ac:dyDescent="0.35">
      <c r="C21" s="16">
        <v>45034</v>
      </c>
      <c r="D21" s="57">
        <v>0.94166666666666798</v>
      </c>
      <c r="E21" s="19">
        <f t="shared" si="6"/>
        <v>29.233333333333334</v>
      </c>
      <c r="F21" s="19">
        <f t="shared" si="7"/>
        <v>1.4333333333333331</v>
      </c>
      <c r="G21" s="54">
        <f t="shared" si="1"/>
        <v>1.7216373532615814</v>
      </c>
      <c r="H21" s="87">
        <f t="shared" si="0"/>
        <v>1.7216373532615814</v>
      </c>
      <c r="I21">
        <f t="shared" si="8"/>
        <v>544.83671331985283</v>
      </c>
      <c r="J21">
        <f t="shared" si="2"/>
        <v>2.4183566599264141</v>
      </c>
      <c r="K21">
        <f t="shared" si="3"/>
        <v>2.4183566599264141</v>
      </c>
      <c r="L21" s="60">
        <f t="shared" si="4"/>
        <v>3.5154357770624349</v>
      </c>
      <c r="M21">
        <f t="shared" si="5"/>
        <v>22.764411979523466</v>
      </c>
      <c r="S21" s="23" t="s">
        <v>67</v>
      </c>
      <c r="T21" s="41"/>
      <c r="U21" s="25" t="s">
        <v>68</v>
      </c>
    </row>
    <row r="22" spans="3:22" ht="15" x14ac:dyDescent="0.35">
      <c r="C22" s="16">
        <v>45034</v>
      </c>
      <c r="D22" s="57">
        <v>0.94513888888889097</v>
      </c>
      <c r="E22" s="19">
        <f t="shared" si="6"/>
        <v>29.316666666666666</v>
      </c>
      <c r="F22" s="19">
        <f t="shared" si="7"/>
        <v>1.5166666666666664</v>
      </c>
      <c r="G22" s="54">
        <f t="shared" si="1"/>
        <v>1.7259468312476984</v>
      </c>
      <c r="H22" s="87">
        <f t="shared" si="0"/>
        <v>1.7259468312476984</v>
      </c>
      <c r="I22">
        <f t="shared" si="8"/>
        <v>545.12437112506075</v>
      </c>
      <c r="J22">
        <f t="shared" si="2"/>
        <v>2.5621855625303889</v>
      </c>
      <c r="K22">
        <f t="shared" si="3"/>
        <v>2.5621855625303889</v>
      </c>
      <c r="L22" s="60">
        <f t="shared" si="4"/>
        <v>3.7225467673294022</v>
      </c>
      <c r="M22">
        <f t="shared" si="5"/>
        <v>22.809447113740408</v>
      </c>
      <c r="S22" s="23" t="s">
        <v>69</v>
      </c>
      <c r="T22" s="27"/>
      <c r="U22" s="25"/>
    </row>
    <row r="23" spans="3:22" ht="15.6" thickBot="1" x14ac:dyDescent="0.4">
      <c r="C23" s="16">
        <v>45034</v>
      </c>
      <c r="D23" s="57">
        <v>0.94861111111111296</v>
      </c>
      <c r="E23" s="19">
        <f t="shared" si="6"/>
        <v>29.4</v>
      </c>
      <c r="F23" s="19">
        <f t="shared" si="7"/>
        <v>1.5999999999999996</v>
      </c>
      <c r="G23" s="54">
        <f t="shared" si="1"/>
        <v>1.7302670964071289</v>
      </c>
      <c r="H23" s="87">
        <f t="shared" si="0"/>
        <v>1.7302670964071289</v>
      </c>
      <c r="I23">
        <f t="shared" si="8"/>
        <v>545.41274897446192</v>
      </c>
      <c r="J23">
        <f t="shared" si="2"/>
        <v>2.706374487230983</v>
      </c>
      <c r="K23">
        <f t="shared" si="3"/>
        <v>2.706374487230983</v>
      </c>
      <c r="L23" s="60">
        <f t="shared" si="4"/>
        <v>3.9299568957954487</v>
      </c>
      <c r="M23">
        <f t="shared" si="5"/>
        <v>22.854547293896861</v>
      </c>
      <c r="S23" s="36" t="s">
        <v>70</v>
      </c>
      <c r="T23" s="42"/>
      <c r="U23" s="43" t="s">
        <v>68</v>
      </c>
    </row>
    <row r="24" spans="3:22" x14ac:dyDescent="0.3">
      <c r="C24" s="16">
        <v>45034</v>
      </c>
      <c r="D24" s="57">
        <v>0.95208333333333495</v>
      </c>
      <c r="E24" s="19">
        <f t="shared" si="6"/>
        <v>29.483333333333334</v>
      </c>
      <c r="F24" s="19">
        <f t="shared" si="7"/>
        <v>1.6833333333333329</v>
      </c>
      <c r="G24" s="54">
        <f t="shared" si="1"/>
        <v>1.7345981757415445</v>
      </c>
      <c r="H24" s="87">
        <f t="shared" si="0"/>
        <v>1.7345981757415445</v>
      </c>
      <c r="I24">
        <f t="shared" si="8"/>
        <v>545.70184867041883</v>
      </c>
      <c r="J24">
        <f t="shared" si="2"/>
        <v>2.8509243352094451</v>
      </c>
      <c r="K24">
        <f t="shared" si="3"/>
        <v>2.8509243352094451</v>
      </c>
      <c r="L24" s="60">
        <f t="shared" si="4"/>
        <v>4.1376661614528958</v>
      </c>
      <c r="M24">
        <f t="shared" si="5"/>
        <v>22.899712519773708</v>
      </c>
    </row>
    <row r="25" spans="3:22" x14ac:dyDescent="0.3">
      <c r="C25" s="16">
        <v>45034</v>
      </c>
      <c r="D25" s="57">
        <v>0.95555555555555705</v>
      </c>
      <c r="E25" s="19">
        <f t="shared" si="6"/>
        <v>29.566666666666666</v>
      </c>
      <c r="F25" s="19">
        <f t="shared" si="7"/>
        <v>1.7666666666666662</v>
      </c>
      <c r="G25" s="54">
        <f t="shared" si="1"/>
        <v>1.7389400963202053</v>
      </c>
      <c r="H25" s="87">
        <f t="shared" si="0"/>
        <v>1.7389400963202053</v>
      </c>
      <c r="I25">
        <f t="shared" si="8"/>
        <v>545.99167201980549</v>
      </c>
      <c r="J25">
        <f t="shared" si="2"/>
        <v>2.9958360099027956</v>
      </c>
      <c r="K25">
        <f t="shared" si="3"/>
        <v>2.9958360099027956</v>
      </c>
      <c r="L25" s="60">
        <f t="shared" si="4"/>
        <v>4.3456745614188534</v>
      </c>
      <c r="M25">
        <f t="shared" si="5"/>
        <v>22.944942790744086</v>
      </c>
    </row>
    <row r="26" spans="3:22" x14ac:dyDescent="0.3">
      <c r="C26" s="16">
        <v>45034</v>
      </c>
      <c r="D26" s="57">
        <v>0.95902777777778003</v>
      </c>
      <c r="E26" s="19">
        <f t="shared" si="6"/>
        <v>29.65</v>
      </c>
      <c r="F26" s="19">
        <f t="shared" si="7"/>
        <v>1.8499999999999994</v>
      </c>
      <c r="G26" s="54">
        <f t="shared" si="1"/>
        <v>1.7432928852801282</v>
      </c>
      <c r="H26" s="87">
        <f t="shared" si="0"/>
        <v>1.7432928852801282</v>
      </c>
      <c r="I26">
        <f t="shared" si="8"/>
        <v>546.28222083401886</v>
      </c>
      <c r="J26">
        <f t="shared" si="2"/>
        <v>3.141110417009473</v>
      </c>
      <c r="K26">
        <f t="shared" si="3"/>
        <v>3.141110417009473</v>
      </c>
      <c r="L26" s="60">
        <f t="shared" si="4"/>
        <v>4.5539820909298427</v>
      </c>
      <c r="M26">
        <f t="shared" si="5"/>
        <v>22.990238105772196</v>
      </c>
      <c r="T26" s="61"/>
      <c r="U26" s="61"/>
      <c r="V26" s="61"/>
    </row>
    <row r="27" spans="3:22" x14ac:dyDescent="0.3">
      <c r="C27" s="16">
        <v>45034</v>
      </c>
      <c r="D27" s="57">
        <v>0.96250000000000202</v>
      </c>
      <c r="E27" s="19">
        <f t="shared" si="6"/>
        <v>29.733333333333334</v>
      </c>
      <c r="F27" s="19">
        <f t="shared" si="7"/>
        <v>1.9333333333333327</v>
      </c>
      <c r="G27" s="54">
        <f t="shared" si="1"/>
        <v>1.7476565698262592</v>
      </c>
      <c r="H27" s="87">
        <f t="shared" si="0"/>
        <v>1.7476565698262592</v>
      </c>
      <c r="I27">
        <f t="shared" si="8"/>
        <v>546.57349692898993</v>
      </c>
      <c r="J27">
        <f t="shared" si="2"/>
        <v>3.2867484644949947</v>
      </c>
      <c r="K27">
        <f t="shared" si="3"/>
        <v>3.2867484644949947</v>
      </c>
      <c r="L27" s="60">
        <f t="shared" si="4"/>
        <v>4.7625887433364307</v>
      </c>
      <c r="M27">
        <f t="shared" si="5"/>
        <v>23.035598463412164</v>
      </c>
      <c r="T27" s="57"/>
      <c r="U27" s="57"/>
      <c r="V27" s="57"/>
    </row>
    <row r="28" spans="3:22" x14ac:dyDescent="0.3">
      <c r="C28" s="16">
        <v>45034</v>
      </c>
      <c r="D28" s="57">
        <v>0.96597222222222401</v>
      </c>
      <c r="E28" s="19">
        <f t="shared" si="6"/>
        <v>29.816666666666666</v>
      </c>
      <c r="F28" s="19">
        <f t="shared" si="7"/>
        <v>2.0166666666666662</v>
      </c>
      <c r="G28" s="54">
        <f t="shared" si="1"/>
        <v>1.7520311772316404</v>
      </c>
      <c r="H28" s="87">
        <f t="shared" si="0"/>
        <v>1.7520311772316404</v>
      </c>
      <c r="I28">
        <f t="shared" si="8"/>
        <v>546.86550212519523</v>
      </c>
      <c r="J28">
        <f t="shared" si="2"/>
        <v>3.4327510625976312</v>
      </c>
      <c r="K28">
        <f t="shared" si="3"/>
        <v>3.4327510625976312</v>
      </c>
      <c r="L28" s="60">
        <f t="shared" si="4"/>
        <v>4.9714945100978731</v>
      </c>
      <c r="M28">
        <f t="shared" si="5"/>
        <v>23.081023861806845</v>
      </c>
    </row>
    <row r="29" spans="3:22" x14ac:dyDescent="0.3">
      <c r="C29" s="16">
        <v>45034</v>
      </c>
      <c r="D29" s="57">
        <v>0.969444444444447</v>
      </c>
      <c r="E29" s="19">
        <f t="shared" si="6"/>
        <v>29.9</v>
      </c>
      <c r="F29" s="19">
        <f t="shared" si="7"/>
        <v>2.0999999999999996</v>
      </c>
      <c r="G29" s="54">
        <f t="shared" si="1"/>
        <v>1.7564167348375823</v>
      </c>
      <c r="H29" s="87">
        <f t="shared" si="0"/>
        <v>1.7564167348375823</v>
      </c>
      <c r="I29">
        <f t="shared" si="8"/>
        <v>547.15823824766812</v>
      </c>
      <c r="J29">
        <f t="shared" si="2"/>
        <v>3.5791191238340962</v>
      </c>
      <c r="K29">
        <f t="shared" si="3"/>
        <v>3.5791191238340962</v>
      </c>
      <c r="L29" s="60">
        <f t="shared" si="4"/>
        <v>5.1806993807767752</v>
      </c>
      <c r="M29">
        <f t="shared" si="5"/>
        <v>23.126514298686693</v>
      </c>
    </row>
    <row r="30" spans="3:22" x14ac:dyDescent="0.3">
      <c r="C30" s="16">
        <v>45034</v>
      </c>
      <c r="D30" s="57">
        <v>0.97291666666666898</v>
      </c>
      <c r="E30" s="19">
        <f t="shared" si="6"/>
        <v>29.983333333333334</v>
      </c>
      <c r="F30" s="19">
        <f t="shared" si="7"/>
        <v>2.1833333333333331</v>
      </c>
      <c r="G30" s="54">
        <f t="shared" si="1"/>
        <v>1.760813270053835</v>
      </c>
      <c r="H30" s="87">
        <f t="shared" si="0"/>
        <v>1.760813270053835</v>
      </c>
      <c r="I30">
        <f t="shared" si="8"/>
        <v>547.45170712601043</v>
      </c>
      <c r="J30">
        <f t="shared" si="2"/>
        <v>3.7258535630052489</v>
      </c>
      <c r="K30">
        <f t="shared" si="3"/>
        <v>3.7258535630052489</v>
      </c>
      <c r="L30" s="60">
        <f t="shared" si="4"/>
        <v>5.3902033430337566</v>
      </c>
      <c r="M30">
        <f t="shared" si="5"/>
        <v>23.172069771368569</v>
      </c>
    </row>
    <row r="31" spans="3:22" x14ac:dyDescent="0.3">
      <c r="C31" s="16">
        <v>45034</v>
      </c>
      <c r="D31" s="57">
        <v>0.97638888888889097</v>
      </c>
      <c r="E31" s="19">
        <f t="shared" si="6"/>
        <v>30.066666666666666</v>
      </c>
      <c r="F31" s="19">
        <f t="shared" si="7"/>
        <v>2.2666666666666666</v>
      </c>
      <c r="G31" s="54">
        <f t="shared" si="1"/>
        <v>1.765220810358757</v>
      </c>
      <c r="H31" s="87">
        <f t="shared" si="0"/>
        <v>1.765220810358757</v>
      </c>
      <c r="I31">
        <f t="shared" si="8"/>
        <v>547.74591059440354</v>
      </c>
      <c r="J31">
        <f t="shared" si="2"/>
        <v>3.8729552972018122</v>
      </c>
      <c r="K31">
        <f t="shared" si="3"/>
        <v>3.8729552972018122</v>
      </c>
      <c r="L31" s="60">
        <f t="shared" si="4"/>
        <v>5.6000063826221398</v>
      </c>
      <c r="M31">
        <f t="shared" si="5"/>
        <v>23.217690276754624</v>
      </c>
    </row>
    <row r="32" spans="3:22" x14ac:dyDescent="0.3">
      <c r="C32" s="16">
        <v>45034</v>
      </c>
      <c r="D32" s="57">
        <v>0.97986111111111396</v>
      </c>
      <c r="E32" s="19">
        <f t="shared" si="6"/>
        <v>30.150000000000002</v>
      </c>
      <c r="F32" s="19">
        <f t="shared" si="7"/>
        <v>2.35</v>
      </c>
      <c r="G32" s="54">
        <f t="shared" si="1"/>
        <v>1.7696393832994899</v>
      </c>
      <c r="H32" s="87">
        <f t="shared" si="0"/>
        <v>1.7696393832994899</v>
      </c>
      <c r="I32">
        <f t="shared" si="8"/>
        <v>548.04085049162018</v>
      </c>
      <c r="J32">
        <f t="shared" si="2"/>
        <v>4.0204252458101033</v>
      </c>
      <c r="K32">
        <f t="shared" si="3"/>
        <v>4.0204252458101033</v>
      </c>
      <c r="L32" s="60">
        <f t="shared" si="4"/>
        <v>5.8101084833826446</v>
      </c>
      <c r="M32">
        <f t="shared" si="5"/>
        <v>23.263375811331098</v>
      </c>
    </row>
    <row r="33" spans="1:13" x14ac:dyDescent="0.3">
      <c r="C33" s="16">
        <v>45034</v>
      </c>
      <c r="D33" s="57">
        <v>0.98333333333333595</v>
      </c>
      <c r="E33" s="19">
        <f t="shared" si="6"/>
        <v>30.233333333333334</v>
      </c>
      <c r="F33" s="19">
        <f t="shared" si="7"/>
        <v>2.4333333333333336</v>
      </c>
      <c r="G33" s="54">
        <f t="shared" si="1"/>
        <v>1.7740690164921291</v>
      </c>
      <c r="H33" s="87">
        <f t="shared" si="0"/>
        <v>1.7740690164921291</v>
      </c>
      <c r="I33">
        <f t="shared" si="8"/>
        <v>548.33652866103557</v>
      </c>
      <c r="J33">
        <f t="shared" si="2"/>
        <v>4.1682643305177809</v>
      </c>
      <c r="K33">
        <f t="shared" si="3"/>
        <v>4.1682643305177809</v>
      </c>
      <c r="L33" s="60">
        <f t="shared" si="4"/>
        <v>6.0205096272380958</v>
      </c>
      <c r="M33">
        <f t="shared" si="5"/>
        <v>23.309126371167221</v>
      </c>
    </row>
    <row r="34" spans="1:13" x14ac:dyDescent="0.3">
      <c r="C34" s="16">
        <v>45034</v>
      </c>
      <c r="D34" s="57">
        <v>0.98680555555555804</v>
      </c>
      <c r="E34" s="19">
        <f t="shared" si="6"/>
        <v>30.316666666666666</v>
      </c>
      <c r="F34" s="19">
        <f t="shared" si="7"/>
        <v>2.5166666666666671</v>
      </c>
      <c r="G34" s="54">
        <f t="shared" si="1"/>
        <v>1.7785097376218963</v>
      </c>
      <c r="H34" s="87">
        <f t="shared" si="0"/>
        <v>1.7785097376218963</v>
      </c>
      <c r="I34">
        <f t="shared" si="8"/>
        <v>548.63294695063917</v>
      </c>
      <c r="J34">
        <f t="shared" si="2"/>
        <v>4.3164734753196052</v>
      </c>
      <c r="K34">
        <f t="shared" si="3"/>
        <v>4.3164734753196052</v>
      </c>
      <c r="L34" s="60">
        <f t="shared" si="4"/>
        <v>6.2312097941881452</v>
      </c>
      <c r="M34">
        <f t="shared" si="5"/>
        <v>23.354941951914029</v>
      </c>
    </row>
    <row r="35" spans="1:13" x14ac:dyDescent="0.3">
      <c r="C35" s="16">
        <v>45034</v>
      </c>
      <c r="D35" s="57">
        <v>0.99027777777778103</v>
      </c>
      <c r="E35" s="19">
        <f t="shared" si="6"/>
        <v>30.400000000000002</v>
      </c>
      <c r="F35" s="19">
        <f t="shared" si="7"/>
        <v>2.6000000000000005</v>
      </c>
      <c r="G35" s="54">
        <f t="shared" si="1"/>
        <v>1.7829615744433129</v>
      </c>
      <c r="H35" s="87">
        <f t="shared" si="0"/>
        <v>1.7829615744433129</v>
      </c>
      <c r="I35">
        <f t="shared" si="8"/>
        <v>548.93010721304643</v>
      </c>
      <c r="J35">
        <f t="shared" si="2"/>
        <v>4.4650536065232149</v>
      </c>
      <c r="K35">
        <f t="shared" si="3"/>
        <v>4.4650536065232149</v>
      </c>
      <c r="L35" s="60">
        <f t="shared" si="4"/>
        <v>6.4422089623040053</v>
      </c>
      <c r="M35">
        <f t="shared" si="5"/>
        <v>23.400822548803223</v>
      </c>
    </row>
    <row r="36" spans="1:13" x14ac:dyDescent="0.3">
      <c r="C36" s="16">
        <v>45034</v>
      </c>
      <c r="D36" s="57">
        <v>0.99375000000000302</v>
      </c>
      <c r="E36" s="19">
        <f t="shared" si="6"/>
        <v>30.483333333333334</v>
      </c>
      <c r="F36" s="19">
        <f t="shared" si="7"/>
        <v>2.683333333333334</v>
      </c>
      <c r="G36" s="54">
        <f t="shared" si="1"/>
        <v>1.787424554780374</v>
      </c>
      <c r="H36" s="87">
        <f t="shared" si="0"/>
        <v>1.787424554780374</v>
      </c>
      <c r="I36">
        <f t="shared" si="8"/>
        <v>549.22801130550977</v>
      </c>
      <c r="J36">
        <f t="shared" si="2"/>
        <v>4.6140056527549129</v>
      </c>
      <c r="K36">
        <f t="shared" si="3"/>
        <v>4.6140056527549129</v>
      </c>
      <c r="L36" s="60">
        <f t="shared" si="4"/>
        <v>6.6535071077232057</v>
      </c>
      <c r="M36">
        <f t="shared" si="5"/>
        <v>23.446768156646044</v>
      </c>
    </row>
    <row r="37" spans="1:13" x14ac:dyDescent="0.3">
      <c r="C37" s="16">
        <v>45034</v>
      </c>
      <c r="D37" s="57">
        <v>0.99722222222222501</v>
      </c>
      <c r="E37" s="19">
        <f t="shared" si="6"/>
        <v>30.56666666666667</v>
      </c>
      <c r="F37" s="19">
        <f t="shared" si="7"/>
        <v>2.7666666666666675</v>
      </c>
      <c r="G37" s="54">
        <f t="shared" si="1"/>
        <v>1.7918987065267209</v>
      </c>
      <c r="H37" s="87">
        <f t="shared" si="0"/>
        <v>1.7918987065267209</v>
      </c>
      <c r="I37">
        <f t="shared" si="8"/>
        <v>549.52666108993094</v>
      </c>
      <c r="J37">
        <f t="shared" si="2"/>
        <v>4.7633305449654726</v>
      </c>
      <c r="K37">
        <f t="shared" si="3"/>
        <v>4.7633305449654726</v>
      </c>
      <c r="L37" s="60">
        <f t="shared" si="4"/>
        <v>6.8651042046443473</v>
      </c>
      <c r="M37">
        <f t="shared" si="5"/>
        <v>23.492778769832118</v>
      </c>
    </row>
    <row r="38" spans="1:13" x14ac:dyDescent="0.3">
      <c r="C38" s="16">
        <v>45035</v>
      </c>
      <c r="D38" s="57">
        <v>1.0006944444444501</v>
      </c>
      <c r="E38" s="19">
        <f t="shared" si="6"/>
        <v>30.650000000000002</v>
      </c>
      <c r="F38" s="19">
        <f t="shared" si="7"/>
        <v>2.850000000000001</v>
      </c>
      <c r="G38" s="54">
        <f t="shared" si="1"/>
        <v>1.7963840576458163</v>
      </c>
      <c r="H38" s="87">
        <f t="shared" si="0"/>
        <v>1.7963840576458163</v>
      </c>
      <c r="I38">
        <f t="shared" si="8"/>
        <v>549.82605843287195</v>
      </c>
      <c r="J38">
        <f t="shared" si="2"/>
        <v>4.913029216435957</v>
      </c>
      <c r="K38">
        <f t="shared" si="3"/>
        <v>4.913029216435957</v>
      </c>
      <c r="L38" s="60">
        <f t="shared" si="4"/>
        <v>7.0770002253218838</v>
      </c>
      <c r="M38">
        <f t="shared" si="5"/>
        <v>23.538854382328331</v>
      </c>
    </row>
    <row r="39" spans="1:13" x14ac:dyDescent="0.3">
      <c r="C39" s="16">
        <v>45035</v>
      </c>
      <c r="D39" s="57">
        <v>1.00416666666667</v>
      </c>
      <c r="E39" s="19">
        <f t="shared" si="6"/>
        <v>30.733333333333334</v>
      </c>
      <c r="F39" s="19">
        <f t="shared" si="7"/>
        <v>2.9333333333333345</v>
      </c>
      <c r="G39" s="54">
        <f t="shared" si="1"/>
        <v>1.8008806361711198</v>
      </c>
      <c r="H39" s="87">
        <f t="shared" si="0"/>
        <v>1.8008806361711198</v>
      </c>
      <c r="I39">
        <f t="shared" si="8"/>
        <v>550.12620520556709</v>
      </c>
      <c r="J39">
        <f t="shared" si="2"/>
        <v>5.06310260278355</v>
      </c>
      <c r="K39">
        <f t="shared" si="3"/>
        <v>5.06310260278355</v>
      </c>
      <c r="L39" s="60">
        <f t="shared" si="4"/>
        <v>7.2891951400609125</v>
      </c>
      <c r="M39">
        <f t="shared" si="5"/>
        <v>23.584994987677696</v>
      </c>
    </row>
    <row r="40" spans="1:13" x14ac:dyDescent="0.3">
      <c r="A40" s="61"/>
      <c r="B40" s="61"/>
      <c r="C40" s="16">
        <v>45035</v>
      </c>
      <c r="D40" s="57">
        <v>1.0076388888888901</v>
      </c>
      <c r="E40" s="19">
        <f t="shared" si="6"/>
        <v>30.81666666666667</v>
      </c>
      <c r="F40" s="19">
        <f t="shared" si="7"/>
        <v>3.0166666666666679</v>
      </c>
      <c r="G40" s="54">
        <f t="shared" si="1"/>
        <v>1.8053884702062615</v>
      </c>
      <c r="H40" s="87">
        <f t="shared" si="0"/>
        <v>1.8053884702062615</v>
      </c>
      <c r="I40">
        <f t="shared" si="8"/>
        <v>550.4271032839348</v>
      </c>
      <c r="J40">
        <f t="shared" si="2"/>
        <v>5.2135516419674053</v>
      </c>
      <c r="K40">
        <f t="shared" si="3"/>
        <v>5.2135516419674053</v>
      </c>
      <c r="L40" s="60">
        <f t="shared" si="4"/>
        <v>7.5016889172119745</v>
      </c>
      <c r="M40">
        <f t="shared" si="5"/>
        <v>23.631200578998207</v>
      </c>
    </row>
    <row r="41" spans="1:13" x14ac:dyDescent="0.3">
      <c r="B41" s="61"/>
      <c r="C41" s="16">
        <v>45035</v>
      </c>
      <c r="D41" s="57">
        <v>1.01111111111112</v>
      </c>
      <c r="E41" s="19">
        <f t="shared" si="6"/>
        <v>30.900000000000002</v>
      </c>
      <c r="F41" s="19">
        <f t="shared" si="7"/>
        <v>3.1000000000000014</v>
      </c>
      <c r="G41" s="54">
        <f t="shared" si="1"/>
        <v>1.8099075879252189</v>
      </c>
      <c r="H41" s="87">
        <f t="shared" si="0"/>
        <v>1.8099075879252189</v>
      </c>
      <c r="I41">
        <f t="shared" si="8"/>
        <v>550.728754548589</v>
      </c>
      <c r="J41">
        <f t="shared" si="2"/>
        <v>5.3643772742945073</v>
      </c>
      <c r="K41">
        <f t="shared" si="3"/>
        <v>5.3643772742945073</v>
      </c>
      <c r="L41" s="60">
        <f t="shared" si="4"/>
        <v>7.7144815231658814</v>
      </c>
      <c r="M41">
        <f t="shared" si="5"/>
        <v>23.677471148981741</v>
      </c>
    </row>
    <row r="42" spans="1:13" x14ac:dyDescent="0.3">
      <c r="C42" s="16">
        <v>45035</v>
      </c>
      <c r="D42" s="57">
        <v>1.0145833333333401</v>
      </c>
      <c r="E42" s="19">
        <f t="shared" si="6"/>
        <v>30.983333333333334</v>
      </c>
      <c r="F42" s="19">
        <f t="shared" si="7"/>
        <v>3.1833333333333349</v>
      </c>
      <c r="G42" s="54">
        <f t="shared" si="1"/>
        <v>1.8144380175724928</v>
      </c>
      <c r="H42" s="87">
        <f t="shared" si="0"/>
        <v>1.8144380175724928</v>
      </c>
      <c r="I42">
        <f t="shared" si="8"/>
        <v>551.03116088485103</v>
      </c>
      <c r="J42">
        <f t="shared" si="2"/>
        <v>5.5155804424255486</v>
      </c>
      <c r="K42">
        <f t="shared" si="3"/>
        <v>5.5155804424255486</v>
      </c>
      <c r="L42" s="60">
        <f t="shared" si="4"/>
        <v>7.9275729223485492</v>
      </c>
      <c r="M42">
        <f t="shared" si="5"/>
        <v>23.723806689892907</v>
      </c>
    </row>
    <row r="43" spans="1:13" x14ac:dyDescent="0.3">
      <c r="A43" s="61"/>
      <c r="C43" s="16">
        <v>45035</v>
      </c>
      <c r="D43" s="57">
        <v>1.0180555555555599</v>
      </c>
      <c r="E43" s="19">
        <f t="shared" si="6"/>
        <v>31.06666666666667</v>
      </c>
      <c r="F43" s="19">
        <f t="shared" si="7"/>
        <v>3.2666666666666684</v>
      </c>
      <c r="G43" s="54">
        <f t="shared" si="1"/>
        <v>1.8189797874632823</v>
      </c>
      <c r="H43" s="87">
        <f t="shared" si="0"/>
        <v>1.8189797874632823</v>
      </c>
      <c r="I43">
        <f t="shared" si="8"/>
        <v>551.33432418276163</v>
      </c>
      <c r="J43">
        <f t="shared" si="2"/>
        <v>5.6671620913808223</v>
      </c>
      <c r="K43">
        <f t="shared" si="3"/>
        <v>5.6671620913808223</v>
      </c>
      <c r="L43" s="60">
        <f t="shared" si="4"/>
        <v>8.1409630772158366</v>
      </c>
      <c r="M43">
        <f t="shared" si="5"/>
        <v>23.770207193567938</v>
      </c>
    </row>
    <row r="44" spans="1:13" x14ac:dyDescent="0.3">
      <c r="C44" s="16">
        <v>45035</v>
      </c>
      <c r="D44" s="57">
        <v>1.02152777777778</v>
      </c>
      <c r="E44" s="19">
        <f t="shared" si="6"/>
        <v>31.150000000000002</v>
      </c>
      <c r="F44" s="19">
        <f t="shared" si="7"/>
        <v>3.3500000000000019</v>
      </c>
      <c r="G44" s="54">
        <f t="shared" si="1"/>
        <v>1.8235329259836648</v>
      </c>
      <c r="H44" s="87">
        <f t="shared" si="0"/>
        <v>1.8235329259836648</v>
      </c>
      <c r="I44">
        <f t="shared" si="8"/>
        <v>551.63824633709226</v>
      </c>
      <c r="J44">
        <f t="shared" si="2"/>
        <v>5.8191231685461275</v>
      </c>
      <c r="K44">
        <f t="shared" si="3"/>
        <v>5.8191231685461275</v>
      </c>
      <c r="L44" s="60">
        <f t="shared" si="4"/>
        <v>8.3546519482484207</v>
      </c>
      <c r="M44">
        <f t="shared" si="5"/>
        <v>23.81667265141358</v>
      </c>
    </row>
    <row r="45" spans="1:13" x14ac:dyDescent="0.3">
      <c r="C45" s="16">
        <v>45035</v>
      </c>
      <c r="D45" s="57">
        <v>1.0249999999999999</v>
      </c>
      <c r="E45" s="19">
        <f t="shared" si="6"/>
        <v>31.233333333333334</v>
      </c>
      <c r="F45" s="19">
        <f t="shared" si="7"/>
        <v>3.4333333333333353</v>
      </c>
      <c r="G45" s="54">
        <f t="shared" si="1"/>
        <v>1.8280974615907708</v>
      </c>
      <c r="H45" s="87">
        <f t="shared" si="0"/>
        <v>1.8280974615907708</v>
      </c>
      <c r="I45">
        <f t="shared" si="8"/>
        <v>551.94292924735737</v>
      </c>
      <c r="J45">
        <f t="shared" si="2"/>
        <v>5.9714646236786919</v>
      </c>
      <c r="K45">
        <f t="shared" si="3"/>
        <v>5.9714646236786919</v>
      </c>
      <c r="L45" s="60">
        <f t="shared" si="4"/>
        <v>8.5686394939466748</v>
      </c>
      <c r="M45">
        <f t="shared" si="5"/>
        <v>23.863203054405968</v>
      </c>
    </row>
    <row r="46" spans="1:13" x14ac:dyDescent="0.3">
      <c r="C46" s="16">
        <v>45035</v>
      </c>
      <c r="D46" s="57">
        <v>1.02847222222223</v>
      </c>
      <c r="E46" s="19">
        <f t="shared" si="6"/>
        <v>31.31666666666667</v>
      </c>
      <c r="F46" s="19">
        <f t="shared" si="7"/>
        <v>3.5166666666666688</v>
      </c>
      <c r="G46" s="54">
        <f t="shared" si="1"/>
        <v>1.8326734228129629</v>
      </c>
      <c r="H46" s="87">
        <f t="shared" si="0"/>
        <v>1.8326734228129629</v>
      </c>
      <c r="I46">
        <f t="shared" si="8"/>
        <v>552.24837481782617</v>
      </c>
      <c r="J46">
        <f t="shared" si="2"/>
        <v>6.1241874089131052</v>
      </c>
      <c r="K46">
        <f t="shared" si="3"/>
        <v>6.1241874089131052</v>
      </c>
      <c r="L46" s="60">
        <f t="shared" si="4"/>
        <v>8.7829256708255521</v>
      </c>
      <c r="M46">
        <f t="shared" si="5"/>
        <v>23.90979839308952</v>
      </c>
    </row>
    <row r="47" spans="1:13" x14ac:dyDescent="0.3">
      <c r="C47" s="16">
        <v>45035</v>
      </c>
      <c r="D47" s="57">
        <v>1.0319444444444501</v>
      </c>
      <c r="E47" s="19">
        <f t="shared" si="6"/>
        <v>31.400000000000002</v>
      </c>
      <c r="F47" s="19">
        <f t="shared" si="7"/>
        <v>3.6000000000000023</v>
      </c>
      <c r="G47" s="54">
        <f t="shared" si="1"/>
        <v>1.8372608382500129</v>
      </c>
      <c r="H47" s="87">
        <f t="shared" si="0"/>
        <v>1.8372608382500129</v>
      </c>
      <c r="I47">
        <f t="shared" si="8"/>
        <v>552.55458495753453</v>
      </c>
      <c r="J47">
        <f t="shared" si="2"/>
        <v>6.277292478767273</v>
      </c>
      <c r="K47">
        <f t="shared" si="3"/>
        <v>6.277292478767273</v>
      </c>
      <c r="L47" s="60">
        <f t="shared" si="4"/>
        <v>8.9975104334095075</v>
      </c>
      <c r="M47">
        <f t="shared" si="5"/>
        <v>23.956458657575833</v>
      </c>
    </row>
    <row r="48" spans="1:13" x14ac:dyDescent="0.3">
      <c r="C48" s="16">
        <v>45035</v>
      </c>
      <c r="D48" s="57">
        <v>1.03541666666667</v>
      </c>
      <c r="E48" s="19">
        <f t="shared" si="6"/>
        <v>31.483333333333338</v>
      </c>
      <c r="F48" s="19">
        <f t="shared" si="7"/>
        <v>3.6833333333333358</v>
      </c>
      <c r="G48" s="54">
        <f t="shared" si="1"/>
        <v>1.8418597365732827</v>
      </c>
      <c r="H48" s="87">
        <f t="shared" si="0"/>
        <v>1.8418597365732827</v>
      </c>
      <c r="I48">
        <f t="shared" si="8"/>
        <v>552.86156158029678</v>
      </c>
      <c r="J48">
        <f t="shared" si="2"/>
        <v>6.43078079014838</v>
      </c>
      <c r="K48">
        <f t="shared" si="3"/>
        <v>6.43078079014838</v>
      </c>
      <c r="L48" s="60">
        <f t="shared" si="4"/>
        <v>9.2123937342274225</v>
      </c>
      <c r="M48">
        <f t="shared" si="5"/>
        <v>24.003183837542572</v>
      </c>
    </row>
    <row r="49" spans="3:13" x14ac:dyDescent="0.3">
      <c r="C49" s="16">
        <v>45035</v>
      </c>
      <c r="D49" s="57">
        <v>1.0388888888888901</v>
      </c>
      <c r="E49" s="19">
        <f t="shared" si="6"/>
        <v>31.56666666666667</v>
      </c>
      <c r="F49" s="19">
        <f t="shared" si="7"/>
        <v>3.7666666666666693</v>
      </c>
      <c r="G49" s="54">
        <f t="shared" si="1"/>
        <v>1.8464701465259017</v>
      </c>
      <c r="H49" s="87">
        <f t="shared" si="0"/>
        <v>1.8464701465259017</v>
      </c>
      <c r="I49">
        <f t="shared" si="8"/>
        <v>553.1693066047178</v>
      </c>
      <c r="J49">
        <f t="shared" si="2"/>
        <v>6.5846533023588716</v>
      </c>
      <c r="K49">
        <f t="shared" si="3"/>
        <v>6.5846533023588716</v>
      </c>
      <c r="L49" s="60">
        <f t="shared" si="4"/>
        <v>9.4275755238075334</v>
      </c>
      <c r="M49">
        <f t="shared" si="5"/>
        <v>24.049973922232379</v>
      </c>
    </row>
    <row r="50" spans="3:13" x14ac:dyDescent="0.3">
      <c r="C50" s="16">
        <v>45035</v>
      </c>
      <c r="D50" s="57">
        <v>1.04236111111112</v>
      </c>
      <c r="E50" s="19">
        <f t="shared" si="6"/>
        <v>31.650000000000002</v>
      </c>
      <c r="F50" s="19">
        <f t="shared" si="7"/>
        <v>3.8500000000000028</v>
      </c>
      <c r="G50" s="54">
        <f t="shared" si="1"/>
        <v>1.8510920969229474</v>
      </c>
      <c r="H50" s="87">
        <f t="shared" si="0"/>
        <v>1.8510920969229474</v>
      </c>
      <c r="I50">
        <f t="shared" si="8"/>
        <v>553.47782195420496</v>
      </c>
      <c r="J50">
        <f t="shared" si="2"/>
        <v>6.7389109771024502</v>
      </c>
      <c r="K50">
        <f t="shared" si="3"/>
        <v>6.7389109771024502</v>
      </c>
      <c r="L50" s="60">
        <f t="shared" si="4"/>
        <v>9.6430557506724135</v>
      </c>
      <c r="M50">
        <f t="shared" si="5"/>
        <v>24.096828900451772</v>
      </c>
    </row>
    <row r="51" spans="3:13" x14ac:dyDescent="0.3">
      <c r="C51" s="16">
        <v>45035</v>
      </c>
      <c r="D51" s="57">
        <v>1.0458333333333401</v>
      </c>
      <c r="E51" s="19">
        <f t="shared" si="6"/>
        <v>31.733333333333338</v>
      </c>
      <c r="F51" s="19">
        <f t="shared" si="7"/>
        <v>3.9333333333333362</v>
      </c>
      <c r="G51" s="54">
        <f t="shared" si="1"/>
        <v>1.8557256166516243</v>
      </c>
      <c r="H51" s="87">
        <f t="shared" si="0"/>
        <v>1.8557256166516243</v>
      </c>
      <c r="I51">
        <f t="shared" si="8"/>
        <v>553.78710955698023</v>
      </c>
      <c r="J51">
        <f t="shared" si="2"/>
        <v>6.8935547784900857</v>
      </c>
      <c r="K51">
        <f t="shared" si="3"/>
        <v>6.8935547784900857</v>
      </c>
      <c r="L51" s="60">
        <f t="shared" si="4"/>
        <v>9.8588343613339138</v>
      </c>
      <c r="M51">
        <f t="shared" si="5"/>
        <v>24.143748760570052</v>
      </c>
    </row>
    <row r="52" spans="3:13" x14ac:dyDescent="0.3">
      <c r="C52" s="16">
        <v>45035</v>
      </c>
      <c r="D52" s="57">
        <v>1.0493055555555599</v>
      </c>
      <c r="E52" s="19">
        <f t="shared" si="6"/>
        <v>31.81666666666667</v>
      </c>
      <c r="F52" s="19">
        <f t="shared" si="7"/>
        <v>4.0166666666666693</v>
      </c>
      <c r="G52" s="54">
        <f t="shared" si="1"/>
        <v>1.860370734671446</v>
      </c>
      <c r="H52" s="87">
        <f t="shared" si="0"/>
        <v>1.860370734671446</v>
      </c>
      <c r="I52">
        <f t="shared" si="8"/>
        <v>554.09717134609218</v>
      </c>
      <c r="J52">
        <f t="shared" si="2"/>
        <v>7.0485856730460394</v>
      </c>
      <c r="K52">
        <f t="shared" si="3"/>
        <v>7.0485856730460394</v>
      </c>
      <c r="L52" s="60">
        <f t="shared" si="4"/>
        <v>10.074911300288182</v>
      </c>
      <c r="M52">
        <f t="shared" si="5"/>
        <v>24.19073349051822</v>
      </c>
    </row>
    <row r="53" spans="3:13" x14ac:dyDescent="0.3">
      <c r="C53" s="16">
        <v>45035</v>
      </c>
      <c r="D53" s="57">
        <v>1.05277777777778</v>
      </c>
      <c r="E53" s="19">
        <f t="shared" si="6"/>
        <v>31.900000000000002</v>
      </c>
      <c r="F53" s="19">
        <f t="shared" si="7"/>
        <v>4.1000000000000023</v>
      </c>
      <c r="G53" s="54">
        <f t="shared" si="1"/>
        <v>1.8650274800144153</v>
      </c>
      <c r="H53" s="87">
        <f t="shared" si="0"/>
        <v>1.8650274800144153</v>
      </c>
      <c r="I53">
        <f t="shared" si="8"/>
        <v>554.4080092594279</v>
      </c>
      <c r="J53">
        <f t="shared" si="2"/>
        <v>7.2040046297139071</v>
      </c>
      <c r="K53">
        <f t="shared" si="3"/>
        <v>7.2040046297139071</v>
      </c>
      <c r="L53" s="60">
        <f t="shared" si="4"/>
        <v>10.291286510010655</v>
      </c>
      <c r="M53">
        <f t="shared" si="5"/>
        <v>24.237783077787874</v>
      </c>
    </row>
    <row r="54" spans="3:13" x14ac:dyDescent="0.3">
      <c r="C54" s="16">
        <v>45035</v>
      </c>
      <c r="D54" s="57">
        <v>1.0562500000000099</v>
      </c>
      <c r="E54" s="19">
        <f t="shared" si="6"/>
        <v>31.983333333333334</v>
      </c>
      <c r="F54" s="19">
        <f t="shared" si="7"/>
        <v>4.1833333333333353</v>
      </c>
      <c r="G54" s="54">
        <f t="shared" si="1"/>
        <v>1.8696958817852061</v>
      </c>
      <c r="H54" s="87">
        <f t="shared" si="0"/>
        <v>1.8696958817852061</v>
      </c>
      <c r="I54">
        <f t="shared" si="8"/>
        <v>554.71962523972547</v>
      </c>
      <c r="J54">
        <f t="shared" si="2"/>
        <v>7.3598126198626739</v>
      </c>
      <c r="K54">
        <f t="shared" si="3"/>
        <v>7.3598126198626739</v>
      </c>
      <c r="L54" s="60">
        <f t="shared" si="4"/>
        <v>10.507959930951081</v>
      </c>
      <c r="M54">
        <f t="shared" si="5"/>
        <v>24.284897509430138</v>
      </c>
    </row>
    <row r="55" spans="3:13" x14ac:dyDescent="0.3">
      <c r="C55" s="16">
        <v>45035</v>
      </c>
      <c r="D55" s="57">
        <v>1.05972222222223</v>
      </c>
      <c r="E55" s="19">
        <f t="shared" si="6"/>
        <v>32.06666666666667</v>
      </c>
      <c r="F55" s="19">
        <f t="shared" si="7"/>
        <v>4.2666666666666684</v>
      </c>
      <c r="G55" s="54">
        <f t="shared" si="1"/>
        <v>1.8743759691613437</v>
      </c>
      <c r="H55" s="87">
        <f t="shared" si="0"/>
        <v>1.8743759691613437</v>
      </c>
      <c r="I55">
        <f t="shared" si="8"/>
        <v>555.03202123458573</v>
      </c>
      <c r="J55">
        <f t="shared" si="2"/>
        <v>7.5160106172927854</v>
      </c>
      <c r="K55">
        <f t="shared" si="3"/>
        <v>7.5160106172927854</v>
      </c>
      <c r="L55" s="60">
        <f t="shared" si="4"/>
        <v>10.724931501528571</v>
      </c>
      <c r="M55">
        <f t="shared" si="5"/>
        <v>24.332076772054599</v>
      </c>
    </row>
    <row r="56" spans="3:13" x14ac:dyDescent="0.3">
      <c r="C56" s="16">
        <v>45035</v>
      </c>
      <c r="D56" s="57">
        <v>1.0631944444444501</v>
      </c>
      <c r="E56" s="19">
        <f t="shared" si="6"/>
        <v>32.150000000000006</v>
      </c>
      <c r="F56" s="19">
        <f t="shared" si="7"/>
        <v>4.3500000000000014</v>
      </c>
      <c r="G56" s="54">
        <f t="shared" si="1"/>
        <v>1.8790677713933905</v>
      </c>
      <c r="H56" s="87">
        <f t="shared" si="0"/>
        <v>1.8790677713933905</v>
      </c>
      <c r="I56">
        <f t="shared" si="8"/>
        <v>555.3451991964846</v>
      </c>
      <c r="J56">
        <f t="shared" si="2"/>
        <v>7.6725995982422344</v>
      </c>
      <c r="K56">
        <f t="shared" si="3"/>
        <v>7.6725995982422344</v>
      </c>
      <c r="L56" s="60">
        <f t="shared" si="4"/>
        <v>10.942201158126647</v>
      </c>
      <c r="M56">
        <f t="shared" si="5"/>
        <v>24.379320851828204</v>
      </c>
    </row>
    <row r="57" spans="3:13" x14ac:dyDescent="0.3">
      <c r="C57" s="16">
        <v>45035</v>
      </c>
      <c r="D57" s="57">
        <v>1.06666666666667</v>
      </c>
      <c r="E57" s="19">
        <f t="shared" si="6"/>
        <v>32.233333333333334</v>
      </c>
      <c r="F57" s="19">
        <f t="shared" si="7"/>
        <v>4.4333333333333345</v>
      </c>
      <c r="G57" s="54">
        <f t="shared" si="1"/>
        <v>1.883771317805125</v>
      </c>
      <c r="H57" s="87">
        <f t="shared" si="0"/>
        <v>1.883771317805125</v>
      </c>
      <c r="I57">
        <f t="shared" si="8"/>
        <v>555.65916108278543</v>
      </c>
      <c r="J57">
        <f t="shared" si="2"/>
        <v>7.8295805413926614</v>
      </c>
      <c r="K57">
        <f t="shared" si="3"/>
        <v>7.8295805413926614</v>
      </c>
      <c r="L57" s="60">
        <f t="shared" si="4"/>
        <v>11.159768835088311</v>
      </c>
      <c r="M57">
        <f t="shared" si="5"/>
        <v>24.426629734474204</v>
      </c>
    </row>
    <row r="58" spans="3:13" x14ac:dyDescent="0.3">
      <c r="C58" s="16">
        <v>45035</v>
      </c>
      <c r="D58" s="57">
        <v>1.0701388888888901</v>
      </c>
      <c r="E58" s="19">
        <f t="shared" si="6"/>
        <v>32.31666666666667</v>
      </c>
      <c r="F58" s="19">
        <f t="shared" si="7"/>
        <v>4.5166666666666675</v>
      </c>
      <c r="G58" s="54">
        <f t="shared" si="1"/>
        <v>1.8884866377937279</v>
      </c>
      <c r="H58" s="87">
        <f t="shared" si="0"/>
        <v>1.8884866377937279</v>
      </c>
      <c r="I58">
        <f t="shared" si="8"/>
        <v>555.97390885575101</v>
      </c>
      <c r="J58">
        <f t="shared" si="2"/>
        <v>7.9869544278754718</v>
      </c>
      <c r="K58">
        <f t="shared" si="3"/>
        <v>7.9869544278754718</v>
      </c>
      <c r="L58" s="60">
        <f t="shared" si="4"/>
        <v>11.377634464711154</v>
      </c>
      <c r="M58">
        <f t="shared" si="5"/>
        <v>24.474003405271088</v>
      </c>
    </row>
    <row r="59" spans="3:13" x14ac:dyDescent="0.3">
      <c r="C59" s="16">
        <v>45035</v>
      </c>
      <c r="D59" s="57">
        <v>1.07361111111112</v>
      </c>
      <c r="E59" s="19">
        <f t="shared" si="6"/>
        <v>32.4</v>
      </c>
      <c r="F59" s="19">
        <f t="shared" si="7"/>
        <v>4.6000000000000005</v>
      </c>
      <c r="G59" s="54">
        <f t="shared" si="1"/>
        <v>1.8932137608299646</v>
      </c>
      <c r="H59" s="87">
        <f t="shared" si="0"/>
        <v>1.8932137608299646</v>
      </c>
      <c r="I59">
        <f t="shared" si="8"/>
        <v>556.28944448255595</v>
      </c>
      <c r="J59">
        <f t="shared" si="2"/>
        <v>8.1447222412779681</v>
      </c>
      <c r="K59">
        <f t="shared" si="3"/>
        <v>8.1447222412779681</v>
      </c>
      <c r="L59" s="60">
        <f t="shared" si="4"/>
        <v>11.59579797724245</v>
      </c>
      <c r="M59">
        <f t="shared" si="5"/>
        <v>24.521441849051509</v>
      </c>
    </row>
    <row r="60" spans="3:13" x14ac:dyDescent="0.3">
      <c r="C60" s="16">
        <v>45035</v>
      </c>
      <c r="D60" s="57">
        <v>1.0770833333333401</v>
      </c>
      <c r="E60" s="19">
        <f t="shared" si="6"/>
        <v>32.483333333333334</v>
      </c>
      <c r="F60" s="19">
        <f t="shared" si="7"/>
        <v>4.6833333333333336</v>
      </c>
      <c r="G60" s="54">
        <f t="shared" si="1"/>
        <v>1.8979527164583694</v>
      </c>
      <c r="H60" s="87">
        <f t="shared" si="0"/>
        <v>1.8979527164583694</v>
      </c>
      <c r="I60">
        <f t="shared" si="8"/>
        <v>556.60576993529901</v>
      </c>
      <c r="J60">
        <f t="shared" si="2"/>
        <v>8.3028849676494989</v>
      </c>
      <c r="K60">
        <f t="shared" si="3"/>
        <v>8.3028849676494989</v>
      </c>
      <c r="L60" s="60">
        <f t="shared" si="4"/>
        <v>11.814259300874289</v>
      </c>
      <c r="M60">
        <f t="shared" si="5"/>
        <v>24.568945050201233</v>
      </c>
    </row>
    <row r="61" spans="3:13" x14ac:dyDescent="0.3">
      <c r="C61" s="16">
        <v>45035</v>
      </c>
      <c r="D61" s="57">
        <v>1.0805555555555599</v>
      </c>
      <c r="E61" s="19">
        <f t="shared" si="6"/>
        <v>32.56666666666667</v>
      </c>
      <c r="F61" s="19">
        <f t="shared" si="7"/>
        <v>4.7666666666666666</v>
      </c>
      <c r="G61" s="54">
        <f t="shared" si="1"/>
        <v>1.9027035342974301</v>
      </c>
      <c r="H61" s="87">
        <f t="shared" si="0"/>
        <v>1.9027035342974301</v>
      </c>
      <c r="I61">
        <f t="shared" si="8"/>
        <v>556.92288719101521</v>
      </c>
      <c r="J61">
        <f t="shared" si="2"/>
        <v>8.4614435955076175</v>
      </c>
      <c r="K61">
        <f t="shared" si="3"/>
        <v>8.4614435955076175</v>
      </c>
      <c r="L61" s="60">
        <f t="shared" si="4"/>
        <v>12.033018361738726</v>
      </c>
      <c r="M61">
        <f t="shared" si="5"/>
        <v>24.616512992658091</v>
      </c>
    </row>
    <row r="62" spans="3:13" x14ac:dyDescent="0.3">
      <c r="C62" s="16">
        <v>45035</v>
      </c>
      <c r="D62" s="57">
        <v>1.08402777777778</v>
      </c>
      <c r="E62" s="19">
        <f t="shared" si="6"/>
        <v>32.65</v>
      </c>
      <c r="F62" s="19">
        <f t="shared" si="7"/>
        <v>4.8499999999999996</v>
      </c>
      <c r="G62" s="54">
        <f t="shared" si="1"/>
        <v>1.9074662440397738</v>
      </c>
      <c r="H62" s="87">
        <f t="shared" si="0"/>
        <v>1.9074662440397738</v>
      </c>
      <c r="I62">
        <f t="shared" si="8"/>
        <v>557.24079823168847</v>
      </c>
      <c r="J62">
        <f t="shared" si="2"/>
        <v>8.6203991158442648</v>
      </c>
      <c r="K62">
        <f t="shared" si="3"/>
        <v>8.6203991158442648</v>
      </c>
      <c r="L62" s="60">
        <f t="shared" si="4"/>
        <v>12.252075083902941</v>
      </c>
      <c r="M62">
        <f t="shared" si="5"/>
        <v>24.664145659910915</v>
      </c>
    </row>
    <row r="63" spans="3:13" x14ac:dyDescent="0.3">
      <c r="C63" s="16">
        <v>45035</v>
      </c>
      <c r="D63" s="57">
        <v>1.0875000000000099</v>
      </c>
      <c r="E63" s="19">
        <f t="shared" si="6"/>
        <v>32.733333333333334</v>
      </c>
      <c r="F63" s="19">
        <f t="shared" si="7"/>
        <v>4.9333333333333327</v>
      </c>
      <c r="G63" s="54">
        <f t="shared" si="1"/>
        <v>1.9122408754523519</v>
      </c>
      <c r="H63" s="87">
        <f t="shared" si="0"/>
        <v>1.9122408754523519</v>
      </c>
      <c r="I63">
        <f t="shared" si="8"/>
        <v>557.55950504426391</v>
      </c>
      <c r="J63">
        <f t="shared" si="2"/>
        <v>8.779752522131961</v>
      </c>
      <c r="K63">
        <f t="shared" si="3"/>
        <v>8.779752522131961</v>
      </c>
      <c r="L63" s="60">
        <f t="shared" si="4"/>
        <v>12.471429389364419</v>
      </c>
      <c r="M63">
        <f t="shared" si="5"/>
        <v>24.711843034998481</v>
      </c>
    </row>
    <row r="64" spans="3:13" x14ac:dyDescent="0.3">
      <c r="C64" s="16">
        <v>45035</v>
      </c>
      <c r="D64" s="57">
        <v>1.09097222222223</v>
      </c>
      <c r="E64" s="19">
        <f t="shared" si="6"/>
        <v>32.816666666666663</v>
      </c>
      <c r="F64" s="19">
        <f t="shared" si="7"/>
        <v>5.0166666666666657</v>
      </c>
      <c r="G64" s="54">
        <f t="shared" si="1"/>
        <v>1.9170274583766262</v>
      </c>
      <c r="H64" s="87">
        <f t="shared" si="0"/>
        <v>1.9170274583766262</v>
      </c>
      <c r="I64">
        <f t="shared" si="8"/>
        <v>557.87900962065999</v>
      </c>
      <c r="J64">
        <f t="shared" si="2"/>
        <v>8.9395048103300123</v>
      </c>
      <c r="K64">
        <f t="shared" si="3"/>
        <v>8.9395048103300123</v>
      </c>
      <c r="L64" s="60">
        <f t="shared" si="4"/>
        <v>12.69108119804616</v>
      </c>
      <c r="M64">
        <f t="shared" si="5"/>
        <v>24.759605100508498</v>
      </c>
    </row>
    <row r="65" spans="1:13" x14ac:dyDescent="0.3">
      <c r="C65" s="16">
        <v>45035</v>
      </c>
      <c r="D65" s="57">
        <v>1.0944444444444501</v>
      </c>
      <c r="E65" s="19">
        <f t="shared" si="6"/>
        <v>32.9</v>
      </c>
      <c r="F65" s="19">
        <f t="shared" si="7"/>
        <v>5.0999999999999988</v>
      </c>
      <c r="G65" s="54">
        <f t="shared" si="1"/>
        <v>1.921826022728756</v>
      </c>
      <c r="H65" s="87">
        <f t="shared" si="0"/>
        <v>1.921826022728756</v>
      </c>
      <c r="I65">
        <f t="shared" si="8"/>
        <v>558.19931395778144</v>
      </c>
      <c r="J65">
        <f t="shared" si="2"/>
        <v>9.0996569788907422</v>
      </c>
      <c r="K65">
        <f t="shared" si="3"/>
        <v>9.0996569788907422</v>
      </c>
      <c r="L65" s="60">
        <f t="shared" si="4"/>
        <v>12.911030427791877</v>
      </c>
      <c r="M65">
        <f t="shared" si="5"/>
        <v>24.807431838576541</v>
      </c>
    </row>
    <row r="66" spans="1:13" x14ac:dyDescent="0.3">
      <c r="C66" s="16">
        <v>45035</v>
      </c>
      <c r="D66" s="57">
        <v>1.09791666666667</v>
      </c>
      <c r="E66" s="19">
        <f t="shared" si="6"/>
        <v>32.983333333333334</v>
      </c>
      <c r="F66" s="19">
        <f t="shared" si="7"/>
        <v>5.1833333333333318</v>
      </c>
      <c r="G66" s="54">
        <f t="shared" si="1"/>
        <v>1.926636598499784</v>
      </c>
      <c r="H66" s="87">
        <f t="shared" si="0"/>
        <v>1.926636598499784</v>
      </c>
      <c r="I66">
        <f t="shared" si="8"/>
        <v>558.5204200575314</v>
      </c>
      <c r="J66">
        <f t="shared" si="2"/>
        <v>9.2602100287657247</v>
      </c>
      <c r="K66">
        <f t="shared" si="3"/>
        <v>9.2602100287657247</v>
      </c>
      <c r="L66" s="60">
        <f t="shared" si="4"/>
        <v>13.131276994361267</v>
      </c>
      <c r="M66">
        <f t="shared" si="5"/>
        <v>24.85532323088502</v>
      </c>
    </row>
    <row r="67" spans="1:13" x14ac:dyDescent="0.3">
      <c r="B67" s="61" t="s">
        <v>96</v>
      </c>
      <c r="C67" s="16">
        <v>45035</v>
      </c>
      <c r="D67" s="57">
        <v>1.1013888888888901</v>
      </c>
      <c r="E67" s="19">
        <f t="shared" si="6"/>
        <v>33.066666666666663</v>
      </c>
      <c r="F67" s="19">
        <f t="shared" si="7"/>
        <v>5.2666666666666648</v>
      </c>
      <c r="G67" s="54">
        <f t="shared" si="1"/>
        <v>1.9314592157558239</v>
      </c>
      <c r="H67" s="87">
        <f t="shared" si="0"/>
        <v>1.9314592157558239</v>
      </c>
      <c r="I67">
        <f t="shared" si="8"/>
        <v>558.84232992682405</v>
      </c>
      <c r="J67">
        <f t="shared" si="2"/>
        <v>9.4211649634120427</v>
      </c>
      <c r="K67">
        <f t="shared" si="3"/>
        <v>9.4211649634120427</v>
      </c>
      <c r="L67" s="60">
        <f t="shared" si="4"/>
        <v>13.351820811425236</v>
      </c>
      <c r="M67">
        <f t="shared" si="5"/>
        <v>24.903279258662149</v>
      </c>
    </row>
    <row r="68" spans="1:13" x14ac:dyDescent="0.3">
      <c r="B68" s="61"/>
      <c r="C68" s="16">
        <v>45035</v>
      </c>
      <c r="D68" s="57">
        <v>1.10486111111112</v>
      </c>
      <c r="E68" s="19">
        <f t="shared" si="6"/>
        <v>33.15</v>
      </c>
      <c r="F68" s="19">
        <f t="shared" si="7"/>
        <v>5.3499999999999979</v>
      </c>
      <c r="G68" s="54">
        <f t="shared" si="1"/>
        <v>1.9362939046382495</v>
      </c>
      <c r="H68" s="87">
        <f t="shared" ref="H68:H131" si="9">G68</f>
        <v>1.9362939046382495</v>
      </c>
      <c r="I68">
        <f t="shared" si="8"/>
        <v>559.16504557759708</v>
      </c>
      <c r="J68">
        <f t="shared" si="2"/>
        <v>9.5825227887985633</v>
      </c>
      <c r="K68">
        <f t="shared" si="3"/>
        <v>9.5825227887985633</v>
      </c>
      <c r="L68" s="60">
        <f t="shared" si="4"/>
        <v>13.572661790561197</v>
      </c>
      <c r="M68">
        <f t="shared" si="5"/>
        <v>24.951299902680933</v>
      </c>
    </row>
    <row r="69" spans="1:13" x14ac:dyDescent="0.3">
      <c r="C69" s="16">
        <v>45035</v>
      </c>
      <c r="D69" s="57">
        <v>1.1083333333333401</v>
      </c>
      <c r="E69" s="19">
        <f t="shared" si="6"/>
        <v>33.233333333333334</v>
      </c>
      <c r="F69" s="19">
        <f t="shared" si="7"/>
        <v>5.4333333333333309</v>
      </c>
      <c r="G69" s="54">
        <f t="shared" ref="G69:G132" si="10">$G$4*EXP($T$1*F69)</f>
        <v>1.9411406953638823</v>
      </c>
      <c r="H69" s="87">
        <f t="shared" si="9"/>
        <v>1.9411406953638823</v>
      </c>
      <c r="I69">
        <f t="shared" si="8"/>
        <v>559.48856902682439</v>
      </c>
      <c r="J69">
        <f t="shared" ref="J69:J132" si="11">J68+G69*5/60</f>
        <v>9.7442845134122198</v>
      </c>
      <c r="K69">
        <f t="shared" ref="K69:K132" si="12">J69</f>
        <v>9.7442845134122198</v>
      </c>
      <c r="L69" s="60">
        <f t="shared" ref="L69:L132" si="13">((L68*I68/1000)+(G69*$T$7/1000*5/60))/(I69/1000)</f>
        <v>13.793799841248353</v>
      </c>
      <c r="M69">
        <f t="shared" ref="M69:M132" si="14">(M68*I68+G69*$T$7*$T$6*(5/60))/I69</f>
        <v>24.999385143258131</v>
      </c>
    </row>
    <row r="70" spans="1:13" x14ac:dyDescent="0.3">
      <c r="C70" s="16">
        <v>45035</v>
      </c>
      <c r="D70" s="57">
        <v>1.1118055555555599</v>
      </c>
      <c r="E70" s="19">
        <f t="shared" ref="E70:E133" si="15">$E$3+F70</f>
        <v>33.316666666666663</v>
      </c>
      <c r="F70" s="19">
        <f t="shared" ref="F70:F133" si="16">F69+5/60</f>
        <v>5.5166666666666639</v>
      </c>
      <c r="G70" s="54">
        <f t="shared" si="10"/>
        <v>1.9459996182251798</v>
      </c>
      <c r="H70" s="87">
        <f t="shared" si="9"/>
        <v>1.9459996182251798</v>
      </c>
      <c r="I70">
        <f t="shared" ref="I70:I133" si="17">I69+(G70+H70)*5/60</f>
        <v>559.81290229652859</v>
      </c>
      <c r="J70">
        <f t="shared" si="11"/>
        <v>9.9064511482643187</v>
      </c>
      <c r="K70">
        <f t="shared" si="12"/>
        <v>9.9064511482643187</v>
      </c>
      <c r="L70" s="60">
        <f t="shared" si="13"/>
        <v>14.01523487086302</v>
      </c>
      <c r="M70">
        <f t="shared" si="14"/>
        <v>25.04753496025323</v>
      </c>
    </row>
    <row r="71" spans="1:13" x14ac:dyDescent="0.3">
      <c r="B71" s="61"/>
      <c r="C71" s="16">
        <v>45035</v>
      </c>
      <c r="D71" s="57">
        <v>1.11527777777778</v>
      </c>
      <c r="E71" s="19">
        <f t="shared" si="15"/>
        <v>33.4</v>
      </c>
      <c r="F71" s="19">
        <f t="shared" si="16"/>
        <v>5.599999999999997</v>
      </c>
      <c r="G71" s="54">
        <f t="shared" si="10"/>
        <v>1.950870703590426</v>
      </c>
      <c r="H71" s="87">
        <f t="shared" si="9"/>
        <v>1.950870703590426</v>
      </c>
      <c r="I71">
        <f t="shared" si="17"/>
        <v>560.13804741379363</v>
      </c>
      <c r="J71">
        <f t="shared" si="11"/>
        <v>10.069023706896854</v>
      </c>
      <c r="K71">
        <f t="shared" si="12"/>
        <v>10.069023706896854</v>
      </c>
      <c r="L71" s="60">
        <f t="shared" si="13"/>
        <v>14.236966784673964</v>
      </c>
      <c r="M71">
        <f t="shared" si="14"/>
        <v>25.095749333067456</v>
      </c>
    </row>
    <row r="72" spans="1:13" x14ac:dyDescent="0.3">
      <c r="C72" s="16">
        <v>45035</v>
      </c>
      <c r="D72" s="57">
        <v>1.1187500000000099</v>
      </c>
      <c r="E72" s="19">
        <f t="shared" si="15"/>
        <v>33.483333333333334</v>
      </c>
      <c r="F72" s="19">
        <f t="shared" si="16"/>
        <v>5.68333333333333</v>
      </c>
      <c r="G72" s="54">
        <f t="shared" si="10"/>
        <v>1.95575398190392</v>
      </c>
      <c r="H72" s="87">
        <f t="shared" si="9"/>
        <v>1.95575398190392</v>
      </c>
      <c r="I72">
        <f t="shared" si="17"/>
        <v>560.46400641077764</v>
      </c>
      <c r="J72">
        <f t="shared" si="11"/>
        <v>10.232003205388846</v>
      </c>
      <c r="K72">
        <f t="shared" si="12"/>
        <v>10.232003205388846</v>
      </c>
      <c r="L72" s="60">
        <f t="shared" si="13"/>
        <v>14.45899548583774</v>
      </c>
      <c r="M72">
        <f t="shared" si="14"/>
        <v>25.144028240642733</v>
      </c>
    </row>
    <row r="73" spans="1:13" x14ac:dyDescent="0.3">
      <c r="C73" s="16">
        <v>45035</v>
      </c>
      <c r="D73" s="57">
        <v>1.12222222222223</v>
      </c>
      <c r="E73" s="19">
        <f t="shared" si="15"/>
        <v>33.566666666666663</v>
      </c>
      <c r="F73" s="19">
        <f t="shared" si="16"/>
        <v>5.7666666666666631</v>
      </c>
      <c r="G73" s="54">
        <f t="shared" si="10"/>
        <v>1.9606494836861674</v>
      </c>
      <c r="H73" s="87">
        <f t="shared" si="9"/>
        <v>1.9606494836861674</v>
      </c>
      <c r="I73">
        <f t="shared" si="17"/>
        <v>560.79078132472534</v>
      </c>
      <c r="J73">
        <f t="shared" si="11"/>
        <v>10.395390662362693</v>
      </c>
      <c r="K73">
        <f t="shared" si="12"/>
        <v>10.395390662362693</v>
      </c>
      <c r="L73" s="60">
        <f t="shared" si="13"/>
        <v>14.681320875394094</v>
      </c>
      <c r="M73">
        <f t="shared" si="14"/>
        <v>25.192371661460708</v>
      </c>
    </row>
    <row r="74" spans="1:13" x14ac:dyDescent="0.3">
      <c r="C74" s="16">
        <v>45035</v>
      </c>
      <c r="D74" s="57">
        <v>1.1256944444444501</v>
      </c>
      <c r="E74" s="19">
        <f t="shared" si="15"/>
        <v>33.65</v>
      </c>
      <c r="F74" s="19">
        <f t="shared" si="16"/>
        <v>5.8499999999999961</v>
      </c>
      <c r="G74" s="54">
        <f t="shared" si="10"/>
        <v>1.9655572395340699</v>
      </c>
      <c r="H74" s="87">
        <f t="shared" si="9"/>
        <v>1.9655572395340699</v>
      </c>
      <c r="I74">
        <f t="shared" si="17"/>
        <v>561.11837419798098</v>
      </c>
      <c r="J74">
        <f t="shared" si="11"/>
        <v>10.559187098990533</v>
      </c>
      <c r="K74">
        <f t="shared" si="12"/>
        <v>10.559187098990533</v>
      </c>
      <c r="L74" s="60">
        <f t="shared" si="13"/>
        <v>14.903942852261343</v>
      </c>
      <c r="M74">
        <f t="shared" si="14"/>
        <v>25.24077957354173</v>
      </c>
    </row>
    <row r="75" spans="1:13" x14ac:dyDescent="0.3">
      <c r="C75" s="16">
        <v>45035</v>
      </c>
      <c r="D75" s="57">
        <v>1.12916666666667</v>
      </c>
      <c r="E75" s="19">
        <f t="shared" si="15"/>
        <v>33.733333333333327</v>
      </c>
      <c r="F75" s="19">
        <f t="shared" si="16"/>
        <v>5.9333333333333291</v>
      </c>
      <c r="G75" s="54">
        <f t="shared" si="10"/>
        <v>1.9704772801211181</v>
      </c>
      <c r="H75" s="87">
        <f t="shared" si="9"/>
        <v>1.9704772801211181</v>
      </c>
      <c r="I75">
        <f t="shared" si="17"/>
        <v>561.44678707800119</v>
      </c>
      <c r="J75">
        <f t="shared" si="11"/>
        <v>10.723393539000625</v>
      </c>
      <c r="K75">
        <f t="shared" si="12"/>
        <v>10.723393539000625</v>
      </c>
      <c r="L75" s="60">
        <f t="shared" si="13"/>
        <v>15.126861313231784</v>
      </c>
      <c r="M75">
        <f t="shared" si="14"/>
        <v>25.289251954443856</v>
      </c>
    </row>
    <row r="76" spans="1:13" x14ac:dyDescent="0.3">
      <c r="C76" s="16">
        <v>45035</v>
      </c>
      <c r="D76" s="57">
        <v>1.1326388888889001</v>
      </c>
      <c r="E76" s="19">
        <f t="shared" si="15"/>
        <v>33.816666666666663</v>
      </c>
      <c r="F76" s="19">
        <f t="shared" si="16"/>
        <v>6.0166666666666622</v>
      </c>
      <c r="G76" s="54">
        <f t="shared" si="10"/>
        <v>1.975409636197581</v>
      </c>
      <c r="H76" s="87">
        <f t="shared" si="9"/>
        <v>1.975409636197581</v>
      </c>
      <c r="I76">
        <f t="shared" si="17"/>
        <v>561.7760220173675</v>
      </c>
      <c r="J76">
        <f t="shared" si="11"/>
        <v>10.888011008683756</v>
      </c>
      <c r="K76">
        <f t="shared" si="12"/>
        <v>10.888011008683756</v>
      </c>
      <c r="L76" s="60">
        <f t="shared" si="13"/>
        <v>15.350076152967146</v>
      </c>
      <c r="M76">
        <f t="shared" si="14"/>
        <v>25.337788781261867</v>
      </c>
    </row>
    <row r="77" spans="1:13" x14ac:dyDescent="0.3">
      <c r="C77" s="16">
        <v>45035</v>
      </c>
      <c r="D77" s="57">
        <v>1.13611111111112</v>
      </c>
      <c r="E77" s="19">
        <f t="shared" si="15"/>
        <v>33.9</v>
      </c>
      <c r="F77" s="19">
        <f t="shared" si="16"/>
        <v>6.0999999999999952</v>
      </c>
      <c r="G77" s="54">
        <f t="shared" si="10"/>
        <v>1.9803543385907012</v>
      </c>
      <c r="H77" s="87">
        <f t="shared" si="9"/>
        <v>1.9803543385907012</v>
      </c>
      <c r="I77">
        <f t="shared" si="17"/>
        <v>562.10608107379926</v>
      </c>
      <c r="J77">
        <f t="shared" si="11"/>
        <v>11.053040536899648</v>
      </c>
      <c r="K77">
        <f t="shared" si="12"/>
        <v>11.053040536899648</v>
      </c>
      <c r="L77" s="60">
        <f t="shared" si="13"/>
        <v>15.57358726399405</v>
      </c>
      <c r="M77">
        <f t="shared" si="14"/>
        <v>25.386390030626277</v>
      </c>
    </row>
    <row r="78" spans="1:13" x14ac:dyDescent="0.3">
      <c r="C78" s="16">
        <v>45035</v>
      </c>
      <c r="D78" s="57">
        <v>1.1395833333333401</v>
      </c>
      <c r="E78" s="19">
        <f t="shared" si="15"/>
        <v>33.983333333333327</v>
      </c>
      <c r="F78" s="19">
        <f t="shared" si="16"/>
        <v>6.1833333333333282</v>
      </c>
      <c r="G78" s="54">
        <f t="shared" si="10"/>
        <v>1.9853114182048837</v>
      </c>
      <c r="H78" s="87">
        <f t="shared" si="9"/>
        <v>1.9853114182048837</v>
      </c>
      <c r="I78">
        <f t="shared" si="17"/>
        <v>562.43696631016678</v>
      </c>
      <c r="J78">
        <f t="shared" si="11"/>
        <v>11.218483155083389</v>
      </c>
      <c r="K78">
        <f t="shared" si="12"/>
        <v>11.218483155083389</v>
      </c>
      <c r="L78" s="60">
        <f t="shared" si="13"/>
        <v>15.797394536699464</v>
      </c>
      <c r="M78">
        <f t="shared" si="14"/>
        <v>25.43505567870233</v>
      </c>
    </row>
    <row r="79" spans="1:13" x14ac:dyDescent="0.3">
      <c r="A79" s="61"/>
      <c r="B79" s="61"/>
      <c r="C79" s="16">
        <v>45035</v>
      </c>
      <c r="D79" s="57">
        <v>1.1430555555555599</v>
      </c>
      <c r="E79" s="19">
        <f t="shared" si="15"/>
        <v>34.066666666666663</v>
      </c>
      <c r="F79" s="19">
        <f t="shared" si="16"/>
        <v>6.2666666666666613</v>
      </c>
      <c r="G79" s="54">
        <f t="shared" si="10"/>
        <v>1.9902809060218922</v>
      </c>
      <c r="H79" s="87">
        <f t="shared" si="9"/>
        <v>1.9902809060218922</v>
      </c>
      <c r="I79">
        <f t="shared" si="17"/>
        <v>562.76867979450378</v>
      </c>
      <c r="J79">
        <f t="shared" si="11"/>
        <v>11.384339897251881</v>
      </c>
      <c r="K79">
        <f t="shared" si="12"/>
        <v>11.384339897251881</v>
      </c>
      <c r="L79" s="60">
        <f t="shared" si="13"/>
        <v>16.021497859326239</v>
      </c>
      <c r="M79">
        <f t="shared" si="14"/>
        <v>25.483785701189063</v>
      </c>
    </row>
    <row r="80" spans="1:13" x14ac:dyDescent="0.3">
      <c r="A80" s="61"/>
      <c r="C80" s="16">
        <v>45035</v>
      </c>
      <c r="D80" s="57">
        <v>1.14652777777779</v>
      </c>
      <c r="E80" s="19">
        <f t="shared" si="15"/>
        <v>34.149999999999991</v>
      </c>
      <c r="F80" s="19">
        <f t="shared" si="16"/>
        <v>6.3499999999999943</v>
      </c>
      <c r="G80" s="54">
        <f t="shared" si="10"/>
        <v>1.9952628331010425</v>
      </c>
      <c r="H80" s="87">
        <f t="shared" si="9"/>
        <v>1.9952628331010425</v>
      </c>
      <c r="I80">
        <f t="shared" si="17"/>
        <v>563.1012236000206</v>
      </c>
      <c r="J80">
        <f t="shared" si="11"/>
        <v>11.550611800010302</v>
      </c>
      <c r="K80">
        <f t="shared" si="12"/>
        <v>11.550611800010302</v>
      </c>
      <c r="L80" s="60">
        <f t="shared" si="13"/>
        <v>16.245897117968596</v>
      </c>
      <c r="M80">
        <f t="shared" si="14"/>
        <v>25.532580073318297</v>
      </c>
    </row>
    <row r="81" spans="1:13" x14ac:dyDescent="0.3">
      <c r="C81" s="16">
        <v>45035</v>
      </c>
      <c r="D81" s="57">
        <v>1.1500000000000099</v>
      </c>
      <c r="E81" s="19">
        <f t="shared" si="15"/>
        <v>34.233333333333327</v>
      </c>
      <c r="F81" s="19">
        <f t="shared" si="16"/>
        <v>6.4333333333333274</v>
      </c>
      <c r="G81" s="54">
        <f t="shared" si="10"/>
        <v>2.0002572305793946</v>
      </c>
      <c r="H81" s="87">
        <f t="shared" si="9"/>
        <v>2.0002572305793946</v>
      </c>
      <c r="I81">
        <f t="shared" si="17"/>
        <v>563.43459980511716</v>
      </c>
      <c r="J81">
        <f t="shared" si="11"/>
        <v>11.717299902558585</v>
      </c>
      <c r="K81">
        <f t="shared" si="12"/>
        <v>11.717299902558585</v>
      </c>
      <c r="L81" s="60">
        <f t="shared" si="13"/>
        <v>16.470592196567697</v>
      </c>
      <c r="M81">
        <f t="shared" si="14"/>
        <v>25.58143876985368</v>
      </c>
    </row>
    <row r="82" spans="1:13" x14ac:dyDescent="0.3">
      <c r="C82" s="16">
        <v>45035</v>
      </c>
      <c r="D82" s="57">
        <v>1.15347222222223</v>
      </c>
      <c r="E82" s="19">
        <f t="shared" si="15"/>
        <v>34.316666666666663</v>
      </c>
      <c r="F82" s="19">
        <f t="shared" si="16"/>
        <v>6.5166666666666604</v>
      </c>
      <c r="G82" s="54">
        <f t="shared" si="10"/>
        <v>2.0052641296719491</v>
      </c>
      <c r="H82" s="87">
        <f t="shared" si="9"/>
        <v>2.0052641296719491</v>
      </c>
      <c r="I82">
        <f t="shared" si="17"/>
        <v>563.76881049339579</v>
      </c>
      <c r="J82">
        <f t="shared" si="11"/>
        <v>11.884405246697915</v>
      </c>
      <c r="K82">
        <f t="shared" si="12"/>
        <v>11.884405246697915</v>
      </c>
      <c r="L82" s="60">
        <f t="shared" si="13"/>
        <v>16.695582976907193</v>
      </c>
      <c r="M82">
        <f t="shared" si="14"/>
        <v>25.630361765089724</v>
      </c>
    </row>
    <row r="83" spans="1:13" x14ac:dyDescent="0.3">
      <c r="C83" s="16">
        <v>45035</v>
      </c>
      <c r="D83" s="57">
        <v>1.1569444444444501</v>
      </c>
      <c r="E83" s="19">
        <f t="shared" si="15"/>
        <v>34.399999999999991</v>
      </c>
      <c r="F83" s="19">
        <f t="shared" si="16"/>
        <v>6.5999999999999934</v>
      </c>
      <c r="G83" s="54">
        <f t="shared" si="10"/>
        <v>2.0102835616718417</v>
      </c>
      <c r="H83" s="87">
        <f t="shared" si="9"/>
        <v>2.0102835616718417</v>
      </c>
      <c r="I83">
        <f t="shared" si="17"/>
        <v>564.10385775367445</v>
      </c>
      <c r="J83">
        <f t="shared" si="11"/>
        <v>12.051928876837234</v>
      </c>
      <c r="K83">
        <f t="shared" si="12"/>
        <v>12.051928876837234</v>
      </c>
      <c r="L83" s="60">
        <f t="shared" si="13"/>
        <v>16.920869338608814</v>
      </c>
      <c r="M83">
        <f t="shared" si="14"/>
        <v>25.679349032850844</v>
      </c>
    </row>
    <row r="84" spans="1:13" x14ac:dyDescent="0.3">
      <c r="A84" s="61"/>
      <c r="B84" s="61"/>
      <c r="C84" s="16">
        <v>45035</v>
      </c>
      <c r="D84" s="57">
        <v>1.16041666666667</v>
      </c>
      <c r="E84" s="19">
        <f t="shared" si="15"/>
        <v>34.483333333333327</v>
      </c>
      <c r="F84" s="19">
        <f t="shared" si="16"/>
        <v>6.6833333333333265</v>
      </c>
      <c r="G84" s="54">
        <f t="shared" si="10"/>
        <v>2.0153155579505384</v>
      </c>
      <c r="H84" s="87">
        <f t="shared" si="9"/>
        <v>2.0153155579505384</v>
      </c>
      <c r="I84">
        <f t="shared" si="17"/>
        <v>564.43974367999954</v>
      </c>
      <c r="J84">
        <f t="shared" si="11"/>
        <v>12.219871839999779</v>
      </c>
      <c r="K84">
        <f t="shared" si="12"/>
        <v>12.219871839999779</v>
      </c>
      <c r="L84" s="60">
        <f t="shared" si="13"/>
        <v>17.146451159127992</v>
      </c>
      <c r="M84">
        <f t="shared" si="14"/>
        <v>25.728400546490402</v>
      </c>
    </row>
    <row r="85" spans="1:13" x14ac:dyDescent="0.3">
      <c r="C85" s="16">
        <v>45035</v>
      </c>
      <c r="D85" s="57">
        <v>1.1638888888889001</v>
      </c>
      <c r="E85" s="19">
        <f t="shared" si="15"/>
        <v>34.566666666666663</v>
      </c>
      <c r="F85" s="19">
        <f t="shared" si="16"/>
        <v>6.7666666666666595</v>
      </c>
      <c r="G85" s="54">
        <f t="shared" si="10"/>
        <v>2.0203601499580328</v>
      </c>
      <c r="H85" s="87">
        <f t="shared" si="9"/>
        <v>2.0203601499580328</v>
      </c>
      <c r="I85">
        <f t="shared" si="17"/>
        <v>564.77647037165923</v>
      </c>
      <c r="J85">
        <f t="shared" si="11"/>
        <v>12.388235185829615</v>
      </c>
      <c r="K85">
        <f t="shared" si="12"/>
        <v>12.388235185829615</v>
      </c>
      <c r="L85" s="60">
        <f t="shared" si="13"/>
        <v>17.372328313749474</v>
      </c>
      <c r="M85">
        <f t="shared" si="14"/>
        <v>25.77751627888976</v>
      </c>
    </row>
    <row r="86" spans="1:13" x14ac:dyDescent="0.3">
      <c r="C86" s="16">
        <v>45035</v>
      </c>
      <c r="D86" s="57">
        <v>1.16736111111112</v>
      </c>
      <c r="E86" s="19">
        <f t="shared" si="15"/>
        <v>34.649999999999991</v>
      </c>
      <c r="F86" s="19">
        <f t="shared" si="16"/>
        <v>6.8499999999999925</v>
      </c>
      <c r="G86" s="54">
        <f t="shared" si="10"/>
        <v>2.0254173692230411</v>
      </c>
      <c r="H86" s="87">
        <f t="shared" si="9"/>
        <v>2.0254173692230411</v>
      </c>
      <c r="I86">
        <f t="shared" si="17"/>
        <v>565.11403993319641</v>
      </c>
      <c r="J86">
        <f t="shared" si="11"/>
        <v>12.557019966598201</v>
      </c>
      <c r="K86">
        <f t="shared" si="12"/>
        <v>12.557019966598201</v>
      </c>
      <c r="L86" s="60">
        <f t="shared" si="13"/>
        <v>17.59850067558299</v>
      </c>
      <c r="M86">
        <f t="shared" si="14"/>
        <v>25.826696202457338</v>
      </c>
    </row>
    <row r="87" spans="1:13" x14ac:dyDescent="0.3">
      <c r="C87" s="16">
        <v>45035</v>
      </c>
      <c r="D87" s="57">
        <v>1.1708333333333401</v>
      </c>
      <c r="E87" s="19">
        <f t="shared" si="15"/>
        <v>34.733333333333327</v>
      </c>
      <c r="F87" s="19">
        <f t="shared" si="16"/>
        <v>6.9333333333333256</v>
      </c>
      <c r="G87" s="54">
        <f t="shared" si="10"/>
        <v>2.0304872473532001</v>
      </c>
      <c r="H87" s="87">
        <f t="shared" si="9"/>
        <v>2.0304872473532001</v>
      </c>
      <c r="I87">
        <f t="shared" si="17"/>
        <v>565.45245447442198</v>
      </c>
      <c r="J87">
        <f t="shared" si="11"/>
        <v>12.726227237210967</v>
      </c>
      <c r="K87">
        <f t="shared" si="12"/>
        <v>12.726227237210967</v>
      </c>
      <c r="L87" s="60">
        <f t="shared" si="13"/>
        <v>17.824968115558914</v>
      </c>
      <c r="M87">
        <f t="shared" si="14"/>
        <v>25.875940289127655</v>
      </c>
    </row>
    <row r="88" spans="1:13" x14ac:dyDescent="0.3">
      <c r="C88" s="16">
        <v>45035</v>
      </c>
      <c r="D88" s="57">
        <v>1.1743055555555599</v>
      </c>
      <c r="E88" s="19">
        <f t="shared" si="15"/>
        <v>34.816666666666663</v>
      </c>
      <c r="F88" s="19">
        <f t="shared" si="16"/>
        <v>7.0166666666666586</v>
      </c>
      <c r="G88" s="54">
        <f t="shared" si="10"/>
        <v>2.0355698160352649</v>
      </c>
      <c r="H88" s="87">
        <f t="shared" si="9"/>
        <v>2.0355698160352649</v>
      </c>
      <c r="I88">
        <f t="shared" si="17"/>
        <v>565.79171611042784</v>
      </c>
      <c r="J88">
        <f t="shared" si="11"/>
        <v>12.895858055213905</v>
      </c>
      <c r="K88">
        <f t="shared" si="12"/>
        <v>12.895858055213905</v>
      </c>
      <c r="L88" s="60">
        <f t="shared" si="13"/>
        <v>18.051730502423993</v>
      </c>
      <c r="M88">
        <f t="shared" si="14"/>
        <v>25.925248510360429</v>
      </c>
    </row>
    <row r="89" spans="1:13" x14ac:dyDescent="0.3">
      <c r="C89" s="16">
        <v>45035</v>
      </c>
      <c r="D89" s="57">
        <v>1.17777777777779</v>
      </c>
      <c r="E89" s="19">
        <f t="shared" si="15"/>
        <v>34.899999999999991</v>
      </c>
      <c r="F89" s="19">
        <f t="shared" si="16"/>
        <v>7.0999999999999917</v>
      </c>
      <c r="G89" s="54">
        <f t="shared" si="10"/>
        <v>2.0406651070353057</v>
      </c>
      <c r="H89" s="87">
        <f t="shared" si="9"/>
        <v>2.0406651070353057</v>
      </c>
      <c r="I89">
        <f t="shared" si="17"/>
        <v>566.13182696160038</v>
      </c>
      <c r="J89">
        <f t="shared" si="11"/>
        <v>13.06591348080018</v>
      </c>
      <c r="K89">
        <f t="shared" si="12"/>
        <v>13.06591348080018</v>
      </c>
      <c r="L89" s="60">
        <f t="shared" si="13"/>
        <v>18.278787702737045</v>
      </c>
      <c r="M89">
        <f t="shared" si="14"/>
        <v>25.974620837139611</v>
      </c>
    </row>
    <row r="90" spans="1:13" x14ac:dyDescent="0.3">
      <c r="C90" s="16">
        <v>45035</v>
      </c>
      <c r="D90" s="57">
        <v>1.1812500000000099</v>
      </c>
      <c r="E90" s="19">
        <f t="shared" si="15"/>
        <v>34.983333333333327</v>
      </c>
      <c r="F90" s="19">
        <f t="shared" si="16"/>
        <v>7.1833333333333247</v>
      </c>
      <c r="G90" s="54">
        <f t="shared" si="10"/>
        <v>2.0457731521989087</v>
      </c>
      <c r="H90" s="87">
        <f t="shared" si="9"/>
        <v>2.0457731521989087</v>
      </c>
      <c r="I90">
        <f t="shared" si="17"/>
        <v>566.47278915363358</v>
      </c>
      <c r="J90">
        <f t="shared" si="11"/>
        <v>13.236394576816757</v>
      </c>
      <c r="K90">
        <f t="shared" si="12"/>
        <v>13.236394576816757</v>
      </c>
      <c r="L90" s="60">
        <f t="shared" si="13"/>
        <v>18.506139580864705</v>
      </c>
      <c r="M90">
        <f t="shared" si="14"/>
        <v>26.024057239972482</v>
      </c>
    </row>
    <row r="91" spans="1:13" x14ac:dyDescent="0.3">
      <c r="C91" s="16">
        <v>45035</v>
      </c>
      <c r="D91" s="57">
        <v>1.18472222222223</v>
      </c>
      <c r="E91" s="19">
        <f t="shared" si="15"/>
        <v>35.066666666666656</v>
      </c>
      <c r="F91" s="19">
        <f t="shared" si="16"/>
        <v>7.2666666666666577</v>
      </c>
      <c r="G91" s="54">
        <f t="shared" si="10"/>
        <v>2.0508939834513722</v>
      </c>
      <c r="H91" s="87">
        <f t="shared" si="9"/>
        <v>2.0508939834513722</v>
      </c>
      <c r="I91">
        <f t="shared" si="17"/>
        <v>566.81460481754209</v>
      </c>
      <c r="J91">
        <f t="shared" si="11"/>
        <v>13.407302408771038</v>
      </c>
      <c r="K91">
        <f t="shared" si="12"/>
        <v>13.407302408771038</v>
      </c>
      <c r="L91" s="60">
        <f t="shared" si="13"/>
        <v>18.733785998977218</v>
      </c>
      <c r="M91">
        <f t="shared" si="14"/>
        <v>26.07355768888873</v>
      </c>
    </row>
    <row r="92" spans="1:13" x14ac:dyDescent="0.3">
      <c r="C92" s="16">
        <v>45035</v>
      </c>
      <c r="D92" s="57">
        <v>1.1881944444444501</v>
      </c>
      <c r="E92" s="19">
        <f t="shared" si="15"/>
        <v>35.149999999999991</v>
      </c>
      <c r="F92" s="19">
        <f t="shared" si="16"/>
        <v>7.3499999999999908</v>
      </c>
      <c r="G92" s="54">
        <f t="shared" si="10"/>
        <v>2.0560276327979081</v>
      </c>
      <c r="H92" s="87">
        <f t="shared" si="9"/>
        <v>2.0560276327979081</v>
      </c>
      <c r="I92">
        <f t="shared" si="17"/>
        <v>567.15727608967507</v>
      </c>
      <c r="J92">
        <f t="shared" si="11"/>
        <v>13.578638044837531</v>
      </c>
      <c r="K92">
        <f t="shared" si="12"/>
        <v>13.578638044837531</v>
      </c>
      <c r="L92" s="60">
        <f t="shared" si="13"/>
        <v>18.961726817044209</v>
      </c>
      <c r="M92">
        <f t="shared" si="14"/>
        <v>26.123122153439517</v>
      </c>
    </row>
    <row r="93" spans="1:13" x14ac:dyDescent="0.3">
      <c r="C93" s="16">
        <v>45035</v>
      </c>
      <c r="D93" s="57">
        <v>1.19166666666668</v>
      </c>
      <c r="E93" s="19">
        <f t="shared" si="15"/>
        <v>35.233333333333327</v>
      </c>
      <c r="F93" s="19">
        <f t="shared" si="16"/>
        <v>7.4333333333333238</v>
      </c>
      <c r="G93" s="54">
        <f t="shared" si="10"/>
        <v>2.0611741323238424</v>
      </c>
      <c r="H93" s="87">
        <f t="shared" si="9"/>
        <v>2.0611741323238424</v>
      </c>
      <c r="I93">
        <f t="shared" si="17"/>
        <v>567.50080511172905</v>
      </c>
      <c r="J93">
        <f t="shared" si="11"/>
        <v>13.750402555864518</v>
      </c>
      <c r="K93">
        <f t="shared" si="12"/>
        <v>13.750402555864518</v>
      </c>
      <c r="L93" s="60">
        <f t="shared" si="13"/>
        <v>19.189961892830507</v>
      </c>
      <c r="M93">
        <f t="shared" si="14"/>
        <v>26.172750602696606</v>
      </c>
    </row>
    <row r="94" spans="1:13" x14ac:dyDescent="0.3">
      <c r="C94" s="16">
        <v>45035</v>
      </c>
      <c r="D94" s="57">
        <v>1.1951388888889001</v>
      </c>
      <c r="E94" s="19">
        <f t="shared" si="15"/>
        <v>35.316666666666656</v>
      </c>
      <c r="F94" s="19">
        <f t="shared" si="16"/>
        <v>7.5166666666666568</v>
      </c>
      <c r="G94" s="54">
        <f t="shared" si="10"/>
        <v>2.0663335141948127</v>
      </c>
      <c r="H94" s="87">
        <f t="shared" si="9"/>
        <v>2.0663335141948127</v>
      </c>
      <c r="I94">
        <f t="shared" si="17"/>
        <v>567.84519403076149</v>
      </c>
      <c r="J94">
        <f t="shared" si="11"/>
        <v>13.922597015380752</v>
      </c>
      <c r="K94">
        <f t="shared" si="12"/>
        <v>13.922597015380752</v>
      </c>
      <c r="L94" s="60">
        <f t="shared" si="13"/>
        <v>19.41849108189199</v>
      </c>
      <c r="M94">
        <f t="shared" si="14"/>
        <v>26.222443005251417</v>
      </c>
    </row>
    <row r="95" spans="1:13" x14ac:dyDescent="0.3">
      <c r="C95" s="16">
        <v>45035</v>
      </c>
      <c r="D95" s="57">
        <v>1.19861111111112</v>
      </c>
      <c r="E95" s="19">
        <f t="shared" si="15"/>
        <v>35.399999999999991</v>
      </c>
      <c r="F95" s="19">
        <f t="shared" si="16"/>
        <v>7.5999999999999899</v>
      </c>
      <c r="G95" s="54">
        <f t="shared" si="10"/>
        <v>2.0715058106569733</v>
      </c>
      <c r="H95" s="87">
        <f t="shared" si="9"/>
        <v>2.0715058106569733</v>
      </c>
      <c r="I95">
        <f t="shared" si="17"/>
        <v>568.19044499920437</v>
      </c>
      <c r="J95">
        <f t="shared" si="11"/>
        <v>14.095222499602167</v>
      </c>
      <c r="K95">
        <f t="shared" si="12"/>
        <v>14.095222499602167</v>
      </c>
      <c r="L95" s="60">
        <f t="shared" si="13"/>
        <v>19.647314237571457</v>
      </c>
      <c r="M95">
        <f t="shared" si="14"/>
        <v>26.27219932921416</v>
      </c>
    </row>
    <row r="96" spans="1:13" x14ac:dyDescent="0.3">
      <c r="C96" s="16">
        <v>45035</v>
      </c>
      <c r="D96" s="57">
        <v>1.2020833333333401</v>
      </c>
      <c r="E96" s="19">
        <f t="shared" si="15"/>
        <v>35.48333333333332</v>
      </c>
      <c r="F96" s="19">
        <f t="shared" si="16"/>
        <v>7.6833333333333229</v>
      </c>
      <c r="G96" s="54">
        <f t="shared" si="10"/>
        <v>2.0766910540371937</v>
      </c>
      <c r="H96" s="87">
        <f t="shared" si="9"/>
        <v>2.0766910540371937</v>
      </c>
      <c r="I96">
        <f t="shared" si="17"/>
        <v>568.5365601748772</v>
      </c>
      <c r="J96">
        <f t="shared" si="11"/>
        <v>14.268280087438599</v>
      </c>
      <c r="K96">
        <f t="shared" si="12"/>
        <v>14.268280087438599</v>
      </c>
      <c r="L96" s="60">
        <f t="shared" si="13"/>
        <v>19.876431210994504</v>
      </c>
      <c r="M96">
        <f t="shared" si="14"/>
        <v>26.322019542212931</v>
      </c>
    </row>
    <row r="97" spans="1:13" x14ac:dyDescent="0.3">
      <c r="C97" s="16">
        <v>45035</v>
      </c>
      <c r="D97" s="57">
        <v>1.2055555555555699</v>
      </c>
      <c r="E97" s="19">
        <f t="shared" si="15"/>
        <v>35.566666666666656</v>
      </c>
      <c r="F97" s="19">
        <f t="shared" si="16"/>
        <v>7.7666666666666559</v>
      </c>
      <c r="G97" s="54">
        <f t="shared" si="10"/>
        <v>2.081889276743262</v>
      </c>
      <c r="H97" s="87">
        <f t="shared" si="9"/>
        <v>2.081889276743262</v>
      </c>
      <c r="I97">
        <f t="shared" si="17"/>
        <v>568.88354172100105</v>
      </c>
      <c r="J97">
        <f t="shared" si="11"/>
        <v>14.441770860500538</v>
      </c>
      <c r="K97">
        <f t="shared" si="12"/>
        <v>14.441770860500538</v>
      </c>
      <c r="L97" s="60">
        <f t="shared" si="13"/>
        <v>20.105841851065446</v>
      </c>
      <c r="M97">
        <f t="shared" si="14"/>
        <v>26.371903611392803</v>
      </c>
    </row>
    <row r="98" spans="1:13" x14ac:dyDescent="0.3">
      <c r="C98" s="16">
        <v>45035</v>
      </c>
      <c r="D98" s="57">
        <v>1.20902777777779</v>
      </c>
      <c r="E98" s="19">
        <f t="shared" si="15"/>
        <v>35.649999999999991</v>
      </c>
      <c r="F98" s="19">
        <f t="shared" si="16"/>
        <v>7.849999999999989</v>
      </c>
      <c r="G98" s="54">
        <f t="shared" si="10"/>
        <v>2.0871005112640866</v>
      </c>
      <c r="H98" s="87">
        <f t="shared" si="9"/>
        <v>2.0871005112640866</v>
      </c>
      <c r="I98">
        <f t="shared" si="17"/>
        <v>569.23139180621172</v>
      </c>
      <c r="J98">
        <f t="shared" si="11"/>
        <v>14.615695903105879</v>
      </c>
      <c r="K98">
        <f t="shared" si="12"/>
        <v>14.615695903105879</v>
      </c>
      <c r="L98" s="60">
        <f t="shared" si="13"/>
        <v>20.335546004463254</v>
      </c>
      <c r="M98">
        <f t="shared" si="14"/>
        <v>26.42185150341497</v>
      </c>
    </row>
    <row r="99" spans="1:13" x14ac:dyDescent="0.3">
      <c r="C99" s="16">
        <v>45035</v>
      </c>
      <c r="D99" s="57">
        <v>1.2125000000000099</v>
      </c>
      <c r="E99" s="19">
        <f t="shared" si="15"/>
        <v>35.73333333333332</v>
      </c>
      <c r="F99" s="19">
        <f t="shared" si="16"/>
        <v>7.933333333333322</v>
      </c>
      <c r="G99" s="54">
        <f t="shared" si="10"/>
        <v>2.0923247901699007</v>
      </c>
      <c r="H99" s="87">
        <f t="shared" si="9"/>
        <v>2.0923247901699007</v>
      </c>
      <c r="I99">
        <f t="shared" si="17"/>
        <v>569.5801126045734</v>
      </c>
      <c r="J99">
        <f t="shared" si="11"/>
        <v>14.790056302286704</v>
      </c>
      <c r="K99">
        <f t="shared" si="12"/>
        <v>14.790056302286704</v>
      </c>
      <c r="L99" s="60">
        <f t="shared" si="13"/>
        <v>20.565543515637529</v>
      </c>
      <c r="M99">
        <f t="shared" si="14"/>
        <v>26.471863184455867</v>
      </c>
    </row>
    <row r="100" spans="1:13" x14ac:dyDescent="0.3">
      <c r="C100" s="16">
        <v>45035</v>
      </c>
      <c r="D100" s="57">
        <v>1.21597222222223</v>
      </c>
      <c r="E100" s="19">
        <f t="shared" si="15"/>
        <v>35.816666666666656</v>
      </c>
      <c r="F100" s="19">
        <f t="shared" si="16"/>
        <v>8.0166666666666551</v>
      </c>
      <c r="G100" s="54">
        <f t="shared" si="10"/>
        <v>2.0975621461124647</v>
      </c>
      <c r="H100" s="87">
        <f t="shared" si="9"/>
        <v>2.0975621461124647</v>
      </c>
      <c r="I100">
        <f t="shared" si="17"/>
        <v>569.92970629559215</v>
      </c>
      <c r="J100">
        <f t="shared" si="11"/>
        <v>14.964853147796076</v>
      </c>
      <c r="K100">
        <f t="shared" si="12"/>
        <v>14.964853147796076</v>
      </c>
      <c r="L100" s="60">
        <f t="shared" si="13"/>
        <v>20.795834226804484</v>
      </c>
      <c r="M100">
        <f t="shared" si="14"/>
        <v>26.521938620206281</v>
      </c>
    </row>
    <row r="101" spans="1:13" x14ac:dyDescent="0.3">
      <c r="C101" s="16">
        <v>45035</v>
      </c>
      <c r="D101" s="57">
        <v>1.2194444444444501</v>
      </c>
      <c r="E101" s="19">
        <f t="shared" si="15"/>
        <v>35.899999999999991</v>
      </c>
      <c r="F101" s="19">
        <f t="shared" si="16"/>
        <v>8.099999999999989</v>
      </c>
      <c r="G101" s="54">
        <f t="shared" si="10"/>
        <v>2.1028126118252697</v>
      </c>
      <c r="H101" s="87">
        <f t="shared" si="9"/>
        <v>2.1028126118252697</v>
      </c>
      <c r="I101">
        <f t="shared" si="17"/>
        <v>570.28017506422975</v>
      </c>
      <c r="J101">
        <f t="shared" si="11"/>
        <v>15.140087532114848</v>
      </c>
      <c r="K101">
        <f t="shared" si="12"/>
        <v>15.140087532114848</v>
      </c>
      <c r="L101" s="60">
        <f t="shared" si="13"/>
        <v>21.026417977942945</v>
      </c>
      <c r="M101">
        <f t="shared" si="14"/>
        <v>26.572077775870497</v>
      </c>
    </row>
    <row r="102" spans="1:13" x14ac:dyDescent="0.3">
      <c r="C102" s="16">
        <v>45035</v>
      </c>
      <c r="D102" s="57">
        <v>1.22291666666668</v>
      </c>
      <c r="E102" s="19">
        <f t="shared" si="15"/>
        <v>35.98333333333332</v>
      </c>
      <c r="F102" s="19">
        <f t="shared" si="16"/>
        <v>8.1833333333333229</v>
      </c>
      <c r="G102" s="54">
        <f t="shared" si="10"/>
        <v>2.1080762201237433</v>
      </c>
      <c r="H102" s="87">
        <f t="shared" si="9"/>
        <v>2.1080762201237433</v>
      </c>
      <c r="I102">
        <f t="shared" si="17"/>
        <v>570.6315211009171</v>
      </c>
      <c r="J102">
        <f t="shared" si="11"/>
        <v>15.315760550458492</v>
      </c>
      <c r="K102">
        <f t="shared" si="12"/>
        <v>15.315760550458492</v>
      </c>
      <c r="L102" s="60">
        <f t="shared" si="13"/>
        <v>21.25729460679042</v>
      </c>
      <c r="M102">
        <f t="shared" si="14"/>
        <v>26.62228061616544</v>
      </c>
    </row>
    <row r="103" spans="1:13" x14ac:dyDescent="0.3">
      <c r="A103" s="61"/>
      <c r="B103" s="61"/>
      <c r="C103" s="16">
        <v>45035</v>
      </c>
      <c r="D103" s="57">
        <v>1.2263888888889001</v>
      </c>
      <c r="E103" s="19">
        <f t="shared" si="15"/>
        <v>36.066666666666656</v>
      </c>
      <c r="F103" s="19">
        <f t="shared" si="16"/>
        <v>8.2666666666666568</v>
      </c>
      <c r="G103" s="54">
        <f t="shared" si="10"/>
        <v>2.1133530039054551</v>
      </c>
      <c r="H103" s="87">
        <f t="shared" si="9"/>
        <v>2.1133530039054551</v>
      </c>
      <c r="I103">
        <f t="shared" si="17"/>
        <v>570.98374660156799</v>
      </c>
      <c r="J103">
        <f t="shared" si="11"/>
        <v>15.491873300783947</v>
      </c>
      <c r="K103">
        <f t="shared" si="12"/>
        <v>15.491873300783947</v>
      </c>
      <c r="L103" s="60">
        <f t="shared" si="13"/>
        <v>21.488463948839144</v>
      </c>
      <c r="M103">
        <f t="shared" si="14"/>
        <v>26.672547105319811</v>
      </c>
    </row>
    <row r="104" spans="1:13" x14ac:dyDescent="0.3">
      <c r="C104" s="16">
        <v>45035</v>
      </c>
      <c r="D104" s="57">
        <v>1.22986111111112</v>
      </c>
      <c r="E104" s="19">
        <f t="shared" si="15"/>
        <v>36.149999999999991</v>
      </c>
      <c r="F104" s="19">
        <f t="shared" si="16"/>
        <v>8.3499999999999908</v>
      </c>
      <c r="G104" s="54">
        <f t="shared" si="10"/>
        <v>2.1186429961503213</v>
      </c>
      <c r="H104" s="87">
        <f t="shared" si="9"/>
        <v>2.1186429961503213</v>
      </c>
      <c r="I104">
        <f t="shared" si="17"/>
        <v>571.33685376759308</v>
      </c>
      <c r="J104">
        <f t="shared" si="11"/>
        <v>15.668426883796474</v>
      </c>
      <c r="K104">
        <f t="shared" si="12"/>
        <v>15.668426883796474</v>
      </c>
      <c r="L104" s="60">
        <f t="shared" si="13"/>
        <v>21.719925837332173</v>
      </c>
      <c r="M104">
        <f t="shared" si="14"/>
        <v>26.722877207073243</v>
      </c>
    </row>
    <row r="105" spans="1:13" x14ac:dyDescent="0.3">
      <c r="B105" s="61"/>
      <c r="C105" s="16">
        <v>45035</v>
      </c>
      <c r="D105" s="57">
        <v>1.2333333333333401</v>
      </c>
      <c r="E105" s="19">
        <f t="shared" si="15"/>
        <v>36.233333333333327</v>
      </c>
      <c r="F105" s="19">
        <f t="shared" si="16"/>
        <v>8.4333333333333247</v>
      </c>
      <c r="G105" s="54">
        <f t="shared" si="10"/>
        <v>2.1239462299208092</v>
      </c>
      <c r="H105" s="87">
        <f t="shared" si="9"/>
        <v>2.1239462299208092</v>
      </c>
      <c r="I105">
        <f t="shared" si="17"/>
        <v>571.69084480591323</v>
      </c>
      <c r="J105">
        <f t="shared" si="11"/>
        <v>15.845422402956542</v>
      </c>
      <c r="K105">
        <f t="shared" si="12"/>
        <v>15.845422402956542</v>
      </c>
      <c r="L105" s="60">
        <f t="shared" si="13"/>
        <v>21.95168010325952</v>
      </c>
      <c r="M105">
        <f t="shared" si="14"/>
        <v>26.773270884675441</v>
      </c>
    </row>
    <row r="106" spans="1:13" x14ac:dyDescent="0.3">
      <c r="C106" s="16">
        <v>45035</v>
      </c>
      <c r="D106" s="57">
        <v>1.2368055555555699</v>
      </c>
      <c r="E106" s="19">
        <f t="shared" si="15"/>
        <v>36.316666666666663</v>
      </c>
      <c r="F106" s="19">
        <f t="shared" si="16"/>
        <v>8.5166666666666586</v>
      </c>
      <c r="G106" s="54">
        <f t="shared" si="10"/>
        <v>2.1292627383621485</v>
      </c>
      <c r="H106" s="87">
        <f t="shared" si="9"/>
        <v>2.1292627383621485</v>
      </c>
      <c r="I106">
        <f t="shared" si="17"/>
        <v>572.04572192897353</v>
      </c>
      <c r="J106">
        <f t="shared" si="11"/>
        <v>16.022860964486721</v>
      </c>
      <c r="K106">
        <f t="shared" si="12"/>
        <v>16.022860964486721</v>
      </c>
      <c r="L106" s="60">
        <f t="shared" si="13"/>
        <v>22.183726575354278</v>
      </c>
      <c r="M106">
        <f t="shared" si="14"/>
        <v>26.823728100885383</v>
      </c>
    </row>
    <row r="107" spans="1:13" x14ac:dyDescent="0.3">
      <c r="C107" s="16">
        <v>45035</v>
      </c>
      <c r="D107" s="57">
        <v>1.24027777777779</v>
      </c>
      <c r="E107" s="19">
        <f t="shared" si="15"/>
        <v>36.399999999999991</v>
      </c>
      <c r="F107" s="19">
        <f t="shared" si="16"/>
        <v>8.5999999999999925</v>
      </c>
      <c r="G107" s="54">
        <f t="shared" si="10"/>
        <v>2.1345925547025337</v>
      </c>
      <c r="H107" s="87">
        <f t="shared" si="9"/>
        <v>2.1345925547025337</v>
      </c>
      <c r="I107">
        <f t="shared" si="17"/>
        <v>572.40148735475725</v>
      </c>
      <c r="J107">
        <f t="shared" si="11"/>
        <v>16.2007436773786</v>
      </c>
      <c r="K107">
        <f t="shared" si="12"/>
        <v>16.2007436773786</v>
      </c>
      <c r="L107" s="60">
        <f t="shared" si="13"/>
        <v>22.416065080088792</v>
      </c>
      <c r="M107">
        <f t="shared" si="14"/>
        <v>26.874248817970432</v>
      </c>
    </row>
    <row r="108" spans="1:13" x14ac:dyDescent="0.3">
      <c r="C108" s="16">
        <v>45035</v>
      </c>
      <c r="D108" s="57">
        <v>1.2437500000000099</v>
      </c>
      <c r="E108" s="19">
        <f t="shared" si="15"/>
        <v>36.483333333333327</v>
      </c>
      <c r="F108" s="19">
        <f t="shared" si="16"/>
        <v>8.6833333333333265</v>
      </c>
      <c r="G108" s="54">
        <f t="shared" si="10"/>
        <v>2.1399357122533345</v>
      </c>
      <c r="H108" s="87">
        <f t="shared" si="9"/>
        <v>2.1399357122533345</v>
      </c>
      <c r="I108">
        <f t="shared" si="17"/>
        <v>572.75814330679952</v>
      </c>
      <c r="J108">
        <f t="shared" si="11"/>
        <v>16.379071653399713</v>
      </c>
      <c r="K108">
        <f t="shared" si="12"/>
        <v>16.379071653399713</v>
      </c>
      <c r="L108" s="60">
        <f t="shared" si="13"/>
        <v>22.648695441670867</v>
      </c>
      <c r="M108">
        <f t="shared" si="14"/>
        <v>26.924832997705558</v>
      </c>
    </row>
    <row r="109" spans="1:13" x14ac:dyDescent="0.3">
      <c r="C109" s="16">
        <v>45035</v>
      </c>
      <c r="D109" s="57">
        <v>1.24722222222223</v>
      </c>
      <c r="E109" s="19">
        <f t="shared" si="15"/>
        <v>36.566666666666663</v>
      </c>
      <c r="F109" s="19">
        <f t="shared" si="16"/>
        <v>8.7666666666666604</v>
      </c>
      <c r="G109" s="54">
        <f t="shared" si="10"/>
        <v>2.1452922444093026</v>
      </c>
      <c r="H109" s="87">
        <f t="shared" si="9"/>
        <v>2.1452922444093026</v>
      </c>
      <c r="I109">
        <f t="shared" si="17"/>
        <v>573.11569201420104</v>
      </c>
      <c r="J109">
        <f t="shared" si="11"/>
        <v>16.557846007100487</v>
      </c>
      <c r="K109">
        <f t="shared" si="12"/>
        <v>16.557846007100487</v>
      </c>
      <c r="L109" s="60">
        <f t="shared" si="13"/>
        <v>22.881617482039996</v>
      </c>
      <c r="M109">
        <f t="shared" si="14"/>
        <v>26.975480601372492</v>
      </c>
    </row>
    <row r="110" spans="1:13" x14ac:dyDescent="0.3">
      <c r="C110" s="16">
        <v>45035</v>
      </c>
      <c r="D110" s="57">
        <v>1.2506944444444501</v>
      </c>
      <c r="E110" s="19">
        <f t="shared" si="15"/>
        <v>36.649999999999991</v>
      </c>
      <c r="F110" s="19">
        <f t="shared" si="16"/>
        <v>8.8499999999999943</v>
      </c>
      <c r="G110" s="54">
        <f t="shared" si="10"/>
        <v>2.1506621846487817</v>
      </c>
      <c r="H110" s="87">
        <f t="shared" si="9"/>
        <v>2.1506621846487817</v>
      </c>
      <c r="I110">
        <f t="shared" si="17"/>
        <v>573.47413571164248</v>
      </c>
      <c r="J110">
        <f t="shared" si="11"/>
        <v>16.73706785582122</v>
      </c>
      <c r="K110">
        <f t="shared" si="12"/>
        <v>16.73706785582122</v>
      </c>
      <c r="L110" s="60">
        <f t="shared" si="13"/>
        <v>23.114831020863594</v>
      </c>
      <c r="M110">
        <f t="shared" si="14"/>
        <v>27.026191589758913</v>
      </c>
    </row>
    <row r="111" spans="1:13" x14ac:dyDescent="0.3">
      <c r="C111" s="16">
        <v>45035</v>
      </c>
      <c r="D111" s="57">
        <v>1.25416666666668</v>
      </c>
      <c r="E111" s="19">
        <f t="shared" si="15"/>
        <v>36.733333333333327</v>
      </c>
      <c r="F111" s="19">
        <f t="shared" si="16"/>
        <v>8.9333333333333282</v>
      </c>
      <c r="G111" s="54">
        <f t="shared" si="10"/>
        <v>2.1560455665339155</v>
      </c>
      <c r="H111" s="87">
        <f t="shared" si="9"/>
        <v>2.1560455665339155</v>
      </c>
      <c r="I111">
        <f t="shared" si="17"/>
        <v>573.8334766393981</v>
      </c>
      <c r="J111">
        <f t="shared" si="11"/>
        <v>16.916738319699046</v>
      </c>
      <c r="K111">
        <f t="shared" si="12"/>
        <v>16.916738319699046</v>
      </c>
      <c r="L111" s="60">
        <f t="shared" si="13"/>
        <v>23.348335875533287</v>
      </c>
      <c r="M111">
        <f t="shared" si="14"/>
        <v>27.076965923157644</v>
      </c>
    </row>
    <row r="112" spans="1:13" x14ac:dyDescent="0.3">
      <c r="C112" s="16">
        <v>45035</v>
      </c>
      <c r="D112" s="57">
        <v>1.2576388888889001</v>
      </c>
      <c r="E112" s="19">
        <f t="shared" si="15"/>
        <v>36.816666666666663</v>
      </c>
      <c r="F112" s="19">
        <f t="shared" si="16"/>
        <v>9.0166666666666622</v>
      </c>
      <c r="G112" s="54">
        <f t="shared" si="10"/>
        <v>2.1614424237108585</v>
      </c>
      <c r="H112" s="87">
        <f t="shared" si="9"/>
        <v>2.1614424237108585</v>
      </c>
      <c r="I112">
        <f t="shared" si="17"/>
        <v>574.19371704334992</v>
      </c>
      <c r="J112">
        <f t="shared" si="11"/>
        <v>17.09685852167495</v>
      </c>
      <c r="K112">
        <f t="shared" si="12"/>
        <v>17.09685852167495</v>
      </c>
      <c r="L112" s="60">
        <f t="shared" si="13"/>
        <v>23.582131861161212</v>
      </c>
      <c r="M112">
        <f t="shared" si="14"/>
        <v>27.127803561365852</v>
      </c>
    </row>
    <row r="113" spans="1:13" x14ac:dyDescent="0.3">
      <c r="C113" s="16">
        <v>45035</v>
      </c>
      <c r="D113" s="57">
        <v>1.26111111111112</v>
      </c>
      <c r="E113" s="19">
        <f t="shared" si="15"/>
        <v>36.9</v>
      </c>
      <c r="F113" s="19">
        <f t="shared" si="16"/>
        <v>9.0999999999999961</v>
      </c>
      <c r="G113" s="54">
        <f t="shared" si="10"/>
        <v>2.1668527899099859</v>
      </c>
      <c r="H113" s="87">
        <f t="shared" si="9"/>
        <v>2.1668527899099859</v>
      </c>
      <c r="I113">
        <f t="shared" si="17"/>
        <v>574.55485917500164</v>
      </c>
      <c r="J113">
        <f t="shared" si="11"/>
        <v>17.27742958750078</v>
      </c>
      <c r="K113">
        <f t="shared" si="12"/>
        <v>17.27742958750078</v>
      </c>
      <c r="L113" s="60">
        <f t="shared" si="13"/>
        <v>23.816218790576357</v>
      </c>
      <c r="M113">
        <f t="shared" si="14"/>
        <v>27.17870446368423</v>
      </c>
    </row>
    <row r="114" spans="1:13" x14ac:dyDescent="0.3">
      <c r="C114" s="16">
        <v>45035</v>
      </c>
      <c r="D114" s="57">
        <v>1.2645833333333401</v>
      </c>
      <c r="E114" s="19">
        <f t="shared" si="15"/>
        <v>36.983333333333334</v>
      </c>
      <c r="F114" s="19">
        <f t="shared" si="16"/>
        <v>9.18333333333333</v>
      </c>
      <c r="G114" s="54">
        <f t="shared" si="10"/>
        <v>2.1722766989461042</v>
      </c>
      <c r="H114" s="87">
        <f t="shared" si="9"/>
        <v>2.1722766989461042</v>
      </c>
      <c r="I114">
        <f t="shared" si="17"/>
        <v>574.91690529149264</v>
      </c>
      <c r="J114">
        <f t="shared" si="11"/>
        <v>17.458452645746288</v>
      </c>
      <c r="K114">
        <f t="shared" si="12"/>
        <v>17.458452645746288</v>
      </c>
      <c r="L114" s="60">
        <f t="shared" si="13"/>
        <v>24.050596474320923</v>
      </c>
      <c r="M114">
        <f t="shared" si="14"/>
        <v>27.229668588916244</v>
      </c>
    </row>
    <row r="115" spans="1:13" x14ac:dyDescent="0.3">
      <c r="C115" s="16">
        <v>45035</v>
      </c>
      <c r="D115" s="57">
        <v>1.2680555555555699</v>
      </c>
      <c r="E115" s="19">
        <f t="shared" si="15"/>
        <v>37.066666666666663</v>
      </c>
      <c r="F115" s="19">
        <f t="shared" si="16"/>
        <v>9.2666666666666639</v>
      </c>
      <c r="G115" s="54">
        <f t="shared" si="10"/>
        <v>2.1777141847186616</v>
      </c>
      <c r="H115" s="87">
        <f t="shared" si="9"/>
        <v>2.1777141847186616</v>
      </c>
      <c r="I115">
        <f t="shared" si="17"/>
        <v>575.27985765561243</v>
      </c>
      <c r="J115">
        <f t="shared" si="11"/>
        <v>17.639928827806177</v>
      </c>
      <c r="K115">
        <f t="shared" si="12"/>
        <v>17.639928827806177</v>
      </c>
      <c r="L115" s="60">
        <f t="shared" si="13"/>
        <v>24.285264720646705</v>
      </c>
      <c r="M115">
        <f t="shared" si="14"/>
        <v>27.280695895367305</v>
      </c>
    </row>
    <row r="116" spans="1:13" x14ac:dyDescent="0.3">
      <c r="C116" s="16">
        <v>45035</v>
      </c>
      <c r="D116" s="57">
        <v>1.27152777777779</v>
      </c>
      <c r="E116" s="19">
        <f t="shared" si="15"/>
        <v>37.15</v>
      </c>
      <c r="F116" s="19">
        <f t="shared" si="16"/>
        <v>9.3499999999999979</v>
      </c>
      <c r="G116" s="54">
        <f t="shared" si="10"/>
        <v>2.183165281211962</v>
      </c>
      <c r="H116" s="87">
        <f t="shared" si="9"/>
        <v>2.183165281211962</v>
      </c>
      <c r="I116">
        <f t="shared" si="17"/>
        <v>575.6437185358144</v>
      </c>
      <c r="J116">
        <f t="shared" si="11"/>
        <v>17.821859267907172</v>
      </c>
      <c r="K116">
        <f t="shared" si="12"/>
        <v>17.821859267907172</v>
      </c>
      <c r="L116" s="60">
        <f t="shared" si="13"/>
        <v>24.520223335511503</v>
      </c>
      <c r="M116">
        <f t="shared" si="14"/>
        <v>27.331786340844019</v>
      </c>
    </row>
    <row r="117" spans="1:13" x14ac:dyDescent="0.3">
      <c r="A117" s="61"/>
      <c r="B117" s="61"/>
      <c r="C117" s="16">
        <v>45035</v>
      </c>
      <c r="D117" s="57">
        <v>1.2750000000000099</v>
      </c>
      <c r="E117" s="19">
        <f t="shared" si="15"/>
        <v>37.233333333333334</v>
      </c>
      <c r="F117" s="19">
        <f t="shared" si="16"/>
        <v>9.4333333333333318</v>
      </c>
      <c r="G117" s="54">
        <f t="shared" si="10"/>
        <v>2.188630022495377</v>
      </c>
      <c r="H117" s="87">
        <f t="shared" si="9"/>
        <v>2.188630022495377</v>
      </c>
      <c r="I117">
        <f t="shared" si="17"/>
        <v>576.00849020623025</v>
      </c>
      <c r="J117">
        <f t="shared" si="11"/>
        <v>18.004245103115121</v>
      </c>
      <c r="K117">
        <f t="shared" si="12"/>
        <v>18.004245103115121</v>
      </c>
      <c r="L117" s="60">
        <f t="shared" si="13"/>
        <v>24.755472122575586</v>
      </c>
      <c r="M117">
        <f t="shared" si="14"/>
        <v>27.382939882653403</v>
      </c>
    </row>
    <row r="118" spans="1:13" x14ac:dyDescent="0.3">
      <c r="C118" s="16">
        <v>45035</v>
      </c>
      <c r="D118" s="57">
        <v>1.27847222222223</v>
      </c>
      <c r="E118" s="19">
        <f t="shared" si="15"/>
        <v>37.316666666666663</v>
      </c>
      <c r="F118" s="19">
        <f t="shared" si="16"/>
        <v>9.5166666666666657</v>
      </c>
      <c r="G118" s="54">
        <f t="shared" si="10"/>
        <v>2.1941084427235573</v>
      </c>
      <c r="H118" s="87">
        <f t="shared" si="9"/>
        <v>2.1941084427235573</v>
      </c>
      <c r="I118">
        <f t="shared" si="17"/>
        <v>576.37417494668421</v>
      </c>
      <c r="J118">
        <f t="shared" si="11"/>
        <v>18.187087473342086</v>
      </c>
      <c r="K118">
        <f t="shared" si="12"/>
        <v>18.187087473342086</v>
      </c>
      <c r="L118" s="60">
        <f t="shared" si="13"/>
        <v>24.99101088319815</v>
      </c>
      <c r="M118">
        <f t="shared" si="14"/>
        <v>27.434156477602109</v>
      </c>
    </row>
    <row r="119" spans="1:13" x14ac:dyDescent="0.3">
      <c r="C119" s="16">
        <v>45035</v>
      </c>
      <c r="D119" s="57">
        <v>1.2819444444444601</v>
      </c>
      <c r="E119" s="19">
        <f t="shared" si="15"/>
        <v>37.4</v>
      </c>
      <c r="F119" s="19">
        <f t="shared" si="16"/>
        <v>9.6</v>
      </c>
      <c r="G119" s="54">
        <f t="shared" si="10"/>
        <v>2.1996005761366471</v>
      </c>
      <c r="H119" s="87">
        <f t="shared" si="9"/>
        <v>2.1996005761366471</v>
      </c>
      <c r="I119">
        <f t="shared" si="17"/>
        <v>576.74077504270701</v>
      </c>
      <c r="J119">
        <f t="shared" si="11"/>
        <v>18.370387521353472</v>
      </c>
      <c r="K119">
        <f t="shared" si="12"/>
        <v>18.370387521353472</v>
      </c>
      <c r="L119" s="60">
        <f t="shared" si="13"/>
        <v>25.226839416433833</v>
      </c>
      <c r="M119">
        <f t="shared" si="14"/>
        <v>27.48543608199569</v>
      </c>
    </row>
    <row r="120" spans="1:13" x14ac:dyDescent="0.3">
      <c r="C120" s="16">
        <v>45035</v>
      </c>
      <c r="D120" s="57">
        <v>1.28541666666668</v>
      </c>
      <c r="E120" s="19">
        <f t="shared" si="15"/>
        <v>37.483333333333334</v>
      </c>
      <c r="F120" s="19">
        <f t="shared" si="16"/>
        <v>9.6833333333333336</v>
      </c>
      <c r="G120" s="54">
        <f t="shared" si="10"/>
        <v>2.2051064570604972</v>
      </c>
      <c r="H120" s="87">
        <f t="shared" si="9"/>
        <v>2.2051064570604972</v>
      </c>
      <c r="I120">
        <f t="shared" si="17"/>
        <v>577.10829278555047</v>
      </c>
      <c r="J120">
        <f t="shared" si="11"/>
        <v>18.554146392775181</v>
      </c>
      <c r="K120">
        <f t="shared" si="12"/>
        <v>18.554146392775181</v>
      </c>
      <c r="L120" s="60">
        <f t="shared" si="13"/>
        <v>25.462957519029228</v>
      </c>
      <c r="M120">
        <f t="shared" si="14"/>
        <v>27.536778651637821</v>
      </c>
    </row>
    <row r="121" spans="1:13" x14ac:dyDescent="0.3">
      <c r="C121" s="16">
        <v>45035</v>
      </c>
      <c r="D121" s="57">
        <v>1.2888888888889001</v>
      </c>
      <c r="E121" s="19">
        <f t="shared" si="15"/>
        <v>37.56666666666667</v>
      </c>
      <c r="F121" s="19">
        <f t="shared" si="16"/>
        <v>9.7666666666666675</v>
      </c>
      <c r="G121" s="54">
        <f t="shared" si="10"/>
        <v>2.2106261199068826</v>
      </c>
      <c r="H121" s="87">
        <f t="shared" si="9"/>
        <v>2.2106261199068826</v>
      </c>
      <c r="I121">
        <f t="shared" si="17"/>
        <v>577.47673047220167</v>
      </c>
      <c r="J121">
        <f t="shared" si="11"/>
        <v>18.738365236100755</v>
      </c>
      <c r="K121">
        <f t="shared" si="12"/>
        <v>18.738365236100755</v>
      </c>
      <c r="L121" s="60">
        <f t="shared" si="13"/>
        <v>25.699364985419454</v>
      </c>
      <c r="M121">
        <f t="shared" si="14"/>
        <v>27.588184141829561</v>
      </c>
    </row>
    <row r="122" spans="1:13" x14ac:dyDescent="0.3">
      <c r="C122" s="16">
        <v>45035</v>
      </c>
      <c r="D122" s="57">
        <v>1.29236111111112</v>
      </c>
      <c r="E122" s="19">
        <f t="shared" si="15"/>
        <v>37.650000000000006</v>
      </c>
      <c r="F122" s="19">
        <f t="shared" si="16"/>
        <v>9.8500000000000014</v>
      </c>
      <c r="G122" s="54">
        <f t="shared" si="10"/>
        <v>2.2161595991737131</v>
      </c>
      <c r="H122" s="87">
        <f t="shared" si="9"/>
        <v>2.2161595991737131</v>
      </c>
      <c r="I122">
        <f t="shared" si="17"/>
        <v>577.84609040539726</v>
      </c>
      <c r="J122">
        <f t="shared" si="11"/>
        <v>18.923045202698564</v>
      </c>
      <c r="K122">
        <f t="shared" si="12"/>
        <v>18.923045202698564</v>
      </c>
      <c r="L122" s="60">
        <f t="shared" si="13"/>
        <v>25.936061607724753</v>
      </c>
      <c r="M122">
        <f t="shared" si="14"/>
        <v>27.639652507368616</v>
      </c>
    </row>
    <row r="123" spans="1:13" x14ac:dyDescent="0.3">
      <c r="C123" s="16">
        <v>45035</v>
      </c>
      <c r="D123" s="57">
        <v>1.2958333333333401</v>
      </c>
      <c r="E123" s="19">
        <f t="shared" si="15"/>
        <v>37.733333333333334</v>
      </c>
      <c r="F123" s="19">
        <f t="shared" si="16"/>
        <v>9.9333333333333353</v>
      </c>
      <c r="G123" s="54">
        <f t="shared" si="10"/>
        <v>2.2217069294452525</v>
      </c>
      <c r="H123" s="87">
        <f t="shared" si="9"/>
        <v>2.2217069294452525</v>
      </c>
      <c r="I123">
        <f t="shared" si="17"/>
        <v>578.21637489363809</v>
      </c>
      <c r="J123">
        <f t="shared" si="11"/>
        <v>19.108187446819002</v>
      </c>
      <c r="K123">
        <f t="shared" si="12"/>
        <v>19.108187446819002</v>
      </c>
      <c r="L123" s="60">
        <f t="shared" si="13"/>
        <v>26.173047175747097</v>
      </c>
      <c r="M123">
        <f t="shared" si="14"/>
        <v>27.691183702548589</v>
      </c>
    </row>
    <row r="124" spans="1:13" x14ac:dyDescent="0.3">
      <c r="C124" s="16">
        <v>45035</v>
      </c>
      <c r="D124" s="57">
        <v>1.2993055555555699</v>
      </c>
      <c r="E124" s="19">
        <f t="shared" si="15"/>
        <v>37.81666666666667</v>
      </c>
      <c r="F124" s="19">
        <f t="shared" si="16"/>
        <v>10.016666666666669</v>
      </c>
      <c r="G124" s="54">
        <f t="shared" si="10"/>
        <v>2.2272681453923333</v>
      </c>
      <c r="H124" s="87">
        <f t="shared" si="9"/>
        <v>2.2272681453923333</v>
      </c>
      <c r="I124">
        <f t="shared" si="17"/>
        <v>578.58758625120345</v>
      </c>
      <c r="J124">
        <f t="shared" si="11"/>
        <v>19.293793125601695</v>
      </c>
      <c r="K124">
        <f t="shared" si="12"/>
        <v>19.293793125601695</v>
      </c>
      <c r="L124" s="60">
        <f t="shared" si="13"/>
        <v>26.410321476966825</v>
      </c>
      <c r="M124">
        <f t="shared" si="14"/>
        <v>27.742777681158259</v>
      </c>
    </row>
    <row r="125" spans="1:13" x14ac:dyDescent="0.3">
      <c r="A125" s="61"/>
      <c r="C125" s="16">
        <v>45035</v>
      </c>
      <c r="D125" s="57">
        <v>1.30277777777779</v>
      </c>
      <c r="E125" s="19">
        <f t="shared" si="15"/>
        <v>37.900000000000006</v>
      </c>
      <c r="F125" s="19">
        <f t="shared" si="16"/>
        <v>10.100000000000003</v>
      </c>
      <c r="G125" s="54">
        <f t="shared" si="10"/>
        <v>2.2328432817725727</v>
      </c>
      <c r="H125" s="87">
        <f t="shared" si="9"/>
        <v>2.2328432817725727</v>
      </c>
      <c r="I125">
        <f t="shared" si="17"/>
        <v>578.95972679816555</v>
      </c>
      <c r="J125">
        <f t="shared" si="11"/>
        <v>19.479863399082742</v>
      </c>
      <c r="K125">
        <f t="shared" si="12"/>
        <v>19.479863399082742</v>
      </c>
      <c r="L125" s="60">
        <f t="shared" si="13"/>
        <v>26.647884296539342</v>
      </c>
      <c r="M125">
        <f t="shared" si="14"/>
        <v>27.79443439648086</v>
      </c>
    </row>
    <row r="126" spans="1:13" x14ac:dyDescent="0.3">
      <c r="C126" s="16">
        <v>45035</v>
      </c>
      <c r="D126" s="57">
        <v>1.3062500000000099</v>
      </c>
      <c r="E126" s="19">
        <f t="shared" si="15"/>
        <v>37.983333333333334</v>
      </c>
      <c r="F126" s="19">
        <f t="shared" si="16"/>
        <v>10.183333333333337</v>
      </c>
      <c r="G126" s="54">
        <f t="shared" si="10"/>
        <v>2.2384323734305918</v>
      </c>
      <c r="H126" s="87">
        <f t="shared" si="9"/>
        <v>2.2384323734305918</v>
      </c>
      <c r="I126">
        <f t="shared" si="17"/>
        <v>579.33279886040395</v>
      </c>
      <c r="J126">
        <f t="shared" si="11"/>
        <v>19.66639943020196</v>
      </c>
      <c r="K126">
        <f t="shared" si="12"/>
        <v>19.66639943020196</v>
      </c>
      <c r="L126" s="60">
        <f t="shared" si="13"/>
        <v>26.885735417291819</v>
      </c>
      <c r="M126">
        <f t="shared" si="14"/>
        <v>27.846153801293376</v>
      </c>
    </row>
    <row r="127" spans="1:13" x14ac:dyDescent="0.3">
      <c r="C127" s="16">
        <v>45035</v>
      </c>
      <c r="D127" s="57">
        <v>1.30972222222223</v>
      </c>
      <c r="E127" s="19">
        <f t="shared" si="15"/>
        <v>38.06666666666667</v>
      </c>
      <c r="F127" s="19">
        <f t="shared" si="16"/>
        <v>10.266666666666671</v>
      </c>
      <c r="G127" s="54">
        <f t="shared" si="10"/>
        <v>2.2440354552982313</v>
      </c>
      <c r="H127" s="87">
        <f t="shared" si="9"/>
        <v>2.2440354552982313</v>
      </c>
      <c r="I127">
        <f t="shared" si="17"/>
        <v>579.70680476962036</v>
      </c>
      <c r="J127">
        <f t="shared" si="11"/>
        <v>19.853402384810146</v>
      </c>
      <c r="K127">
        <f t="shared" si="12"/>
        <v>19.853402384810146</v>
      </c>
      <c r="L127" s="60">
        <f t="shared" si="13"/>
        <v>27.123874619719931</v>
      </c>
      <c r="M127">
        <f t="shared" si="14"/>
        <v>27.897935847865799</v>
      </c>
    </row>
    <row r="128" spans="1:13" x14ac:dyDescent="0.3">
      <c r="B128" s="61"/>
      <c r="C128" s="16">
        <v>45035</v>
      </c>
      <c r="D128" s="57">
        <v>1.3131944444444601</v>
      </c>
      <c r="E128" s="19">
        <f t="shared" si="15"/>
        <v>38.150000000000006</v>
      </c>
      <c r="F128" s="19">
        <f t="shared" si="16"/>
        <v>10.350000000000005</v>
      </c>
      <c r="G128" s="54">
        <f t="shared" si="10"/>
        <v>2.2496525623947714</v>
      </c>
      <c r="H128" s="87">
        <f t="shared" si="9"/>
        <v>2.2496525623947714</v>
      </c>
      <c r="I128">
        <f t="shared" si="17"/>
        <v>580.08174686335281</v>
      </c>
      <c r="J128">
        <f t="shared" si="11"/>
        <v>20.040873431676378</v>
      </c>
      <c r="K128">
        <f t="shared" si="12"/>
        <v>20.040873431676378</v>
      </c>
      <c r="L128" s="60">
        <f t="shared" si="13"/>
        <v>27.362301681984626</v>
      </c>
      <c r="M128">
        <f t="shared" si="14"/>
        <v>27.949780487960467</v>
      </c>
    </row>
    <row r="129" spans="2:13" x14ac:dyDescent="0.3">
      <c r="C129" s="16">
        <v>45035</v>
      </c>
      <c r="D129" s="57">
        <v>1.31666666666668</v>
      </c>
      <c r="E129" s="19">
        <f t="shared" si="15"/>
        <v>38.233333333333341</v>
      </c>
      <c r="F129" s="19">
        <f t="shared" si="16"/>
        <v>10.433333333333339</v>
      </c>
      <c r="G129" s="54">
        <f t="shared" si="10"/>
        <v>2.2552837298271493</v>
      </c>
      <c r="H129" s="87">
        <f t="shared" si="9"/>
        <v>2.2552837298271493</v>
      </c>
      <c r="I129">
        <f t="shared" si="17"/>
        <v>580.45762748499067</v>
      </c>
      <c r="J129">
        <f t="shared" si="11"/>
        <v>20.228813742495309</v>
      </c>
      <c r="K129">
        <f t="shared" si="12"/>
        <v>20.228813742495309</v>
      </c>
      <c r="L129" s="60">
        <f t="shared" si="13"/>
        <v>27.601016379908909</v>
      </c>
      <c r="M129">
        <f t="shared" si="14"/>
        <v>28.001687672831334</v>
      </c>
    </row>
    <row r="130" spans="2:13" x14ac:dyDescent="0.3">
      <c r="C130" s="16">
        <v>45035</v>
      </c>
      <c r="D130" s="57">
        <v>1.3201388888889001</v>
      </c>
      <c r="E130" s="19">
        <f t="shared" si="15"/>
        <v>38.316666666666677</v>
      </c>
      <c r="F130" s="19">
        <f t="shared" si="16"/>
        <v>10.516666666666673</v>
      </c>
      <c r="G130" s="54">
        <f t="shared" si="10"/>
        <v>2.2609289927901806</v>
      </c>
      <c r="H130" s="87">
        <f t="shared" si="9"/>
        <v>2.2609289927901806</v>
      </c>
      <c r="I130">
        <f t="shared" si="17"/>
        <v>580.834448983789</v>
      </c>
      <c r="J130">
        <f t="shared" si="11"/>
        <v>20.417224491894491</v>
      </c>
      <c r="K130">
        <f t="shared" si="12"/>
        <v>20.417224491894491</v>
      </c>
      <c r="L130" s="60">
        <f t="shared" si="13"/>
        <v>27.840018486974692</v>
      </c>
      <c r="M130">
        <f t="shared" si="14"/>
        <v>28.053657353223304</v>
      </c>
    </row>
    <row r="131" spans="2:13" x14ac:dyDescent="0.3">
      <c r="C131" s="16">
        <v>45035</v>
      </c>
      <c r="D131" s="57">
        <v>1.32361111111112</v>
      </c>
      <c r="E131" s="19">
        <f t="shared" si="15"/>
        <v>38.400000000000006</v>
      </c>
      <c r="F131" s="19">
        <f t="shared" si="16"/>
        <v>10.600000000000007</v>
      </c>
      <c r="G131" s="54">
        <f t="shared" si="10"/>
        <v>2.266588386566776</v>
      </c>
      <c r="H131" s="87">
        <f t="shared" si="9"/>
        <v>2.266588386566776</v>
      </c>
      <c r="I131">
        <f t="shared" si="17"/>
        <v>581.21221371488343</v>
      </c>
      <c r="J131">
        <f t="shared" si="11"/>
        <v>20.606106857441723</v>
      </c>
      <c r="K131">
        <f t="shared" si="12"/>
        <v>20.606106857441723</v>
      </c>
      <c r="L131" s="60">
        <f t="shared" si="13"/>
        <v>28.079307774319638</v>
      </c>
      <c r="M131">
        <f t="shared" si="14"/>
        <v>28.105689479371534</v>
      </c>
    </row>
    <row r="132" spans="2:13" x14ac:dyDescent="0.3">
      <c r="C132" s="16">
        <v>45035</v>
      </c>
      <c r="D132" s="57">
        <v>1.32708333333335</v>
      </c>
      <c r="E132" s="19">
        <f t="shared" si="15"/>
        <v>38.483333333333341</v>
      </c>
      <c r="F132" s="19">
        <f t="shared" si="16"/>
        <v>10.683333333333341</v>
      </c>
      <c r="G132" s="54">
        <f t="shared" si="10"/>
        <v>2.2722619465281659</v>
      </c>
      <c r="H132" s="87">
        <f t="shared" ref="H132:H195" si="18">G132</f>
        <v>2.2722619465281659</v>
      </c>
      <c r="I132">
        <f t="shared" si="17"/>
        <v>581.59092403930481</v>
      </c>
      <c r="J132">
        <f t="shared" si="11"/>
        <v>20.795462019652405</v>
      </c>
      <c r="K132">
        <f t="shared" si="12"/>
        <v>20.795462019652405</v>
      </c>
      <c r="L132" s="60">
        <f t="shared" si="13"/>
        <v>28.318884010734056</v>
      </c>
      <c r="M132">
        <f t="shared" si="14"/>
        <v>28.15778400100076</v>
      </c>
    </row>
    <row r="133" spans="2:13" x14ac:dyDescent="0.3">
      <c r="B133" s="61" t="s">
        <v>95</v>
      </c>
      <c r="C133" s="16">
        <v>45035</v>
      </c>
      <c r="D133" s="57">
        <v>1.3305555555555699</v>
      </c>
      <c r="E133" s="19">
        <f t="shared" si="15"/>
        <v>38.566666666666677</v>
      </c>
      <c r="F133" s="19">
        <f t="shared" si="16"/>
        <v>10.766666666666675</v>
      </c>
      <c r="G133" s="54">
        <f t="shared" ref="G133:G196" si="19">$G$4*EXP($T$1*F133)</f>
        <v>2.2779497081341185</v>
      </c>
      <c r="H133" s="87">
        <f t="shared" si="18"/>
        <v>2.2779497081341185</v>
      </c>
      <c r="I133">
        <f t="shared" si="17"/>
        <v>581.97058232399388</v>
      </c>
      <c r="J133">
        <f t="shared" ref="J133:J196" si="20">J132+G133*5/60</f>
        <v>20.985291161996916</v>
      </c>
      <c r="K133">
        <f t="shared" ref="K133:K196" si="21">J133</f>
        <v>20.985291161996916</v>
      </c>
      <c r="L133" s="60">
        <f t="shared" ref="L133:L196" si="22">((L132*I132/1000)+(G133*$T$7/1000*5/60))/(I133/1000)</f>
        <v>28.558746962657825</v>
      </c>
      <c r="M133">
        <f t="shared" ref="M133:M196" si="23">(M132*I132+G133*$T$7*$T$6*(5/60))/I133</f>
        <v>28.209940867324626</v>
      </c>
    </row>
    <row r="134" spans="2:13" x14ac:dyDescent="0.3">
      <c r="C134" s="16">
        <v>45035</v>
      </c>
      <c r="D134" s="57">
        <v>1.33402777777779</v>
      </c>
      <c r="E134" s="19">
        <f t="shared" ref="E134:E197" si="24">$E$3+F134</f>
        <v>38.650000000000006</v>
      </c>
      <c r="F134" s="19">
        <f t="shared" ref="F134:F197" si="25">F133+5/60</f>
        <v>10.850000000000009</v>
      </c>
      <c r="G134" s="54">
        <f t="shared" si="19"/>
        <v>2.2836517069331617</v>
      </c>
      <c r="H134" s="87">
        <f t="shared" si="18"/>
        <v>2.2836517069331617</v>
      </c>
      <c r="I134">
        <f t="shared" ref="I134:I197" si="26">I133+(G134+H134)*5/60</f>
        <v>582.35119094181607</v>
      </c>
      <c r="J134">
        <f t="shared" si="20"/>
        <v>21.175595470908011</v>
      </c>
      <c r="K134">
        <f t="shared" si="21"/>
        <v>21.175595470908011</v>
      </c>
      <c r="L134" s="60">
        <f t="shared" si="22"/>
        <v>28.798896394177348</v>
      </c>
      <c r="M134">
        <f t="shared" si="23"/>
        <v>28.262160027045038</v>
      </c>
    </row>
    <row r="135" spans="2:13" x14ac:dyDescent="0.3">
      <c r="C135" s="16">
        <v>45035</v>
      </c>
      <c r="D135" s="57">
        <v>1.3375000000000099</v>
      </c>
      <c r="E135" s="19">
        <f t="shared" si="24"/>
        <v>38.733333333333341</v>
      </c>
      <c r="F135" s="19">
        <f t="shared" si="25"/>
        <v>10.933333333333342</v>
      </c>
      <c r="G135" s="54">
        <f t="shared" si="19"/>
        <v>2.2893679785628072</v>
      </c>
      <c r="H135" s="87">
        <f t="shared" si="18"/>
        <v>2.2893679785628072</v>
      </c>
      <c r="I135">
        <f t="shared" si="26"/>
        <v>582.73275227157649</v>
      </c>
      <c r="J135">
        <f t="shared" si="20"/>
        <v>21.366376135788244</v>
      </c>
      <c r="K135">
        <f t="shared" si="21"/>
        <v>21.366376135788244</v>
      </c>
      <c r="L135" s="60">
        <f t="shared" si="22"/>
        <v>29.039332067022539</v>
      </c>
      <c r="M135">
        <f t="shared" si="23"/>
        <v>28.31444142835149</v>
      </c>
    </row>
    <row r="136" spans="2:13" x14ac:dyDescent="0.3">
      <c r="C136" s="16">
        <v>45035</v>
      </c>
      <c r="D136" s="57">
        <v>1.34097222222224</v>
      </c>
      <c r="E136" s="19">
        <f t="shared" si="24"/>
        <v>38.816666666666677</v>
      </c>
      <c r="F136" s="19">
        <f t="shared" si="25"/>
        <v>11.016666666666676</v>
      </c>
      <c r="G136" s="54">
        <f t="shared" si="19"/>
        <v>2.2950985587497712</v>
      </c>
      <c r="H136" s="87">
        <f t="shared" si="18"/>
        <v>2.2950985587497712</v>
      </c>
      <c r="I136">
        <f t="shared" si="26"/>
        <v>583.11526869803481</v>
      </c>
      <c r="J136">
        <f t="shared" si="20"/>
        <v>21.557634349017391</v>
      </c>
      <c r="K136">
        <f t="shared" si="21"/>
        <v>21.557634349017391</v>
      </c>
      <c r="L136" s="60">
        <f t="shared" si="22"/>
        <v>29.280053740563837</v>
      </c>
      <c r="M136">
        <f t="shared" si="23"/>
        <v>28.36678501892041</v>
      </c>
    </row>
    <row r="137" spans="2:13" x14ac:dyDescent="0.3">
      <c r="C137" s="16">
        <v>45035</v>
      </c>
      <c r="D137" s="57">
        <v>1.3444444444444601</v>
      </c>
      <c r="E137" s="19">
        <f t="shared" si="24"/>
        <v>38.900000000000013</v>
      </c>
      <c r="F137" s="19">
        <f t="shared" si="25"/>
        <v>11.10000000000001</v>
      </c>
      <c r="G137" s="54">
        <f t="shared" si="19"/>
        <v>2.3008434833101985</v>
      </c>
      <c r="H137" s="87">
        <f t="shared" si="18"/>
        <v>2.3008434833101985</v>
      </c>
      <c r="I137">
        <f t="shared" si="26"/>
        <v>583.49874261191985</v>
      </c>
      <c r="J137">
        <f t="shared" si="20"/>
        <v>21.749371305959908</v>
      </c>
      <c r="K137">
        <f t="shared" si="21"/>
        <v>21.749371305959908</v>
      </c>
      <c r="L137" s="60">
        <f t="shared" si="22"/>
        <v>29.52106117180923</v>
      </c>
      <c r="M137">
        <f t="shared" si="23"/>
        <v>28.419190745914548</v>
      </c>
    </row>
    <row r="138" spans="2:13" x14ac:dyDescent="0.3">
      <c r="C138" s="16">
        <v>45035</v>
      </c>
      <c r="D138" s="57">
        <v>1.34791666666668</v>
      </c>
      <c r="E138" s="19">
        <f t="shared" si="24"/>
        <v>38.983333333333348</v>
      </c>
      <c r="F138" s="19">
        <f t="shared" si="25"/>
        <v>11.183333333333344</v>
      </c>
      <c r="G138" s="54">
        <f t="shared" si="19"/>
        <v>2.3066027881498856</v>
      </c>
      <c r="H138" s="87">
        <f t="shared" si="18"/>
        <v>2.3066027881498856</v>
      </c>
      <c r="I138">
        <f t="shared" si="26"/>
        <v>583.88317640994478</v>
      </c>
      <c r="J138">
        <f t="shared" si="20"/>
        <v>21.941588204972398</v>
      </c>
      <c r="K138">
        <f t="shared" si="21"/>
        <v>21.941588204972398</v>
      </c>
      <c r="L138" s="60">
        <f t="shared" si="22"/>
        <v>29.762354115401372</v>
      </c>
      <c r="M138">
        <f t="shared" si="23"/>
        <v>28.471658555982309</v>
      </c>
    </row>
    <row r="139" spans="2:13" x14ac:dyDescent="0.3">
      <c r="B139" s="61"/>
      <c r="C139" s="16">
        <v>45035</v>
      </c>
      <c r="D139" s="57">
        <v>1.3513888888889001</v>
      </c>
      <c r="E139" s="19">
        <f t="shared" si="24"/>
        <v>39.066666666666677</v>
      </c>
      <c r="F139" s="19">
        <f t="shared" si="25"/>
        <v>11.266666666666678</v>
      </c>
      <c r="G139" s="54">
        <f t="shared" si="19"/>
        <v>2.3123765092645079</v>
      </c>
      <c r="H139" s="87">
        <f t="shared" si="18"/>
        <v>2.3123765092645079</v>
      </c>
      <c r="I139">
        <f t="shared" si="26"/>
        <v>584.26857249482225</v>
      </c>
      <c r="J139">
        <f t="shared" si="20"/>
        <v>22.134286247411108</v>
      </c>
      <c r="K139">
        <f t="shared" si="21"/>
        <v>22.134286247411108</v>
      </c>
      <c r="L139" s="60">
        <f t="shared" si="22"/>
        <v>30.003932323614684</v>
      </c>
      <c r="M139">
        <f t="shared" si="23"/>
        <v>28.524188395257134</v>
      </c>
    </row>
    <row r="140" spans="2:13" x14ac:dyDescent="0.3">
      <c r="C140" s="16">
        <v>45035</v>
      </c>
      <c r="D140" s="57">
        <v>1.35486111111112</v>
      </c>
      <c r="E140" s="19">
        <f t="shared" si="24"/>
        <v>39.150000000000013</v>
      </c>
      <c r="F140" s="19">
        <f t="shared" si="25"/>
        <v>11.350000000000012</v>
      </c>
      <c r="G140" s="54">
        <f t="shared" si="19"/>
        <v>2.3181646827398397</v>
      </c>
      <c r="H140" s="87">
        <f t="shared" si="18"/>
        <v>2.3181646827398397</v>
      </c>
      <c r="I140">
        <f t="shared" si="26"/>
        <v>584.65493327527884</v>
      </c>
      <c r="J140">
        <f t="shared" si="20"/>
        <v>22.327466637639429</v>
      </c>
      <c r="K140">
        <f t="shared" si="21"/>
        <v>22.327466637639429</v>
      </c>
      <c r="L140" s="60">
        <f t="shared" si="22"/>
        <v>30.245795546352483</v>
      </c>
      <c r="M140">
        <f t="shared" si="23"/>
        <v>28.576780209356897</v>
      </c>
    </row>
    <row r="141" spans="2:13" x14ac:dyDescent="0.3">
      <c r="C141" s="16">
        <v>45035</v>
      </c>
      <c r="D141" s="57">
        <v>1.35833333333335</v>
      </c>
      <c r="E141" s="19">
        <f t="shared" si="24"/>
        <v>39.233333333333348</v>
      </c>
      <c r="F141" s="19">
        <f t="shared" si="25"/>
        <v>11.433333333333346</v>
      </c>
      <c r="G141" s="54">
        <f t="shared" si="19"/>
        <v>2.3239673447519849</v>
      </c>
      <c r="H141" s="87">
        <f t="shared" si="18"/>
        <v>2.3239673447519849</v>
      </c>
      <c r="I141">
        <f t="shared" si="26"/>
        <v>585.04226116607083</v>
      </c>
      <c r="J141">
        <f t="shared" si="20"/>
        <v>22.521130583035429</v>
      </c>
      <c r="K141">
        <f t="shared" si="21"/>
        <v>22.521130583035429</v>
      </c>
      <c r="L141" s="60">
        <f t="shared" si="22"/>
        <v>30.487943531144172</v>
      </c>
      <c r="M141">
        <f t="shared" si="23"/>
        <v>28.629433943383269</v>
      </c>
    </row>
    <row r="142" spans="2:13" x14ac:dyDescent="0.3">
      <c r="C142" s="16">
        <v>45035</v>
      </c>
      <c r="D142" s="57">
        <v>1.3618055555555699</v>
      </c>
      <c r="E142" s="19">
        <f t="shared" si="24"/>
        <v>39.316666666666677</v>
      </c>
      <c r="F142" s="19">
        <f t="shared" si="25"/>
        <v>11.51666666666668</v>
      </c>
      <c r="G142" s="54">
        <f t="shared" si="19"/>
        <v>2.3297845315675998</v>
      </c>
      <c r="H142" s="87">
        <f t="shared" si="18"/>
        <v>2.3297845315675998</v>
      </c>
      <c r="I142">
        <f t="shared" si="26"/>
        <v>585.4305585879988</v>
      </c>
      <c r="J142">
        <f t="shared" si="20"/>
        <v>22.715279293999394</v>
      </c>
      <c r="K142">
        <f t="shared" si="21"/>
        <v>22.715279293999394</v>
      </c>
      <c r="L142" s="60">
        <f t="shared" si="22"/>
        <v>30.730376023142451</v>
      </c>
      <c r="M142">
        <f t="shared" si="23"/>
        <v>28.682149541921117</v>
      </c>
    </row>
    <row r="143" spans="2:13" x14ac:dyDescent="0.3">
      <c r="C143" s="16">
        <v>45035</v>
      </c>
      <c r="D143" s="57">
        <v>1.36527777777779</v>
      </c>
      <c r="E143" s="19">
        <f t="shared" si="24"/>
        <v>39.400000000000013</v>
      </c>
      <c r="F143" s="19">
        <f t="shared" si="25"/>
        <v>11.600000000000014</v>
      </c>
      <c r="G143" s="54">
        <f t="shared" si="19"/>
        <v>2.3356162795441215</v>
      </c>
      <c r="H143" s="87">
        <f t="shared" si="18"/>
        <v>2.3356162795441215</v>
      </c>
      <c r="I143">
        <f t="shared" si="26"/>
        <v>585.81982796792283</v>
      </c>
      <c r="J143">
        <f t="shared" si="20"/>
        <v>22.909913983961406</v>
      </c>
      <c r="K143">
        <f t="shared" si="21"/>
        <v>22.909913983961406</v>
      </c>
      <c r="L143" s="60">
        <f t="shared" si="22"/>
        <v>30.973092765120562</v>
      </c>
      <c r="M143">
        <f t="shared" si="23"/>
        <v>28.734926949037913</v>
      </c>
    </row>
    <row r="144" spans="2:13" x14ac:dyDescent="0.3">
      <c r="C144" s="16">
        <v>45035</v>
      </c>
      <c r="D144" s="57">
        <v>1.3687500000000099</v>
      </c>
      <c r="E144" s="19">
        <f t="shared" si="24"/>
        <v>39.483333333333348</v>
      </c>
      <c r="F144" s="19">
        <f t="shared" si="25"/>
        <v>11.683333333333348</v>
      </c>
      <c r="G144" s="54">
        <f t="shared" si="19"/>
        <v>2.3414626251299926</v>
      </c>
      <c r="H144" s="87">
        <f t="shared" si="18"/>
        <v>2.3414626251299926</v>
      </c>
      <c r="I144">
        <f t="shared" si="26"/>
        <v>586.21007173877786</v>
      </c>
      <c r="J144">
        <f t="shared" si="20"/>
        <v>23.105035869388907</v>
      </c>
      <c r="K144">
        <f t="shared" si="21"/>
        <v>23.105035869388907</v>
      </c>
      <c r="L144" s="60">
        <f t="shared" si="22"/>
        <v>31.216093497469554</v>
      </c>
      <c r="M144">
        <f t="shared" si="23"/>
        <v>28.787766108283133</v>
      </c>
    </row>
    <row r="145" spans="1:13" x14ac:dyDescent="0.3">
      <c r="C145" s="16">
        <v>45035</v>
      </c>
      <c r="D145" s="57">
        <v>1.37222222222224</v>
      </c>
      <c r="E145" s="19">
        <f t="shared" si="24"/>
        <v>39.566666666666684</v>
      </c>
      <c r="F145" s="19">
        <f t="shared" si="25"/>
        <v>11.766666666666682</v>
      </c>
      <c r="G145" s="54">
        <f t="shared" si="19"/>
        <v>2.3473236048648931</v>
      </c>
      <c r="H145" s="87">
        <f t="shared" si="18"/>
        <v>2.3473236048648931</v>
      </c>
      <c r="I145">
        <f t="shared" si="26"/>
        <v>586.60129233958867</v>
      </c>
      <c r="J145">
        <f t="shared" si="20"/>
        <v>23.300646169794316</v>
      </c>
      <c r="K145">
        <f t="shared" si="21"/>
        <v>23.300646169794316</v>
      </c>
      <c r="L145" s="60">
        <f t="shared" si="22"/>
        <v>31.459377958195592</v>
      </c>
      <c r="M145">
        <f t="shared" si="23"/>
        <v>28.840666962687678</v>
      </c>
    </row>
    <row r="146" spans="1:13" x14ac:dyDescent="0.3">
      <c r="C146" s="16">
        <v>45035</v>
      </c>
      <c r="D146" s="57">
        <v>1.3756944444444601</v>
      </c>
      <c r="E146" s="19">
        <f t="shared" si="24"/>
        <v>39.65000000000002</v>
      </c>
      <c r="F146" s="19">
        <f t="shared" si="25"/>
        <v>11.850000000000016</v>
      </c>
      <c r="G146" s="54">
        <f t="shared" si="19"/>
        <v>2.3531992553799652</v>
      </c>
      <c r="H146" s="87">
        <f t="shared" si="18"/>
        <v>2.3531992553799652</v>
      </c>
      <c r="I146">
        <f t="shared" si="26"/>
        <v>586.99349221548528</v>
      </c>
      <c r="J146">
        <f t="shared" si="20"/>
        <v>23.496746107742645</v>
      </c>
      <c r="K146">
        <f t="shared" si="21"/>
        <v>23.496746107742645</v>
      </c>
      <c r="L146" s="60">
        <f t="shared" si="22"/>
        <v>31.702945882917327</v>
      </c>
      <c r="M146">
        <f t="shared" si="23"/>
        <v>28.893629454763278</v>
      </c>
    </row>
    <row r="147" spans="1:13" x14ac:dyDescent="0.3">
      <c r="C147" s="16">
        <v>45035</v>
      </c>
      <c r="D147" s="57">
        <v>1.37916666666668</v>
      </c>
      <c r="E147" s="19">
        <f t="shared" si="24"/>
        <v>39.733333333333348</v>
      </c>
      <c r="F147" s="19">
        <f t="shared" si="25"/>
        <v>11.93333333333335</v>
      </c>
      <c r="G147" s="54">
        <f t="shared" si="19"/>
        <v>2.359089613398043</v>
      </c>
      <c r="H147" s="87">
        <f t="shared" si="18"/>
        <v>2.359089613398043</v>
      </c>
      <c r="I147">
        <f t="shared" si="26"/>
        <v>587.38667381771825</v>
      </c>
      <c r="J147">
        <f t="shared" si="20"/>
        <v>23.693336908859148</v>
      </c>
      <c r="K147">
        <f t="shared" si="21"/>
        <v>23.693336908859148</v>
      </c>
      <c r="L147" s="60">
        <f t="shared" si="22"/>
        <v>31.946797004863221</v>
      </c>
      <c r="M147">
        <f t="shared" si="23"/>
        <v>28.946653526501958</v>
      </c>
    </row>
    <row r="148" spans="1:13" x14ac:dyDescent="0.3">
      <c r="C148" s="16">
        <v>45035</v>
      </c>
      <c r="D148" s="57">
        <v>1.3826388888889001</v>
      </c>
      <c r="E148" s="19">
        <f t="shared" si="24"/>
        <v>39.816666666666684</v>
      </c>
      <c r="F148" s="19">
        <f t="shared" si="25"/>
        <v>12.016666666666683</v>
      </c>
      <c r="G148" s="54">
        <f t="shared" si="19"/>
        <v>2.364994715733884</v>
      </c>
      <c r="H148" s="87">
        <f t="shared" si="18"/>
        <v>2.364994715733884</v>
      </c>
      <c r="I148">
        <f t="shared" si="26"/>
        <v>587.78083960367394</v>
      </c>
      <c r="J148">
        <f t="shared" si="20"/>
        <v>23.890419801836973</v>
      </c>
      <c r="K148">
        <f t="shared" si="21"/>
        <v>23.890419801836973</v>
      </c>
      <c r="L148" s="60">
        <f t="shared" si="22"/>
        <v>32.190931054869012</v>
      </c>
      <c r="M148">
        <f t="shared" si="23"/>
        <v>28.999739119375437</v>
      </c>
    </row>
    <row r="149" spans="1:13" x14ac:dyDescent="0.3">
      <c r="C149" s="16">
        <v>45035</v>
      </c>
      <c r="D149" s="57">
        <v>1.3861111111111299</v>
      </c>
      <c r="E149" s="19">
        <f t="shared" si="24"/>
        <v>39.90000000000002</v>
      </c>
      <c r="F149" s="19">
        <f t="shared" si="25"/>
        <v>12.100000000000017</v>
      </c>
      <c r="G149" s="54">
        <f t="shared" si="19"/>
        <v>2.3709145992943972</v>
      </c>
      <c r="H149" s="87">
        <f t="shared" si="18"/>
        <v>2.3709145992943972</v>
      </c>
      <c r="I149">
        <f t="shared" si="26"/>
        <v>588.17599203688962</v>
      </c>
      <c r="J149">
        <f t="shared" si="20"/>
        <v>24.087996018444841</v>
      </c>
      <c r="K149">
        <f t="shared" si="21"/>
        <v>24.087996018444841</v>
      </c>
      <c r="L149" s="60">
        <f t="shared" si="22"/>
        <v>32.435347761375127</v>
      </c>
      <c r="M149">
        <f t="shared" si="23"/>
        <v>29.052886174334603</v>
      </c>
    </row>
    <row r="150" spans="1:13" x14ac:dyDescent="0.3">
      <c r="C150" s="16">
        <v>45035</v>
      </c>
      <c r="D150" s="57">
        <v>1.38958333333335</v>
      </c>
      <c r="E150" s="19">
        <f t="shared" si="24"/>
        <v>39.983333333333348</v>
      </c>
      <c r="F150" s="19">
        <f t="shared" si="25"/>
        <v>12.183333333333351</v>
      </c>
      <c r="G150" s="54">
        <f t="shared" si="19"/>
        <v>2.3768493010788738</v>
      </c>
      <c r="H150" s="87">
        <f t="shared" si="18"/>
        <v>2.3768493010788738</v>
      </c>
      <c r="I150">
        <f t="shared" si="26"/>
        <v>588.5721335870694</v>
      </c>
      <c r="J150">
        <f t="shared" si="20"/>
        <v>24.286066793534747</v>
      </c>
      <c r="K150">
        <f t="shared" si="21"/>
        <v>24.286066793534747</v>
      </c>
      <c r="L150" s="60">
        <f t="shared" si="22"/>
        <v>32.680046850424148</v>
      </c>
      <c r="M150">
        <f t="shared" si="23"/>
        <v>29.106094631808929</v>
      </c>
    </row>
    <row r="151" spans="1:13" x14ac:dyDescent="0.3">
      <c r="C151" s="16">
        <v>45035</v>
      </c>
      <c r="D151" s="57">
        <v>1.3930555555555699</v>
      </c>
      <c r="E151" s="19">
        <f t="shared" si="24"/>
        <v>40.066666666666684</v>
      </c>
      <c r="F151" s="19">
        <f t="shared" si="25"/>
        <v>12.266666666666685</v>
      </c>
      <c r="G151" s="54">
        <f t="shared" si="19"/>
        <v>2.382798858179219</v>
      </c>
      <c r="H151" s="87">
        <f t="shared" si="18"/>
        <v>2.382798858179219</v>
      </c>
      <c r="I151">
        <f t="shared" si="26"/>
        <v>588.96926673009932</v>
      </c>
      <c r="J151">
        <f t="shared" si="20"/>
        <v>24.484633365049682</v>
      </c>
      <c r="K151">
        <f t="shared" si="21"/>
        <v>24.484633365049682</v>
      </c>
      <c r="L151" s="60">
        <f t="shared" si="22"/>
        <v>32.925028045658351</v>
      </c>
      <c r="M151">
        <f t="shared" si="23"/>
        <v>29.159364431705967</v>
      </c>
    </row>
    <row r="152" spans="1:13" x14ac:dyDescent="0.3">
      <c r="C152" s="16">
        <v>45035</v>
      </c>
      <c r="D152" s="57">
        <v>1.39652777777779</v>
      </c>
      <c r="E152" s="19">
        <f t="shared" si="24"/>
        <v>40.15000000000002</v>
      </c>
      <c r="F152" s="19">
        <f t="shared" si="25"/>
        <v>12.350000000000019</v>
      </c>
      <c r="G152" s="54">
        <f t="shared" si="19"/>
        <v>2.3887633077801844</v>
      </c>
      <c r="H152" s="87">
        <f t="shared" si="18"/>
        <v>2.3887633077801844</v>
      </c>
      <c r="I152">
        <f t="shared" si="26"/>
        <v>589.36739394806273</v>
      </c>
      <c r="J152">
        <f t="shared" si="20"/>
        <v>24.683696974031363</v>
      </c>
      <c r="K152">
        <f t="shared" si="21"/>
        <v>24.683696974031363</v>
      </c>
      <c r="L152" s="60">
        <f t="shared" si="22"/>
        <v>33.170291068317262</v>
      </c>
      <c r="M152">
        <f t="shared" si="23"/>
        <v>29.212695513410797</v>
      </c>
    </row>
    <row r="153" spans="1:13" x14ac:dyDescent="0.3">
      <c r="C153" s="16">
        <v>45035</v>
      </c>
      <c r="D153" s="57">
        <v>1.4000000000000099</v>
      </c>
      <c r="E153" s="19">
        <f t="shared" si="24"/>
        <v>40.233333333333356</v>
      </c>
      <c r="F153" s="19">
        <f t="shared" si="25"/>
        <v>12.433333333333353</v>
      </c>
      <c r="G153" s="54">
        <f t="shared" si="19"/>
        <v>2.3947426871595994</v>
      </c>
      <c r="H153" s="87">
        <f t="shared" si="18"/>
        <v>2.3947426871595994</v>
      </c>
      <c r="I153">
        <f t="shared" si="26"/>
        <v>589.76651772925595</v>
      </c>
      <c r="J153">
        <f t="shared" si="20"/>
        <v>24.883258864627997</v>
      </c>
      <c r="K153">
        <f t="shared" si="21"/>
        <v>24.883258864627997</v>
      </c>
      <c r="L153" s="60">
        <f t="shared" si="22"/>
        <v>33.415835637235205</v>
      </c>
      <c r="M153">
        <f t="shared" si="23"/>
        <v>29.266087815785507</v>
      </c>
    </row>
    <row r="154" spans="1:13" x14ac:dyDescent="0.3">
      <c r="B154" s="68"/>
      <c r="C154" s="16">
        <v>45035</v>
      </c>
      <c r="D154" s="57">
        <v>1.40347222222224</v>
      </c>
      <c r="E154" s="19">
        <f t="shared" si="24"/>
        <v>40.316666666666691</v>
      </c>
      <c r="F154" s="19">
        <f t="shared" si="25"/>
        <v>12.516666666666687</v>
      </c>
      <c r="G154" s="69">
        <f t="shared" si="19"/>
        <v>2.4007370336886047</v>
      </c>
      <c r="H154" s="88">
        <f t="shared" si="18"/>
        <v>2.4007370336886047</v>
      </c>
      <c r="I154" s="67">
        <f t="shared" si="26"/>
        <v>590.166640568204</v>
      </c>
      <c r="J154" s="67">
        <f t="shared" si="20"/>
        <v>25.083320284102047</v>
      </c>
      <c r="K154">
        <f t="shared" si="21"/>
        <v>25.083320284102047</v>
      </c>
      <c r="L154" s="60">
        <f t="shared" si="22"/>
        <v>33.661661468838929</v>
      </c>
      <c r="M154" s="67">
        <f t="shared" si="23"/>
        <v>29.319541277168678</v>
      </c>
    </row>
    <row r="155" spans="1:13" x14ac:dyDescent="0.3">
      <c r="A155" s="61"/>
      <c r="B155" s="61"/>
      <c r="C155" s="16">
        <v>45035</v>
      </c>
      <c r="D155" s="57">
        <v>1.4069444444444601</v>
      </c>
      <c r="E155" s="19">
        <f t="shared" si="24"/>
        <v>40.40000000000002</v>
      </c>
      <c r="F155" s="19">
        <f t="shared" si="25"/>
        <v>12.600000000000021</v>
      </c>
      <c r="G155" s="54">
        <f t="shared" si="19"/>
        <v>2.4067463848318851</v>
      </c>
      <c r="H155" s="87">
        <f t="shared" si="18"/>
        <v>2.4067463848318851</v>
      </c>
      <c r="I155">
        <f t="shared" si="26"/>
        <v>590.56776496567602</v>
      </c>
      <c r="J155">
        <f t="shared" si="20"/>
        <v>25.283882482838038</v>
      </c>
      <c r="K155">
        <f t="shared" si="21"/>
        <v>25.283882482838038</v>
      </c>
      <c r="L155" s="60">
        <f t="shared" si="22"/>
        <v>33.907768277145266</v>
      </c>
      <c r="M155">
        <f t="shared" si="23"/>
        <v>29.373055835374846</v>
      </c>
    </row>
    <row r="156" spans="1:13" x14ac:dyDescent="0.3">
      <c r="C156" s="16">
        <v>45035</v>
      </c>
      <c r="D156" s="57">
        <v>1.41041666666668</v>
      </c>
      <c r="E156" s="19">
        <f t="shared" si="24"/>
        <v>40.483333333333356</v>
      </c>
      <c r="F156" s="19">
        <f t="shared" si="25"/>
        <v>12.683333333333355</v>
      </c>
      <c r="G156" s="54">
        <f t="shared" si="19"/>
        <v>2.4127707781479053</v>
      </c>
      <c r="H156" s="87">
        <f t="shared" si="18"/>
        <v>2.4127707781479053</v>
      </c>
      <c r="I156">
        <f t="shared" si="26"/>
        <v>590.96989342870063</v>
      </c>
      <c r="J156">
        <f t="shared" si="20"/>
        <v>25.484946714350365</v>
      </c>
      <c r="K156">
        <f t="shared" si="21"/>
        <v>25.484946714350365</v>
      </c>
      <c r="L156" s="60">
        <f t="shared" si="22"/>
        <v>34.154155773758823</v>
      </c>
      <c r="M156">
        <f t="shared" si="23"/>
        <v>29.426631427694041</v>
      </c>
    </row>
    <row r="157" spans="1:13" x14ac:dyDescent="0.3">
      <c r="C157" s="16">
        <v>45035</v>
      </c>
      <c r="D157" s="57">
        <v>1.4138888888889001</v>
      </c>
      <c r="E157" s="19">
        <f t="shared" si="24"/>
        <v>40.566666666666691</v>
      </c>
      <c r="F157" s="19">
        <f t="shared" si="25"/>
        <v>12.766666666666689</v>
      </c>
      <c r="G157" s="54">
        <f t="shared" si="19"/>
        <v>2.418810251289143</v>
      </c>
      <c r="H157" s="87">
        <f t="shared" si="18"/>
        <v>2.418810251289143</v>
      </c>
      <c r="I157">
        <f t="shared" si="26"/>
        <v>591.3730284705822</v>
      </c>
      <c r="J157">
        <f t="shared" si="20"/>
        <v>25.686514235291128</v>
      </c>
      <c r="K157">
        <f t="shared" si="21"/>
        <v>25.686514235291128</v>
      </c>
      <c r="L157" s="60">
        <f t="shared" si="22"/>
        <v>34.40082366786968</v>
      </c>
      <c r="M157">
        <f t="shared" si="23"/>
        <v>29.480267990891257</v>
      </c>
    </row>
    <row r="158" spans="1:13" x14ac:dyDescent="0.3">
      <c r="C158" s="16">
        <v>45035</v>
      </c>
      <c r="D158" s="57">
        <v>1.4173611111111299</v>
      </c>
      <c r="E158" s="19">
        <f t="shared" si="24"/>
        <v>40.65000000000002</v>
      </c>
      <c r="F158" s="19">
        <f t="shared" si="25"/>
        <v>12.850000000000023</v>
      </c>
      <c r="G158" s="54">
        <f t="shared" si="19"/>
        <v>2.4248648420023251</v>
      </c>
      <c r="H158" s="87">
        <f t="shared" si="18"/>
        <v>2.4248648420023251</v>
      </c>
      <c r="I158">
        <f t="shared" si="26"/>
        <v>591.77717261091595</v>
      </c>
      <c r="J158">
        <f t="shared" si="20"/>
        <v>25.888586305457988</v>
      </c>
      <c r="K158">
        <f t="shared" si="21"/>
        <v>25.888586305457988</v>
      </c>
      <c r="L158" s="60">
        <f t="shared" si="22"/>
        <v>34.647771666251174</v>
      </c>
      <c r="M158">
        <f t="shared" si="23"/>
        <v>29.533965461205991</v>
      </c>
    </row>
    <row r="159" spans="1:13" x14ac:dyDescent="0.3">
      <c r="C159" s="16">
        <v>45035</v>
      </c>
      <c r="D159" s="57">
        <v>1.42083333333335</v>
      </c>
      <c r="E159" s="19">
        <f t="shared" si="24"/>
        <v>40.733333333333356</v>
      </c>
      <c r="F159" s="19">
        <f t="shared" si="25"/>
        <v>12.933333333333357</v>
      </c>
      <c r="G159" s="54">
        <f t="shared" si="19"/>
        <v>2.4309345881286633</v>
      </c>
      <c r="H159" s="87">
        <f t="shared" si="18"/>
        <v>2.4309345881286633</v>
      </c>
      <c r="I159">
        <f t="shared" si="26"/>
        <v>592.18232837560402</v>
      </c>
      <c r="J159">
        <f t="shared" si="20"/>
        <v>26.091164187802043</v>
      </c>
      <c r="K159">
        <f t="shared" si="21"/>
        <v>26.091164187802043</v>
      </c>
      <c r="L159" s="60">
        <f t="shared" si="22"/>
        <v>34.894999473257691</v>
      </c>
      <c r="M159">
        <f t="shared" si="23"/>
        <v>29.587723774351744</v>
      </c>
    </row>
    <row r="160" spans="1:13" x14ac:dyDescent="0.3">
      <c r="C160" s="16">
        <v>45035</v>
      </c>
      <c r="D160" s="57">
        <v>1.4243055555555699</v>
      </c>
      <c r="E160" s="19">
        <f t="shared" si="24"/>
        <v>40.816666666666691</v>
      </c>
      <c r="F160" s="19">
        <f t="shared" si="25"/>
        <v>13.016666666666691</v>
      </c>
      <c r="G160" s="54">
        <f t="shared" si="19"/>
        <v>2.43701952760409</v>
      </c>
      <c r="H160" s="87">
        <f t="shared" si="18"/>
        <v>2.43701952760409</v>
      </c>
      <c r="I160">
        <f t="shared" si="26"/>
        <v>592.58849829687131</v>
      </c>
      <c r="J160">
        <f t="shared" si="20"/>
        <v>26.294249148435718</v>
      </c>
      <c r="K160">
        <f t="shared" si="21"/>
        <v>26.294249148435718</v>
      </c>
      <c r="L160" s="60">
        <f t="shared" si="22"/>
        <v>35.142506790822459</v>
      </c>
      <c r="M160">
        <f t="shared" si="23"/>
        <v>29.641542865515554</v>
      </c>
    </row>
    <row r="161" spans="1:13" x14ac:dyDescent="0.3">
      <c r="C161" s="16">
        <v>45035</v>
      </c>
      <c r="D161" s="57">
        <v>1.42777777777779</v>
      </c>
      <c r="E161" s="19">
        <f t="shared" si="24"/>
        <v>40.900000000000027</v>
      </c>
      <c r="F161" s="19">
        <f t="shared" si="25"/>
        <v>13.100000000000025</v>
      </c>
      <c r="G161" s="54">
        <f t="shared" si="19"/>
        <v>2.4431196984594976</v>
      </c>
      <c r="H161" s="87">
        <f t="shared" si="18"/>
        <v>2.4431196984594976</v>
      </c>
      <c r="I161">
        <f t="shared" si="26"/>
        <v>592.99568491328125</v>
      </c>
      <c r="J161">
        <f t="shared" si="20"/>
        <v>26.497842456640676</v>
      </c>
      <c r="K161">
        <f t="shared" si="21"/>
        <v>26.497842456640676</v>
      </c>
      <c r="L161" s="60">
        <f t="shared" si="22"/>
        <v>35.390293318455448</v>
      </c>
      <c r="M161">
        <f t="shared" si="23"/>
        <v>29.695422669357527</v>
      </c>
    </row>
    <row r="162" spans="1:13" x14ac:dyDescent="0.3">
      <c r="C162" s="16">
        <v>45035</v>
      </c>
      <c r="D162" s="57">
        <v>1.4312500000000199</v>
      </c>
      <c r="E162" s="19">
        <f t="shared" si="24"/>
        <v>40.983333333333363</v>
      </c>
      <c r="F162" s="19">
        <f t="shared" si="25"/>
        <v>13.183333333333358</v>
      </c>
      <c r="G162" s="54">
        <f t="shared" si="19"/>
        <v>2.4492351388209737</v>
      </c>
      <c r="H162" s="87">
        <f t="shared" si="18"/>
        <v>2.4492351388209737</v>
      </c>
      <c r="I162">
        <f t="shared" si="26"/>
        <v>593.40389076975146</v>
      </c>
      <c r="J162">
        <f t="shared" si="20"/>
        <v>26.701945384875756</v>
      </c>
      <c r="K162">
        <f t="shared" si="21"/>
        <v>26.701945384875756</v>
      </c>
      <c r="L162" s="60">
        <f t="shared" si="22"/>
        <v>35.63835875324127</v>
      </c>
      <c r="M162">
        <f t="shared" si="23"/>
        <v>29.749363120010397</v>
      </c>
    </row>
    <row r="163" spans="1:13" x14ac:dyDescent="0.3">
      <c r="C163" s="16">
        <v>45035</v>
      </c>
      <c r="D163" s="57">
        <v>1.43472222222224</v>
      </c>
      <c r="E163" s="19">
        <f t="shared" si="24"/>
        <v>41.066666666666691</v>
      </c>
      <c r="F163" s="19">
        <f t="shared" si="25"/>
        <v>13.266666666666692</v>
      </c>
      <c r="G163" s="54">
        <f t="shared" si="19"/>
        <v>2.4553658869100397</v>
      </c>
      <c r="H163" s="87">
        <f t="shared" si="18"/>
        <v>2.4553658869100397</v>
      </c>
      <c r="I163">
        <f t="shared" si="26"/>
        <v>593.81311841756974</v>
      </c>
      <c r="J163">
        <f t="shared" si="20"/>
        <v>26.906559208784927</v>
      </c>
      <c r="K163">
        <f t="shared" si="21"/>
        <v>26.906559208784927</v>
      </c>
      <c r="L163" s="60">
        <f t="shared" si="22"/>
        <v>35.886702789837081</v>
      </c>
      <c r="M163">
        <f t="shared" si="23"/>
        <v>29.803364151079069</v>
      </c>
    </row>
    <row r="164" spans="1:13" x14ac:dyDescent="0.3">
      <c r="C164" s="16">
        <v>45035</v>
      </c>
      <c r="D164" s="57">
        <v>1.4381944444444601</v>
      </c>
      <c r="E164" s="19">
        <f t="shared" si="24"/>
        <v>41.150000000000027</v>
      </c>
      <c r="F164" s="19">
        <f t="shared" si="25"/>
        <v>13.350000000000026</v>
      </c>
      <c r="G164" s="54">
        <f t="shared" si="19"/>
        <v>2.4615119810438917</v>
      </c>
      <c r="H164" s="87">
        <f t="shared" si="18"/>
        <v>2.4615119810438917</v>
      </c>
      <c r="I164">
        <f t="shared" si="26"/>
        <v>594.2233704144104</v>
      </c>
      <c r="J164">
        <f t="shared" si="20"/>
        <v>27.111685207205252</v>
      </c>
      <c r="K164">
        <f t="shared" si="21"/>
        <v>27.111685207205252</v>
      </c>
      <c r="L164" s="60">
        <f t="shared" si="22"/>
        <v>36.135325120470604</v>
      </c>
      <c r="M164">
        <f t="shared" si="23"/>
        <v>29.857425695640156</v>
      </c>
    </row>
    <row r="165" spans="1:13" x14ac:dyDescent="0.3">
      <c r="C165" s="16">
        <v>45035</v>
      </c>
      <c r="D165" s="57">
        <v>1.44166666666668</v>
      </c>
      <c r="E165" s="19">
        <f t="shared" si="24"/>
        <v>41.233333333333363</v>
      </c>
      <c r="F165" s="19">
        <f t="shared" si="25"/>
        <v>13.43333333333336</v>
      </c>
      <c r="G165" s="54">
        <f t="shared" si="19"/>
        <v>2.467673459635638</v>
      </c>
      <c r="H165" s="87">
        <f t="shared" si="18"/>
        <v>2.467673459635638</v>
      </c>
      <c r="I165">
        <f t="shared" si="26"/>
        <v>594.63464932434965</v>
      </c>
      <c r="J165">
        <f t="shared" si="20"/>
        <v>27.317324662174887</v>
      </c>
      <c r="K165">
        <f t="shared" si="21"/>
        <v>27.317324662174887</v>
      </c>
      <c r="L165" s="60">
        <f t="shared" si="22"/>
        <v>36.384225434938109</v>
      </c>
      <c r="M165">
        <f t="shared" si="23"/>
        <v>29.91154768624159</v>
      </c>
    </row>
    <row r="166" spans="1:13" x14ac:dyDescent="0.3">
      <c r="C166" s="16">
        <v>45035</v>
      </c>
      <c r="D166" s="57">
        <v>1.4451388888889101</v>
      </c>
      <c r="E166" s="19">
        <f t="shared" si="24"/>
        <v>41.316666666666691</v>
      </c>
      <c r="F166" s="19">
        <f t="shared" si="25"/>
        <v>13.516666666666694</v>
      </c>
      <c r="G166" s="54">
        <f t="shared" si="19"/>
        <v>2.4738503611945402</v>
      </c>
      <c r="H166" s="87">
        <f t="shared" si="18"/>
        <v>2.4738503611945402</v>
      </c>
      <c r="I166">
        <f t="shared" si="26"/>
        <v>595.04695771788204</v>
      </c>
      <c r="J166">
        <f t="shared" si="20"/>
        <v>27.523478858941097</v>
      </c>
      <c r="K166">
        <f t="shared" si="21"/>
        <v>27.523478858941097</v>
      </c>
      <c r="L166" s="60">
        <f t="shared" si="22"/>
        <v>36.633403420602455</v>
      </c>
      <c r="M166">
        <f t="shared" si="23"/>
        <v>29.965730054902156</v>
      </c>
    </row>
    <row r="167" spans="1:13" x14ac:dyDescent="0.3">
      <c r="C167" s="16">
        <v>45035</v>
      </c>
      <c r="D167" s="57">
        <v>1.4486111111111299</v>
      </c>
      <c r="E167" s="19">
        <f t="shared" si="24"/>
        <v>41.400000000000027</v>
      </c>
      <c r="F167" s="19">
        <f t="shared" si="25"/>
        <v>13.600000000000028</v>
      </c>
      <c r="G167" s="54">
        <f t="shared" si="19"/>
        <v>2.4800427243262524</v>
      </c>
      <c r="H167" s="87">
        <f t="shared" si="18"/>
        <v>2.4800427243262524</v>
      </c>
      <c r="I167">
        <f t="shared" si="26"/>
        <v>595.46029817193642</v>
      </c>
      <c r="J167">
        <f t="shared" si="20"/>
        <v>27.730149085968286</v>
      </c>
      <c r="K167">
        <f t="shared" si="21"/>
        <v>27.730149085968286</v>
      </c>
      <c r="L167" s="60">
        <f t="shared" si="22"/>
        <v>36.882858762391194</v>
      </c>
      <c r="M167">
        <f t="shared" si="23"/>
        <v>30.019972733111107</v>
      </c>
    </row>
    <row r="168" spans="1:13" x14ac:dyDescent="0.3">
      <c r="C168" s="16">
        <v>45035</v>
      </c>
      <c r="D168" s="57">
        <v>1.45208333333335</v>
      </c>
      <c r="E168" s="19">
        <f t="shared" si="24"/>
        <v>41.483333333333363</v>
      </c>
      <c r="F168" s="19">
        <f t="shared" si="25"/>
        <v>13.683333333333362</v>
      </c>
      <c r="G168" s="54">
        <f t="shared" si="19"/>
        <v>2.4862505877330645</v>
      </c>
      <c r="H168" s="87">
        <f t="shared" si="18"/>
        <v>2.4862505877330645</v>
      </c>
      <c r="I168">
        <f t="shared" si="26"/>
        <v>595.8746732698919</v>
      </c>
      <c r="J168">
        <f t="shared" si="20"/>
        <v>27.937336634946043</v>
      </c>
      <c r="K168">
        <f t="shared" si="21"/>
        <v>27.937336634946043</v>
      </c>
      <c r="L168" s="60">
        <f t="shared" si="22"/>
        <v>37.132591142794681</v>
      </c>
      <c r="M168">
        <f t="shared" si="23"/>
        <v>30.074275651827733</v>
      </c>
    </row>
    <row r="169" spans="1:13" x14ac:dyDescent="0.3">
      <c r="C169" s="16">
        <v>45035</v>
      </c>
      <c r="D169" s="57">
        <v>1.4555555555555699</v>
      </c>
      <c r="E169" s="19">
        <f t="shared" si="24"/>
        <v>41.566666666666698</v>
      </c>
      <c r="F169" s="19">
        <f t="shared" si="25"/>
        <v>13.766666666666696</v>
      </c>
      <c r="G169" s="54">
        <f t="shared" si="19"/>
        <v>2.4924739902141435</v>
      </c>
      <c r="H169" s="87">
        <f t="shared" si="18"/>
        <v>2.4924739902141435</v>
      </c>
      <c r="I169">
        <f t="shared" si="26"/>
        <v>596.29008560159423</v>
      </c>
      <c r="J169">
        <f t="shared" si="20"/>
        <v>28.145042800797221</v>
      </c>
      <c r="K169">
        <f t="shared" si="21"/>
        <v>28.145042800797221</v>
      </c>
      <c r="L169" s="60">
        <f t="shared" si="22"/>
        <v>37.382600241864225</v>
      </c>
      <c r="M169">
        <f t="shared" si="23"/>
        <v>30.128638741480962</v>
      </c>
    </row>
    <row r="170" spans="1:13" x14ac:dyDescent="0.3">
      <c r="C170" s="16">
        <v>45035</v>
      </c>
      <c r="D170" s="57">
        <v>1.45902777777779</v>
      </c>
      <c r="E170" s="19">
        <f t="shared" si="24"/>
        <v>41.650000000000034</v>
      </c>
      <c r="F170" s="19">
        <f t="shared" si="25"/>
        <v>13.85000000000003</v>
      </c>
      <c r="G170" s="54">
        <f t="shared" si="19"/>
        <v>2.4987129706657747</v>
      </c>
      <c r="H170" s="87">
        <f t="shared" si="18"/>
        <v>2.4987129706657747</v>
      </c>
      <c r="I170">
        <f t="shared" si="26"/>
        <v>596.7065377633719</v>
      </c>
      <c r="J170">
        <f t="shared" si="20"/>
        <v>28.353268881686034</v>
      </c>
      <c r="K170">
        <f t="shared" si="21"/>
        <v>28.353268881686034</v>
      </c>
      <c r="L170" s="60">
        <f t="shared" si="22"/>
        <v>37.632885737210295</v>
      </c>
      <c r="M170">
        <f t="shared" si="23"/>
        <v>30.183061931968993</v>
      </c>
    </row>
    <row r="171" spans="1:13" x14ac:dyDescent="0.3">
      <c r="A171" s="61"/>
      <c r="B171" s="61"/>
      <c r="C171" s="16">
        <v>45035</v>
      </c>
      <c r="D171" s="57">
        <v>1.4625000000000199</v>
      </c>
      <c r="E171" s="19">
        <f t="shared" si="24"/>
        <v>41.733333333333363</v>
      </c>
      <c r="F171" s="19">
        <f t="shared" si="25"/>
        <v>13.933333333333364</v>
      </c>
      <c r="G171" s="54">
        <f t="shared" si="19"/>
        <v>2.5049675680816064</v>
      </c>
      <c r="H171" s="87">
        <f t="shared" si="18"/>
        <v>2.5049675680816064</v>
      </c>
      <c r="I171">
        <f t="shared" si="26"/>
        <v>597.1240323580522</v>
      </c>
      <c r="J171">
        <f t="shared" si="20"/>
        <v>28.56201617902617</v>
      </c>
      <c r="K171">
        <f t="shared" si="21"/>
        <v>28.56201617902617</v>
      </c>
      <c r="L171" s="60">
        <f t="shared" si="22"/>
        <v>37.883447304000768</v>
      </c>
      <c r="M171">
        <f t="shared" si="23"/>
        <v>30.237545152658875</v>
      </c>
    </row>
    <row r="172" spans="1:13" x14ac:dyDescent="0.3">
      <c r="C172" s="16">
        <v>45035</v>
      </c>
      <c r="D172" s="57">
        <v>1.46597222222224</v>
      </c>
      <c r="E172" s="19">
        <f t="shared" si="24"/>
        <v>41.816666666666698</v>
      </c>
      <c r="F172" s="19">
        <f t="shared" si="25"/>
        <v>14.016666666666698</v>
      </c>
      <c r="G172" s="54">
        <f t="shared" si="19"/>
        <v>2.5112378215528932</v>
      </c>
      <c r="H172" s="87">
        <f t="shared" si="18"/>
        <v>2.5112378215528932</v>
      </c>
      <c r="I172">
        <f t="shared" si="26"/>
        <v>597.54257199497772</v>
      </c>
      <c r="J172">
        <f t="shared" si="20"/>
        <v>28.77128599748891</v>
      </c>
      <c r="K172">
        <f t="shared" si="21"/>
        <v>28.77128599748891</v>
      </c>
      <c r="L172" s="60">
        <f t="shared" si="22"/>
        <v>38.134284614959171</v>
      </c>
      <c r="M172">
        <f t="shared" si="23"/>
        <v>30.292088332386161</v>
      </c>
    </row>
    <row r="173" spans="1:13" x14ac:dyDescent="0.3">
      <c r="B173" s="61"/>
      <c r="C173" s="16">
        <v>45035</v>
      </c>
      <c r="D173" s="57">
        <v>1.4694444444444601</v>
      </c>
      <c r="E173" s="19">
        <f t="shared" si="24"/>
        <v>41.900000000000034</v>
      </c>
      <c r="F173" s="19">
        <f t="shared" si="25"/>
        <v>14.100000000000032</v>
      </c>
      <c r="G173" s="54">
        <f t="shared" si="19"/>
        <v>2.5175237702687387</v>
      </c>
      <c r="H173" s="87">
        <f t="shared" si="18"/>
        <v>2.5175237702687387</v>
      </c>
      <c r="I173">
        <f t="shared" si="26"/>
        <v>597.96215929002256</v>
      </c>
      <c r="J173">
        <f t="shared" si="20"/>
        <v>28.981079645011306</v>
      </c>
      <c r="K173">
        <f t="shared" si="21"/>
        <v>28.981079645011306</v>
      </c>
      <c r="L173" s="60">
        <f t="shared" si="22"/>
        <v>38.385397340362992</v>
      </c>
      <c r="M173">
        <f t="shared" si="23"/>
        <v>30.346691399454524</v>
      </c>
    </row>
    <row r="174" spans="1:13" x14ac:dyDescent="0.3">
      <c r="C174" s="16">
        <v>45035</v>
      </c>
      <c r="D174" s="57">
        <v>1.47291666666668</v>
      </c>
      <c r="E174" s="19">
        <f t="shared" si="24"/>
        <v>41.983333333333363</v>
      </c>
      <c r="F174" s="19">
        <f t="shared" si="25"/>
        <v>14.183333333333366</v>
      </c>
      <c r="G174" s="54">
        <f t="shared" si="19"/>
        <v>2.5238254535163436</v>
      </c>
      <c r="H174" s="87">
        <f t="shared" si="18"/>
        <v>2.5238254535163436</v>
      </c>
      <c r="I174">
        <f t="shared" si="26"/>
        <v>598.38279686560861</v>
      </c>
      <c r="J174">
        <f t="shared" si="20"/>
        <v>29.191398432804334</v>
      </c>
      <c r="K174">
        <f t="shared" si="21"/>
        <v>29.191398432804334</v>
      </c>
      <c r="L174" s="60">
        <f t="shared" si="22"/>
        <v>38.63678514804208</v>
      </c>
      <c r="M174">
        <f t="shared" si="23"/>
        <v>30.40135428163541</v>
      </c>
    </row>
    <row r="175" spans="1:13" x14ac:dyDescent="0.3">
      <c r="C175" s="16">
        <v>45035</v>
      </c>
      <c r="D175" s="57">
        <v>1.4763888888889101</v>
      </c>
      <c r="E175" s="19">
        <f t="shared" si="24"/>
        <v>42.066666666666698</v>
      </c>
      <c r="F175" s="19">
        <f t="shared" si="25"/>
        <v>14.266666666666699</v>
      </c>
      <c r="G175" s="54">
        <f t="shared" si="19"/>
        <v>2.5301429106812492</v>
      </c>
      <c r="H175" s="87">
        <f t="shared" si="18"/>
        <v>2.5301429106812492</v>
      </c>
      <c r="I175">
        <f t="shared" si="26"/>
        <v>598.80448735072218</v>
      </c>
      <c r="J175">
        <f t="shared" si="20"/>
        <v>29.402243675361106</v>
      </c>
      <c r="K175">
        <f t="shared" si="21"/>
        <v>29.402243675361106</v>
      </c>
      <c r="L175" s="60">
        <f t="shared" si="22"/>
        <v>38.888447703376926</v>
      </c>
      <c r="M175">
        <f t="shared" si="23"/>
        <v>30.456076906167667</v>
      </c>
    </row>
    <row r="176" spans="1:13" x14ac:dyDescent="0.3">
      <c r="C176" s="16">
        <v>45035</v>
      </c>
      <c r="D176" s="57">
        <v>1.4798611111111299</v>
      </c>
      <c r="E176" s="19">
        <f t="shared" si="24"/>
        <v>42.150000000000034</v>
      </c>
      <c r="F176" s="19">
        <f t="shared" si="25"/>
        <v>14.350000000000033</v>
      </c>
      <c r="G176" s="54">
        <f t="shared" si="19"/>
        <v>2.5364761812475818</v>
      </c>
      <c r="H176" s="87">
        <f t="shared" si="18"/>
        <v>2.5364761812475818</v>
      </c>
      <c r="I176">
        <f t="shared" si="26"/>
        <v>599.2272333809301</v>
      </c>
      <c r="J176">
        <f t="shared" si="20"/>
        <v>29.613616690465072</v>
      </c>
      <c r="K176">
        <f t="shared" si="21"/>
        <v>29.613616690465072</v>
      </c>
      <c r="L176" s="60">
        <f t="shared" si="22"/>
        <v>39.140384669297198</v>
      </c>
      <c r="M176">
        <f t="shared" si="23"/>
        <v>30.510859199757213</v>
      </c>
    </row>
    <row r="177" spans="1:13" x14ac:dyDescent="0.3">
      <c r="C177" s="16">
        <v>45035</v>
      </c>
      <c r="D177" s="57">
        <v>1.48333333333335</v>
      </c>
      <c r="E177" s="19">
        <f t="shared" si="24"/>
        <v>42.23333333333337</v>
      </c>
      <c r="F177" s="19">
        <f t="shared" si="25"/>
        <v>14.433333333333367</v>
      </c>
      <c r="G177" s="54">
        <f t="shared" si="19"/>
        <v>2.5428253047983045</v>
      </c>
      <c r="H177" s="87">
        <f t="shared" si="18"/>
        <v>2.5428253047983045</v>
      </c>
      <c r="I177">
        <f t="shared" si="26"/>
        <v>599.65103759839644</v>
      </c>
      <c r="J177">
        <f t="shared" si="20"/>
        <v>29.825518799198264</v>
      </c>
      <c r="K177">
        <f t="shared" si="21"/>
        <v>29.825518799198264</v>
      </c>
      <c r="L177" s="60">
        <f t="shared" si="22"/>
        <v>39.392595706280126</v>
      </c>
      <c r="M177">
        <f t="shared" si="23"/>
        <v>30.565701088576731</v>
      </c>
    </row>
    <row r="178" spans="1:13" x14ac:dyDescent="0.3">
      <c r="C178" s="16">
        <v>45035</v>
      </c>
      <c r="D178" s="57">
        <v>1.4868055555555699</v>
      </c>
      <c r="E178" s="19">
        <f t="shared" si="24"/>
        <v>42.316666666666706</v>
      </c>
      <c r="F178" s="19">
        <f t="shared" si="25"/>
        <v>14.516666666666701</v>
      </c>
      <c r="G178" s="54">
        <f t="shared" si="19"/>
        <v>2.5491903210154598</v>
      </c>
      <c r="H178" s="87">
        <f t="shared" si="18"/>
        <v>2.5491903210154598</v>
      </c>
      <c r="I178">
        <f t="shared" si="26"/>
        <v>600.07590265189901</v>
      </c>
      <c r="J178">
        <f t="shared" si="20"/>
        <v>30.037951325949553</v>
      </c>
      <c r="K178">
        <f t="shared" si="21"/>
        <v>30.037951325949553</v>
      </c>
      <c r="L178" s="60">
        <f t="shared" si="22"/>
        <v>39.645080472349058</v>
      </c>
      <c r="M178">
        <f t="shared" si="23"/>
        <v>30.620602498265278</v>
      </c>
    </row>
    <row r="179" spans="1:13" x14ac:dyDescent="0.3">
      <c r="C179" s="16">
        <v>45035</v>
      </c>
      <c r="D179" s="57">
        <v>1.49027777777779</v>
      </c>
      <c r="E179" s="19">
        <f t="shared" si="24"/>
        <v>42.400000000000034</v>
      </c>
      <c r="F179" s="19">
        <f t="shared" si="25"/>
        <v>14.600000000000035</v>
      </c>
      <c r="G179" s="54">
        <f t="shared" si="19"/>
        <v>2.5555712696804189</v>
      </c>
      <c r="H179" s="87">
        <f t="shared" si="18"/>
        <v>2.5555712696804189</v>
      </c>
      <c r="I179">
        <f t="shared" si="26"/>
        <v>600.50183119684573</v>
      </c>
      <c r="J179">
        <f t="shared" si="20"/>
        <v>30.250915598422921</v>
      </c>
      <c r="K179">
        <f t="shared" si="21"/>
        <v>30.250915598422921</v>
      </c>
      <c r="L179" s="60">
        <f t="shared" si="22"/>
        <v>39.897838623071941</v>
      </c>
      <c r="M179">
        <f t="shared" si="23"/>
        <v>30.67556335392802</v>
      </c>
    </row>
    <row r="180" spans="1:13" x14ac:dyDescent="0.3">
      <c r="C180" s="16">
        <v>45035</v>
      </c>
      <c r="D180" s="57">
        <v>1.4937500000000199</v>
      </c>
      <c r="E180" s="19">
        <f t="shared" si="24"/>
        <v>42.48333333333337</v>
      </c>
      <c r="F180" s="19">
        <f t="shared" si="25"/>
        <v>14.683333333333369</v>
      </c>
      <c r="G180" s="54">
        <f t="shared" si="19"/>
        <v>2.5619681906741332</v>
      </c>
      <c r="H180" s="87">
        <f t="shared" si="18"/>
        <v>2.5619681906741332</v>
      </c>
      <c r="I180">
        <f t="shared" si="26"/>
        <v>600.92882589529142</v>
      </c>
      <c r="J180">
        <f t="shared" si="20"/>
        <v>30.464412947645766</v>
      </c>
      <c r="K180">
        <f t="shared" si="21"/>
        <v>30.464412947645766</v>
      </c>
      <c r="L180" s="60">
        <f t="shared" si="22"/>
        <v>40.150869811559964</v>
      </c>
      <c r="M180">
        <f t="shared" si="23"/>
        <v>30.730583580135914</v>
      </c>
    </row>
    <row r="181" spans="1:13" x14ac:dyDescent="0.3">
      <c r="C181" s="16">
        <v>45035</v>
      </c>
      <c r="D181" s="57">
        <v>1.49722222222224</v>
      </c>
      <c r="E181" s="19">
        <f t="shared" si="24"/>
        <v>42.566666666666706</v>
      </c>
      <c r="F181" s="19">
        <f t="shared" si="25"/>
        <v>14.766666666666703</v>
      </c>
      <c r="G181" s="54">
        <f t="shared" si="19"/>
        <v>2.5683811239773786</v>
      </c>
      <c r="H181" s="87">
        <f t="shared" si="18"/>
        <v>2.5683811239773786</v>
      </c>
      <c r="I181">
        <f t="shared" si="26"/>
        <v>601.35688941595436</v>
      </c>
      <c r="J181">
        <f t="shared" si="20"/>
        <v>30.678444707977214</v>
      </c>
      <c r="K181">
        <f t="shared" si="21"/>
        <v>30.678444707977214</v>
      </c>
      <c r="L181" s="60">
        <f t="shared" si="22"/>
        <v>40.404173688466123</v>
      </c>
      <c r="M181">
        <f t="shared" si="23"/>
        <v>30.785663100925401</v>
      </c>
    </row>
    <row r="182" spans="1:13" x14ac:dyDescent="0.3">
      <c r="C182" s="16">
        <v>45035</v>
      </c>
      <c r="D182" s="57">
        <v>1.5006944444444601</v>
      </c>
      <c r="E182" s="19">
        <f t="shared" si="24"/>
        <v>42.650000000000034</v>
      </c>
      <c r="F182" s="19">
        <f t="shared" si="25"/>
        <v>14.850000000000037</v>
      </c>
      <c r="G182" s="54">
        <f t="shared" si="19"/>
        <v>2.574810109671009</v>
      </c>
      <c r="H182" s="87">
        <f t="shared" si="18"/>
        <v>2.574810109671009</v>
      </c>
      <c r="I182">
        <f t="shared" si="26"/>
        <v>601.7860244342329</v>
      </c>
      <c r="J182">
        <f t="shared" si="20"/>
        <v>30.893012217116464</v>
      </c>
      <c r="K182">
        <f t="shared" si="21"/>
        <v>30.893012217116464</v>
      </c>
      <c r="L182" s="60">
        <f t="shared" si="22"/>
        <v>40.657749901983919</v>
      </c>
      <c r="M182">
        <f t="shared" si="23"/>
        <v>30.840801839798097</v>
      </c>
    </row>
    <row r="183" spans="1:13" x14ac:dyDescent="0.3">
      <c r="C183" s="16">
        <v>45035</v>
      </c>
      <c r="D183" s="57">
        <v>1.50416666666668</v>
      </c>
      <c r="E183" s="19">
        <f t="shared" si="24"/>
        <v>42.73333333333337</v>
      </c>
      <c r="F183" s="19">
        <f t="shared" si="25"/>
        <v>14.933333333333371</v>
      </c>
      <c r="G183" s="54">
        <f t="shared" si="19"/>
        <v>2.5812551879362071</v>
      </c>
      <c r="H183" s="87">
        <f t="shared" si="18"/>
        <v>2.5812551879362071</v>
      </c>
      <c r="I183">
        <f t="shared" si="26"/>
        <v>602.21623363222227</v>
      </c>
      <c r="J183">
        <f t="shared" si="20"/>
        <v>31.108116816111149</v>
      </c>
      <c r="K183">
        <f t="shared" si="21"/>
        <v>31.108116816111149</v>
      </c>
      <c r="L183" s="60">
        <f t="shared" si="22"/>
        <v>40.911598097846017</v>
      </c>
      <c r="M183">
        <f t="shared" si="23"/>
        <v>30.895999719720557</v>
      </c>
    </row>
    <row r="184" spans="1:13" x14ac:dyDescent="0.3">
      <c r="C184" s="16">
        <v>45035</v>
      </c>
      <c r="D184" s="57">
        <v>1.5076388888889101</v>
      </c>
      <c r="E184" s="19">
        <f t="shared" si="24"/>
        <v>42.816666666666706</v>
      </c>
      <c r="F184" s="19">
        <f t="shared" si="25"/>
        <v>15.016666666666705</v>
      </c>
      <c r="G184" s="54">
        <f t="shared" si="19"/>
        <v>2.5877163990547323</v>
      </c>
      <c r="H184" s="87">
        <f t="shared" si="18"/>
        <v>2.5877163990547323</v>
      </c>
      <c r="I184">
        <f t="shared" si="26"/>
        <v>602.64751969873134</v>
      </c>
      <c r="J184">
        <f t="shared" si="20"/>
        <v>31.323759849365711</v>
      </c>
      <c r="K184">
        <f t="shared" si="21"/>
        <v>31.323759849365711</v>
      </c>
      <c r="L184" s="60">
        <f t="shared" si="22"/>
        <v>41.165717919323008</v>
      </c>
      <c r="M184">
        <f t="shared" si="23"/>
        <v>30.951256663123946</v>
      </c>
    </row>
    <row r="185" spans="1:13" x14ac:dyDescent="0.3">
      <c r="C185" s="16">
        <v>45035</v>
      </c>
      <c r="D185" s="57">
        <v>1.5111111111111299</v>
      </c>
      <c r="E185" s="19">
        <f t="shared" si="24"/>
        <v>42.900000000000041</v>
      </c>
      <c r="F185" s="19">
        <f t="shared" si="25"/>
        <v>15.100000000000039</v>
      </c>
      <c r="G185" s="54">
        <f t="shared" si="19"/>
        <v>2.5941937834091742</v>
      </c>
      <c r="H185" s="87">
        <f t="shared" si="18"/>
        <v>2.5941937834091742</v>
      </c>
      <c r="I185">
        <f t="shared" si="26"/>
        <v>603.07988532929949</v>
      </c>
      <c r="J185">
        <f t="shared" si="20"/>
        <v>31.539942664649807</v>
      </c>
      <c r="K185">
        <f t="shared" si="21"/>
        <v>31.539942664649807</v>
      </c>
      <c r="L185" s="60">
        <f t="shared" si="22"/>
        <v>41.42010900722218</v>
      </c>
      <c r="M185">
        <f t="shared" si="23"/>
        <v>31.006572591903804</v>
      </c>
    </row>
    <row r="186" spans="1:13" x14ac:dyDescent="0.3">
      <c r="C186" s="16">
        <v>45035</v>
      </c>
      <c r="D186" s="57">
        <v>1.51458333333335</v>
      </c>
      <c r="E186" s="19">
        <f t="shared" si="24"/>
        <v>42.983333333333377</v>
      </c>
      <c r="F186" s="19">
        <f t="shared" si="25"/>
        <v>15.183333333333373</v>
      </c>
      <c r="G186" s="54">
        <f t="shared" si="19"/>
        <v>2.6006873814832079</v>
      </c>
      <c r="H186" s="87">
        <f t="shared" si="18"/>
        <v>2.6006873814832079</v>
      </c>
      <c r="I186">
        <f t="shared" si="26"/>
        <v>603.51333322621338</v>
      </c>
      <c r="J186">
        <f t="shared" si="20"/>
        <v>31.756666613106741</v>
      </c>
      <c r="K186">
        <f t="shared" si="21"/>
        <v>31.756666613106741</v>
      </c>
      <c r="L186" s="60">
        <f t="shared" si="22"/>
        <v>41.674770999886327</v>
      </c>
      <c r="M186">
        <f t="shared" si="23"/>
        <v>31.061947427419774</v>
      </c>
    </row>
    <row r="187" spans="1:13" x14ac:dyDescent="0.3">
      <c r="C187" s="16">
        <v>45035</v>
      </c>
      <c r="D187" s="57">
        <v>1.5180555555555699</v>
      </c>
      <c r="E187" s="19">
        <f t="shared" si="24"/>
        <v>43.066666666666706</v>
      </c>
      <c r="F187" s="19">
        <f t="shared" si="25"/>
        <v>15.266666666666707</v>
      </c>
      <c r="G187" s="54">
        <f t="shared" si="19"/>
        <v>2.6071972338618417</v>
      </c>
      <c r="H187" s="87">
        <f t="shared" si="18"/>
        <v>2.6071972338618417</v>
      </c>
      <c r="I187">
        <f t="shared" si="26"/>
        <v>603.94786609852372</v>
      </c>
      <c r="J187">
        <f t="shared" si="20"/>
        <v>31.973933049261895</v>
      </c>
      <c r="K187">
        <f t="shared" si="21"/>
        <v>31.973933049261895</v>
      </c>
      <c r="L187" s="60">
        <f t="shared" si="22"/>
        <v>41.929703533192622</v>
      </c>
      <c r="M187">
        <f t="shared" si="23"/>
        <v>31.117381090495375</v>
      </c>
    </row>
    <row r="188" spans="1:13" x14ac:dyDescent="0.3">
      <c r="A188" s="61"/>
      <c r="B188" s="61"/>
      <c r="C188" s="16">
        <v>45035</v>
      </c>
      <c r="D188" s="57">
        <v>1.5215277777778</v>
      </c>
      <c r="E188" s="19">
        <f t="shared" si="24"/>
        <v>43.150000000000041</v>
      </c>
      <c r="F188" s="19">
        <f t="shared" si="25"/>
        <v>15.350000000000041</v>
      </c>
      <c r="G188" s="54">
        <f t="shared" si="19"/>
        <v>2.613723381231674</v>
      </c>
      <c r="H188" s="87">
        <f t="shared" si="18"/>
        <v>2.613723381231674</v>
      </c>
      <c r="I188">
        <f t="shared" si="26"/>
        <v>604.3834866620623</v>
      </c>
      <c r="J188">
        <f t="shared" si="20"/>
        <v>32.191743331031198</v>
      </c>
      <c r="K188">
        <f t="shared" si="21"/>
        <v>32.191743331031198</v>
      </c>
      <c r="L188" s="60">
        <f t="shared" si="22"/>
        <v>42.184906240551499</v>
      </c>
      <c r="M188">
        <f t="shared" si="23"/>
        <v>31.172873501417751</v>
      </c>
    </row>
    <row r="189" spans="1:13" x14ac:dyDescent="0.3">
      <c r="C189" s="16">
        <v>45035</v>
      </c>
      <c r="D189" s="57">
        <v>1.5250000000000199</v>
      </c>
      <c r="E189" s="19">
        <f t="shared" si="24"/>
        <v>43.233333333333377</v>
      </c>
      <c r="F189" s="19">
        <f t="shared" si="25"/>
        <v>15.433333333333374</v>
      </c>
      <c r="G189" s="54">
        <f t="shared" si="19"/>
        <v>2.6202658643811465</v>
      </c>
      <c r="H189" s="87">
        <f t="shared" si="18"/>
        <v>2.6202658643811465</v>
      </c>
      <c r="I189">
        <f t="shared" si="26"/>
        <v>604.82019763945914</v>
      </c>
      <c r="J189">
        <f t="shared" si="20"/>
        <v>32.410098819729626</v>
      </c>
      <c r="K189">
        <f t="shared" si="21"/>
        <v>32.410098819729626</v>
      </c>
      <c r="L189" s="60">
        <f t="shared" si="22"/>
        <v>42.440378752905588</v>
      </c>
      <c r="M189">
        <f t="shared" si="23"/>
        <v>31.22842457993741</v>
      </c>
    </row>
    <row r="190" spans="1:13" x14ac:dyDescent="0.3">
      <c r="C190" s="16">
        <v>45035</v>
      </c>
      <c r="D190" s="57">
        <v>1.52847222222224</v>
      </c>
      <c r="E190" s="19">
        <f t="shared" si="24"/>
        <v>43.316666666666706</v>
      </c>
      <c r="F190" s="19">
        <f t="shared" si="25"/>
        <v>15.516666666666708</v>
      </c>
      <c r="G190" s="54">
        <f t="shared" si="19"/>
        <v>2.626824724200802</v>
      </c>
      <c r="H190" s="87">
        <f t="shared" si="18"/>
        <v>2.626824724200802</v>
      </c>
      <c r="I190">
        <f t="shared" si="26"/>
        <v>605.25800176015923</v>
      </c>
      <c r="J190">
        <f t="shared" si="20"/>
        <v>32.629000880079694</v>
      </c>
      <c r="K190">
        <f t="shared" si="21"/>
        <v>32.629000880079694</v>
      </c>
      <c r="L190" s="60">
        <f t="shared" si="22"/>
        <v>42.69612069872872</v>
      </c>
      <c r="M190">
        <f t="shared" si="23"/>
        <v>31.284034245268064</v>
      </c>
    </row>
    <row r="191" spans="1:13" x14ac:dyDescent="0.3">
      <c r="C191" s="16">
        <v>45035</v>
      </c>
      <c r="D191" s="57">
        <v>1.5319444444444601</v>
      </c>
      <c r="E191" s="19">
        <f t="shared" si="24"/>
        <v>43.400000000000041</v>
      </c>
      <c r="F191" s="19">
        <f t="shared" si="25"/>
        <v>15.600000000000042</v>
      </c>
      <c r="G191" s="54">
        <f t="shared" si="19"/>
        <v>2.6334000016835342</v>
      </c>
      <c r="H191" s="87">
        <f t="shared" si="18"/>
        <v>2.6334000016835342</v>
      </c>
      <c r="I191">
        <f t="shared" si="26"/>
        <v>605.6969017604398</v>
      </c>
      <c r="J191">
        <f t="shared" si="20"/>
        <v>32.848450880219985</v>
      </c>
      <c r="K191">
        <f t="shared" si="21"/>
        <v>32.848450880219985</v>
      </c>
      <c r="L191" s="60">
        <f t="shared" si="22"/>
        <v>42.952131704024886</v>
      </c>
      <c r="M191">
        <f t="shared" si="23"/>
        <v>31.339702416086354</v>
      </c>
    </row>
    <row r="192" spans="1:13" x14ac:dyDescent="0.3">
      <c r="C192" s="16">
        <v>45035</v>
      </c>
      <c r="D192" s="57">
        <v>1.53541666666669</v>
      </c>
      <c r="E192" s="19">
        <f t="shared" si="24"/>
        <v>43.483333333333377</v>
      </c>
      <c r="F192" s="19">
        <f t="shared" si="25"/>
        <v>15.683333333333376</v>
      </c>
      <c r="G192" s="54">
        <f t="shared" si="19"/>
        <v>2.639991737924849</v>
      </c>
      <c r="H192" s="87">
        <f t="shared" si="18"/>
        <v>2.639991737924849</v>
      </c>
      <c r="I192">
        <f t="shared" si="26"/>
        <v>606.13690038342725</v>
      </c>
      <c r="J192">
        <f t="shared" si="20"/>
        <v>33.068450191713723</v>
      </c>
      <c r="K192">
        <f t="shared" si="21"/>
        <v>33.068450191713723</v>
      </c>
      <c r="L192" s="60">
        <f t="shared" si="22"/>
        <v>43.208411392327363</v>
      </c>
      <c r="M192">
        <f t="shared" si="23"/>
        <v>31.395429010531682</v>
      </c>
    </row>
    <row r="193" spans="1:13" x14ac:dyDescent="0.3">
      <c r="A193" s="61"/>
      <c r="B193" s="61"/>
      <c r="C193" s="16">
        <v>45035</v>
      </c>
      <c r="D193" s="57">
        <v>1.5388888888889101</v>
      </c>
      <c r="E193" s="19">
        <f t="shared" si="24"/>
        <v>43.566666666666713</v>
      </c>
      <c r="F193" s="19">
        <f t="shared" si="25"/>
        <v>15.76666666666671</v>
      </c>
      <c r="G193" s="54">
        <f t="shared" si="19"/>
        <v>2.6465999741231201</v>
      </c>
      <c r="H193" s="87">
        <f t="shared" si="18"/>
        <v>2.6465999741231201</v>
      </c>
      <c r="I193">
        <f t="shared" si="26"/>
        <v>606.57800037911443</v>
      </c>
      <c r="J193">
        <f t="shared" si="20"/>
        <v>33.289000189557314</v>
      </c>
      <c r="K193">
        <f t="shared" si="21"/>
        <v>33.289000189557314</v>
      </c>
      <c r="L193" s="60">
        <f t="shared" si="22"/>
        <v>43.464959384697771</v>
      </c>
      <c r="M193">
        <f t="shared" si="23"/>
        <v>31.451213946206</v>
      </c>
    </row>
    <row r="194" spans="1:13" x14ac:dyDescent="0.3">
      <c r="C194" s="16">
        <v>45035</v>
      </c>
      <c r="D194" s="57">
        <v>1.5423611111111299</v>
      </c>
      <c r="E194" s="19">
        <f t="shared" si="24"/>
        <v>43.650000000000048</v>
      </c>
      <c r="F194" s="19">
        <f t="shared" si="25"/>
        <v>15.850000000000044</v>
      </c>
      <c r="G194" s="54">
        <f t="shared" si="19"/>
        <v>2.6532247515798439</v>
      </c>
      <c r="H194" s="87">
        <f t="shared" si="18"/>
        <v>2.6532247515798439</v>
      </c>
      <c r="I194">
        <f t="shared" si="26"/>
        <v>607.02020450437772</v>
      </c>
      <c r="J194">
        <f t="shared" si="20"/>
        <v>33.510102252188965</v>
      </c>
      <c r="K194">
        <f t="shared" si="21"/>
        <v>33.510102252188965</v>
      </c>
      <c r="L194" s="60">
        <f t="shared" si="22"/>
        <v>43.721775299725245</v>
      </c>
      <c r="M194">
        <f t="shared" si="23"/>
        <v>31.507057140173643</v>
      </c>
    </row>
    <row r="195" spans="1:13" x14ac:dyDescent="0.3">
      <c r="C195" s="16">
        <v>45035</v>
      </c>
      <c r="D195" s="57">
        <v>1.54583333333335</v>
      </c>
      <c r="E195" s="19">
        <f t="shared" si="24"/>
        <v>43.733333333333377</v>
      </c>
      <c r="F195" s="19">
        <f t="shared" si="25"/>
        <v>15.933333333333378</v>
      </c>
      <c r="G195" s="54">
        <f t="shared" si="19"/>
        <v>2.6598661116999023</v>
      </c>
      <c r="H195" s="87">
        <f t="shared" si="18"/>
        <v>2.6598661116999023</v>
      </c>
      <c r="I195">
        <f t="shared" si="26"/>
        <v>607.46351552299438</v>
      </c>
      <c r="J195">
        <f t="shared" si="20"/>
        <v>33.731757761497292</v>
      </c>
      <c r="K195">
        <f t="shared" si="21"/>
        <v>33.731757761497292</v>
      </c>
      <c r="L195" s="60">
        <f t="shared" si="22"/>
        <v>43.978858753525579</v>
      </c>
      <c r="M195">
        <f t="shared" si="23"/>
        <v>31.562958508961117</v>
      </c>
    </row>
    <row r="196" spans="1:13" x14ac:dyDescent="0.3">
      <c r="C196" s="16">
        <v>45035</v>
      </c>
      <c r="D196" s="57">
        <v>1.5493055555555699</v>
      </c>
      <c r="E196" s="19">
        <f t="shared" si="24"/>
        <v>43.816666666666713</v>
      </c>
      <c r="F196" s="19">
        <f t="shared" si="25"/>
        <v>16.016666666666712</v>
      </c>
      <c r="G196" s="54">
        <f t="shared" si="19"/>
        <v>2.6665240959918171</v>
      </c>
      <c r="H196" s="87">
        <f t="shared" ref="H196:H259" si="27">G196</f>
        <v>2.6665240959918171</v>
      </c>
      <c r="I196">
        <f t="shared" si="26"/>
        <v>607.90793620565967</v>
      </c>
      <c r="J196">
        <f t="shared" si="20"/>
        <v>33.95396810282994</v>
      </c>
      <c r="K196">
        <f t="shared" si="21"/>
        <v>33.95396810282994</v>
      </c>
      <c r="L196" s="60">
        <f t="shared" si="22"/>
        <v>44.236209359740485</v>
      </c>
      <c r="M196">
        <f t="shared" si="23"/>
        <v>31.618917968556957</v>
      </c>
    </row>
    <row r="197" spans="1:13" x14ac:dyDescent="0.3">
      <c r="C197" s="16">
        <v>45035</v>
      </c>
      <c r="D197" s="57">
        <v>1.5527777777778</v>
      </c>
      <c r="E197" s="19">
        <f t="shared" si="24"/>
        <v>43.900000000000048</v>
      </c>
      <c r="F197" s="19">
        <f t="shared" si="25"/>
        <v>16.100000000000044</v>
      </c>
      <c r="G197" s="54">
        <f t="shared" ref="G197:G260" si="28">$G$4*EXP($T$1*F197)</f>
        <v>2.673198746068012</v>
      </c>
      <c r="H197" s="87">
        <f t="shared" si="27"/>
        <v>2.673198746068012</v>
      </c>
      <c r="I197">
        <f t="shared" si="26"/>
        <v>608.35346933000437</v>
      </c>
      <c r="J197">
        <f t="shared" ref="J197:J260" si="29">J196+G197*5/60</f>
        <v>34.176734665002272</v>
      </c>
      <c r="K197">
        <f t="shared" ref="K197:K260" si="30">J197</f>
        <v>34.176734665002272</v>
      </c>
      <c r="L197" s="60">
        <f t="shared" ref="L197:L260" si="31">((L196*I196/1000)+(G197*$T$7/1000*5/60))/(I197/1000)</f>
        <v>44.493826729536835</v>
      </c>
      <c r="M197">
        <f t="shared" ref="M197:M260" si="32">(M196*I196+G197*$T$7*$T$6*(5/60))/I197</f>
        <v>31.674935434411559</v>
      </c>
    </row>
    <row r="198" spans="1:13" x14ac:dyDescent="0.3">
      <c r="C198" s="16">
        <v>45035</v>
      </c>
      <c r="D198" s="57">
        <v>1.5562500000000199</v>
      </c>
      <c r="E198" s="19">
        <f t="shared" ref="E198:E261" si="33">$E$3+F198</f>
        <v>43.983333333333377</v>
      </c>
      <c r="F198" s="19">
        <f t="shared" ref="F198:F261" si="34">F197+5/60</f>
        <v>16.183333333333376</v>
      </c>
      <c r="G198" s="54">
        <f t="shared" si="28"/>
        <v>2.6798901036450715</v>
      </c>
      <c r="H198" s="87">
        <f t="shared" si="27"/>
        <v>2.6798901036450715</v>
      </c>
      <c r="I198">
        <f t="shared" ref="I198:I261" si="35">I197+(G198+H198)*5/60</f>
        <v>608.80011768061183</v>
      </c>
      <c r="J198">
        <f t="shared" si="29"/>
        <v>34.400058840306031</v>
      </c>
      <c r="K198">
        <f t="shared" si="30"/>
        <v>34.400058840306031</v>
      </c>
      <c r="L198" s="60">
        <f t="shared" si="31"/>
        <v>44.751710471605982</v>
      </c>
      <c r="M198">
        <f t="shared" si="32"/>
        <v>31.731010821437042</v>
      </c>
    </row>
    <row r="199" spans="1:13" x14ac:dyDescent="0.3">
      <c r="B199" s="61" t="s">
        <v>73</v>
      </c>
      <c r="C199" s="16">
        <v>45035</v>
      </c>
      <c r="D199" s="57">
        <v>1.55972222222224</v>
      </c>
      <c r="E199" s="19">
        <f t="shared" si="33"/>
        <v>44.066666666666706</v>
      </c>
      <c r="F199" s="19">
        <f t="shared" si="34"/>
        <v>16.266666666666708</v>
      </c>
      <c r="G199" s="54">
        <f t="shared" si="28"/>
        <v>2.6865982105440027</v>
      </c>
      <c r="H199" s="87">
        <f t="shared" si="27"/>
        <v>2.6865982105440027</v>
      </c>
      <c r="I199">
        <f t="shared" si="35"/>
        <v>609.24788404903586</v>
      </c>
      <c r="J199">
        <f t="shared" si="29"/>
        <v>34.62394202451803</v>
      </c>
      <c r="K199">
        <f t="shared" si="30"/>
        <v>34.62394202451803</v>
      </c>
      <c r="L199" s="60">
        <f t="shared" si="31"/>
        <v>45.009860192163089</v>
      </c>
      <c r="M199">
        <f t="shared" si="32"/>
        <v>31.787144044007068</v>
      </c>
    </row>
    <row r="200" spans="1:13" x14ac:dyDescent="0.3">
      <c r="C200" s="16">
        <v>45035</v>
      </c>
      <c r="D200" s="57">
        <v>1.5631944444444601</v>
      </c>
      <c r="E200" s="19">
        <f t="shared" si="33"/>
        <v>44.150000000000041</v>
      </c>
      <c r="F200" s="19">
        <f t="shared" si="34"/>
        <v>16.350000000000041</v>
      </c>
      <c r="G200" s="54">
        <f t="shared" si="28"/>
        <v>2.6933231086904947</v>
      </c>
      <c r="H200" s="87">
        <f t="shared" si="27"/>
        <v>2.6933231086904947</v>
      </c>
      <c r="I200">
        <f t="shared" si="35"/>
        <v>609.69677123381757</v>
      </c>
      <c r="J200">
        <f t="shared" si="29"/>
        <v>34.848385616908907</v>
      </c>
      <c r="K200">
        <f t="shared" si="30"/>
        <v>34.848385616908907</v>
      </c>
      <c r="L200" s="60">
        <f t="shared" si="31"/>
        <v>45.268275494946558</v>
      </c>
      <c r="M200">
        <f t="shared" si="32"/>
        <v>31.843335015956768</v>
      </c>
    </row>
    <row r="201" spans="1:13" x14ac:dyDescent="0.3">
      <c r="C201" s="16">
        <v>45035</v>
      </c>
      <c r="D201" s="57">
        <v>1.56666666666669</v>
      </c>
      <c r="E201" s="19">
        <f t="shared" si="33"/>
        <v>44.233333333333377</v>
      </c>
      <c r="F201" s="19">
        <f t="shared" si="34"/>
        <v>16.433333333333373</v>
      </c>
      <c r="G201" s="54">
        <f t="shared" si="28"/>
        <v>2.7000648401151834</v>
      </c>
      <c r="H201" s="87">
        <f t="shared" si="27"/>
        <v>2.7000648401151834</v>
      </c>
      <c r="I201">
        <f t="shared" si="35"/>
        <v>610.14678204050347</v>
      </c>
      <c r="J201">
        <f t="shared" si="29"/>
        <v>35.07339102025184</v>
      </c>
      <c r="K201">
        <f t="shared" si="30"/>
        <v>35.07339102025184</v>
      </c>
      <c r="L201" s="60">
        <f t="shared" si="31"/>
        <v>45.526955981217426</v>
      </c>
      <c r="M201">
        <f t="shared" si="32"/>
        <v>31.899583650582557</v>
      </c>
    </row>
    <row r="202" spans="1:13" x14ac:dyDescent="0.3">
      <c r="C202" s="16">
        <v>45035</v>
      </c>
      <c r="D202" s="57">
        <v>1.5701388888889101</v>
      </c>
      <c r="E202" s="19">
        <f t="shared" si="33"/>
        <v>44.316666666666706</v>
      </c>
      <c r="F202" s="19">
        <f t="shared" si="34"/>
        <v>16.516666666666705</v>
      </c>
      <c r="G202" s="54">
        <f t="shared" si="28"/>
        <v>2.7068234469539125</v>
      </c>
      <c r="H202" s="87">
        <f t="shared" si="27"/>
        <v>2.7068234469539125</v>
      </c>
      <c r="I202">
        <f t="shared" si="35"/>
        <v>610.59791928166248</v>
      </c>
      <c r="J202">
        <f t="shared" si="29"/>
        <v>35.298959640831335</v>
      </c>
      <c r="K202">
        <f t="shared" si="30"/>
        <v>35.298959640831335</v>
      </c>
      <c r="L202" s="60">
        <f t="shared" si="31"/>
        <v>45.785901249758851</v>
      </c>
      <c r="M202">
        <f t="shared" si="32"/>
        <v>31.955889860642067</v>
      </c>
    </row>
    <row r="203" spans="1:13" x14ac:dyDescent="0.3">
      <c r="C203" s="16">
        <v>45035</v>
      </c>
      <c r="D203" s="57">
        <v>1.5736111111111299</v>
      </c>
      <c r="E203" s="19">
        <f t="shared" si="33"/>
        <v>44.400000000000034</v>
      </c>
      <c r="F203" s="19">
        <f t="shared" si="34"/>
        <v>16.600000000000037</v>
      </c>
      <c r="G203" s="54">
        <f t="shared" si="28"/>
        <v>2.713598971447996</v>
      </c>
      <c r="H203" s="87">
        <f t="shared" si="27"/>
        <v>2.713598971447996</v>
      </c>
      <c r="I203">
        <f t="shared" si="35"/>
        <v>611.05018577690385</v>
      </c>
      <c r="J203">
        <f t="shared" si="29"/>
        <v>35.525092888452001</v>
      </c>
      <c r="K203">
        <f t="shared" si="30"/>
        <v>35.525092888452001</v>
      </c>
      <c r="L203" s="60">
        <f t="shared" si="31"/>
        <v>46.045110896875627</v>
      </c>
      <c r="M203">
        <f t="shared" si="32"/>
        <v>32.012253558354011</v>
      </c>
    </row>
    <row r="204" spans="1:13" x14ac:dyDescent="0.3">
      <c r="C204" s="16">
        <v>45035</v>
      </c>
      <c r="D204" s="57">
        <v>1.57708333333335</v>
      </c>
      <c r="E204" s="19">
        <f t="shared" si="33"/>
        <v>44.48333333333337</v>
      </c>
      <c r="F204" s="19">
        <f t="shared" si="34"/>
        <v>16.683333333333369</v>
      </c>
      <c r="G204" s="54">
        <f t="shared" si="28"/>
        <v>2.7203914559444846</v>
      </c>
      <c r="H204" s="87">
        <f t="shared" si="27"/>
        <v>2.7203914559444846</v>
      </c>
      <c r="I204">
        <f t="shared" si="35"/>
        <v>611.50358435289456</v>
      </c>
      <c r="J204">
        <f t="shared" si="29"/>
        <v>35.751792176447374</v>
      </c>
      <c r="K204">
        <f t="shared" si="30"/>
        <v>35.751792176447374</v>
      </c>
      <c r="L204" s="60">
        <f t="shared" si="31"/>
        <v>46.304584516393767</v>
      </c>
      <c r="M204">
        <f t="shared" si="32"/>
        <v>32.068674655398119</v>
      </c>
    </row>
    <row r="205" spans="1:13" x14ac:dyDescent="0.3">
      <c r="A205" s="61"/>
      <c r="B205" s="61"/>
      <c r="C205" s="16">
        <v>45035</v>
      </c>
      <c r="D205" s="57">
        <v>1.5805555555555799</v>
      </c>
      <c r="E205" s="19">
        <f t="shared" si="33"/>
        <v>44.566666666666706</v>
      </c>
      <c r="F205" s="19">
        <f t="shared" si="34"/>
        <v>16.766666666666701</v>
      </c>
      <c r="G205" s="54">
        <f t="shared" si="28"/>
        <v>2.7272009428964283</v>
      </c>
      <c r="H205" s="87">
        <f t="shared" si="27"/>
        <v>2.7272009428964283</v>
      </c>
      <c r="I205">
        <f t="shared" si="35"/>
        <v>611.95811784337729</v>
      </c>
      <c r="J205">
        <f t="shared" si="29"/>
        <v>35.97905892168874</v>
      </c>
      <c r="K205">
        <f t="shared" si="30"/>
        <v>35.97905892168874</v>
      </c>
      <c r="L205" s="60">
        <f t="shared" si="31"/>
        <v>46.564321699660049</v>
      </c>
      <c r="M205">
        <f t="shared" si="32"/>
        <v>32.125153062915018</v>
      </c>
    </row>
    <row r="206" spans="1:13" x14ac:dyDescent="0.3">
      <c r="C206" s="16">
        <v>45035</v>
      </c>
      <c r="D206" s="57">
        <v>1.5840277777778</v>
      </c>
      <c r="E206" s="19">
        <f t="shared" si="33"/>
        <v>44.650000000000034</v>
      </c>
      <c r="F206" s="19">
        <f t="shared" si="34"/>
        <v>16.850000000000033</v>
      </c>
      <c r="G206" s="54">
        <f t="shared" si="28"/>
        <v>2.7340274748631428</v>
      </c>
      <c r="H206" s="87">
        <f t="shared" si="27"/>
        <v>2.7340274748631428</v>
      </c>
      <c r="I206">
        <f t="shared" si="35"/>
        <v>612.41378908918784</v>
      </c>
      <c r="J206">
        <f t="shared" si="29"/>
        <v>36.206894544594</v>
      </c>
      <c r="K206">
        <f t="shared" si="30"/>
        <v>36.206894544594</v>
      </c>
      <c r="L206" s="60">
        <f t="shared" si="31"/>
        <v>46.824322035541726</v>
      </c>
      <c r="M206">
        <f t="shared" si="32"/>
        <v>32.181688691506181</v>
      </c>
    </row>
    <row r="207" spans="1:13" x14ac:dyDescent="0.3">
      <c r="B207" s="61"/>
      <c r="C207" s="16">
        <v>45035</v>
      </c>
      <c r="D207" s="57">
        <v>1.5875000000000199</v>
      </c>
      <c r="E207" s="19">
        <f t="shared" si="33"/>
        <v>44.733333333333363</v>
      </c>
      <c r="F207" s="19">
        <f t="shared" si="34"/>
        <v>16.933333333333366</v>
      </c>
      <c r="G207" s="54">
        <f t="shared" si="28"/>
        <v>2.7408710945104744</v>
      </c>
      <c r="H207" s="87">
        <f t="shared" si="27"/>
        <v>2.7408710945104744</v>
      </c>
      <c r="I207">
        <f t="shared" si="35"/>
        <v>612.8706009382729</v>
      </c>
      <c r="J207">
        <f t="shared" si="29"/>
        <v>36.435300469136543</v>
      </c>
      <c r="K207">
        <f t="shared" si="30"/>
        <v>36.435300469136543</v>
      </c>
      <c r="L207" s="60">
        <f t="shared" si="31"/>
        <v>47.084585110426175</v>
      </c>
      <c r="M207">
        <f t="shared" si="32"/>
        <v>32.238281451233838</v>
      </c>
    </row>
    <row r="208" spans="1:13" x14ac:dyDescent="0.3">
      <c r="C208" s="16">
        <v>45035</v>
      </c>
      <c r="D208" s="57">
        <v>1.59097222222224</v>
      </c>
      <c r="E208" s="19">
        <f t="shared" si="33"/>
        <v>44.816666666666698</v>
      </c>
      <c r="F208" s="19">
        <f t="shared" si="34"/>
        <v>17.016666666666698</v>
      </c>
      <c r="G208" s="54">
        <f t="shared" si="28"/>
        <v>2.7477318446110699</v>
      </c>
      <c r="H208" s="87">
        <f t="shared" si="27"/>
        <v>2.7477318446110699</v>
      </c>
      <c r="I208">
        <f t="shared" si="35"/>
        <v>613.32855624570811</v>
      </c>
      <c r="J208">
        <f t="shared" si="29"/>
        <v>36.664278122854135</v>
      </c>
      <c r="K208">
        <f t="shared" si="30"/>
        <v>36.664278122854135</v>
      </c>
      <c r="L208" s="60">
        <f t="shared" si="31"/>
        <v>47.345110508220657</v>
      </c>
      <c r="M208">
        <f t="shared" si="32"/>
        <v>32.294931251620923</v>
      </c>
    </row>
    <row r="209" spans="2:13" x14ac:dyDescent="0.3">
      <c r="C209" s="16">
        <v>45035</v>
      </c>
      <c r="D209" s="57">
        <v>1.5944444444444601</v>
      </c>
      <c r="E209" s="19">
        <f t="shared" si="33"/>
        <v>44.900000000000034</v>
      </c>
      <c r="F209" s="19">
        <f t="shared" si="34"/>
        <v>17.10000000000003</v>
      </c>
      <c r="G209" s="54">
        <f t="shared" si="28"/>
        <v>2.754609768044638</v>
      </c>
      <c r="H209" s="87">
        <f t="shared" si="27"/>
        <v>2.754609768044638</v>
      </c>
      <c r="I209">
        <f t="shared" si="35"/>
        <v>613.7876578737156</v>
      </c>
      <c r="J209">
        <f t="shared" si="29"/>
        <v>36.893828936857858</v>
      </c>
      <c r="K209">
        <f t="shared" si="30"/>
        <v>36.893828936857858</v>
      </c>
      <c r="L209" s="60">
        <f t="shared" si="31"/>
        <v>47.60589781035204</v>
      </c>
      <c r="M209">
        <f t="shared" si="32"/>
        <v>32.351638001651047</v>
      </c>
    </row>
    <row r="210" spans="2:13" x14ac:dyDescent="0.3">
      <c r="C210" s="16">
        <v>45035</v>
      </c>
      <c r="D210" s="57">
        <v>1.59791666666669</v>
      </c>
      <c r="E210" s="19">
        <f t="shared" si="33"/>
        <v>44.983333333333363</v>
      </c>
      <c r="F210" s="19">
        <f t="shared" si="34"/>
        <v>17.183333333333362</v>
      </c>
      <c r="G210" s="54">
        <f t="shared" si="28"/>
        <v>2.7615049077982232</v>
      </c>
      <c r="H210" s="87">
        <f t="shared" si="27"/>
        <v>2.7615049077982232</v>
      </c>
      <c r="I210">
        <f t="shared" si="35"/>
        <v>614.24790869168203</v>
      </c>
      <c r="J210">
        <f t="shared" si="29"/>
        <v>37.123954345841042</v>
      </c>
      <c r="K210">
        <f t="shared" si="30"/>
        <v>37.123954345841042</v>
      </c>
      <c r="L210" s="60">
        <f t="shared" si="31"/>
        <v>47.866946595766677</v>
      </c>
      <c r="M210">
        <f t="shared" si="32"/>
        <v>32.408401609768426</v>
      </c>
    </row>
    <row r="211" spans="2:13" x14ac:dyDescent="0.3">
      <c r="C211" s="16">
        <v>45035</v>
      </c>
      <c r="D211" s="57">
        <v>1.6013888888889101</v>
      </c>
      <c r="E211" s="19">
        <f t="shared" si="33"/>
        <v>45.066666666666691</v>
      </c>
      <c r="F211" s="19">
        <f t="shared" si="34"/>
        <v>17.266666666666694</v>
      </c>
      <c r="G211" s="54">
        <f t="shared" si="28"/>
        <v>2.7684173069664713</v>
      </c>
      <c r="H211" s="87">
        <f t="shared" si="27"/>
        <v>2.7684173069664713</v>
      </c>
      <c r="I211">
        <f t="shared" si="35"/>
        <v>614.70931157617645</v>
      </c>
      <c r="J211">
        <f t="shared" si="29"/>
        <v>37.354655788088252</v>
      </c>
      <c r="K211">
        <f t="shared" si="30"/>
        <v>37.354655788088252</v>
      </c>
      <c r="L211" s="60">
        <f t="shared" si="31"/>
        <v>48.128256440930215</v>
      </c>
      <c r="M211">
        <f t="shared" si="32"/>
        <v>32.465221983877875</v>
      </c>
    </row>
    <row r="212" spans="2:13" x14ac:dyDescent="0.3">
      <c r="C212" s="16">
        <v>45035</v>
      </c>
      <c r="D212" s="57">
        <v>1.6048611111111299</v>
      </c>
      <c r="E212" s="19">
        <f t="shared" si="33"/>
        <v>45.150000000000027</v>
      </c>
      <c r="F212" s="19">
        <f t="shared" si="34"/>
        <v>17.350000000000026</v>
      </c>
      <c r="G212" s="54">
        <f t="shared" si="28"/>
        <v>2.7753470087518997</v>
      </c>
      <c r="H212" s="87">
        <f t="shared" si="27"/>
        <v>2.7753470087518997</v>
      </c>
      <c r="I212">
        <f t="shared" si="35"/>
        <v>615.17186941096838</v>
      </c>
      <c r="J212">
        <f t="shared" si="29"/>
        <v>37.585934705484242</v>
      </c>
      <c r="K212">
        <f t="shared" si="30"/>
        <v>37.585934705484242</v>
      </c>
      <c r="L212" s="60">
        <f t="shared" si="31"/>
        <v>48.389826919827556</v>
      </c>
      <c r="M212">
        <f t="shared" si="32"/>
        <v>32.52209903134478</v>
      </c>
    </row>
    <row r="213" spans="2:13" x14ac:dyDescent="0.3">
      <c r="C213" s="16">
        <v>45035</v>
      </c>
      <c r="D213" s="57">
        <v>1.60833333333335</v>
      </c>
      <c r="E213" s="19">
        <f t="shared" si="33"/>
        <v>45.233333333333363</v>
      </c>
      <c r="F213" s="19">
        <f t="shared" si="34"/>
        <v>17.433333333333358</v>
      </c>
      <c r="G213" s="54">
        <f t="shared" si="28"/>
        <v>2.7822940564651675</v>
      </c>
      <c r="H213" s="87">
        <f t="shared" si="27"/>
        <v>2.7822940564651675</v>
      </c>
      <c r="I213">
        <f t="shared" si="35"/>
        <v>615.63558508704591</v>
      </c>
      <c r="J213">
        <f t="shared" si="29"/>
        <v>37.817792543523005</v>
      </c>
      <c r="K213">
        <f t="shared" si="30"/>
        <v>37.817792543523005</v>
      </c>
      <c r="L213" s="60">
        <f t="shared" si="31"/>
        <v>48.651657603962732</v>
      </c>
      <c r="M213">
        <f t="shared" si="32"/>
        <v>32.579032658995061</v>
      </c>
    </row>
    <row r="214" spans="2:13" x14ac:dyDescent="0.3">
      <c r="B214" s="61"/>
      <c r="C214" s="16">
        <v>45035</v>
      </c>
      <c r="D214" s="57">
        <v>1.6118055555555799</v>
      </c>
      <c r="E214" s="19">
        <f t="shared" si="33"/>
        <v>45.316666666666691</v>
      </c>
      <c r="F214" s="19">
        <f t="shared" si="34"/>
        <v>17.516666666666691</v>
      </c>
      <c r="G214" s="54">
        <f t="shared" si="28"/>
        <v>2.7892584935253448</v>
      </c>
      <c r="H214" s="87">
        <f t="shared" si="27"/>
        <v>2.7892584935253448</v>
      </c>
      <c r="I214">
        <f t="shared" si="35"/>
        <v>616.10046150263349</v>
      </c>
      <c r="J214">
        <f t="shared" si="29"/>
        <v>38.050230751316782</v>
      </c>
      <c r="K214">
        <f t="shared" si="30"/>
        <v>38.050230751316782</v>
      </c>
      <c r="L214" s="60">
        <f t="shared" si="31"/>
        <v>48.913748062358948</v>
      </c>
      <c r="M214">
        <f t="shared" si="32"/>
        <v>32.636022773115215</v>
      </c>
    </row>
    <row r="215" spans="2:13" x14ac:dyDescent="0.3">
      <c r="C215" s="16">
        <v>45035</v>
      </c>
      <c r="D215" s="57">
        <v>1.6152777777778</v>
      </c>
      <c r="E215" s="19">
        <f t="shared" si="33"/>
        <v>45.40000000000002</v>
      </c>
      <c r="F215" s="19">
        <f t="shared" si="34"/>
        <v>17.600000000000023</v>
      </c>
      <c r="G215" s="54">
        <f t="shared" si="28"/>
        <v>2.7962403634601865</v>
      </c>
      <c r="H215" s="87">
        <f t="shared" si="27"/>
        <v>2.7962403634601865</v>
      </c>
      <c r="I215">
        <f t="shared" si="35"/>
        <v>616.56650156321018</v>
      </c>
      <c r="J215">
        <f t="shared" si="29"/>
        <v>38.283250781605133</v>
      </c>
      <c r="K215">
        <f t="shared" si="30"/>
        <v>38.283250781605133</v>
      </c>
      <c r="L215" s="60">
        <f t="shared" si="31"/>
        <v>49.176097861558631</v>
      </c>
      <c r="M215">
        <f t="shared" si="32"/>
        <v>32.693069279452303</v>
      </c>
    </row>
    <row r="216" spans="2:13" x14ac:dyDescent="0.3">
      <c r="C216" s="16">
        <v>45035</v>
      </c>
      <c r="D216" s="57">
        <v>1.6187500000000199</v>
      </c>
      <c r="E216" s="19">
        <f t="shared" si="33"/>
        <v>45.483333333333356</v>
      </c>
      <c r="F216" s="19">
        <f t="shared" si="34"/>
        <v>17.683333333333355</v>
      </c>
      <c r="G216" s="54">
        <f t="shared" si="28"/>
        <v>2.8032397099064017</v>
      </c>
      <c r="H216" s="87">
        <f t="shared" si="27"/>
        <v>2.8032397099064017</v>
      </c>
      <c r="I216">
        <f t="shared" si="35"/>
        <v>617.03370818152791</v>
      </c>
      <c r="J216">
        <f t="shared" si="29"/>
        <v>38.516854090763999</v>
      </c>
      <c r="K216">
        <f t="shared" si="30"/>
        <v>38.516854090763999</v>
      </c>
      <c r="L216" s="60">
        <f t="shared" si="31"/>
        <v>49.438706565623448</v>
      </c>
      <c r="M216">
        <f t="shared" si="32"/>
        <v>32.750172083213954</v>
      </c>
    </row>
    <row r="217" spans="2:13" x14ac:dyDescent="0.3">
      <c r="C217" s="16">
        <v>45035</v>
      </c>
      <c r="D217" s="57">
        <v>1.62222222222224</v>
      </c>
      <c r="E217" s="19">
        <f t="shared" si="33"/>
        <v>45.566666666666691</v>
      </c>
      <c r="F217" s="19">
        <f t="shared" si="34"/>
        <v>17.766666666666687</v>
      </c>
      <c r="G217" s="54">
        <f t="shared" si="28"/>
        <v>2.8102565766099294</v>
      </c>
      <c r="H217" s="87">
        <f t="shared" si="27"/>
        <v>2.8102565766099294</v>
      </c>
      <c r="I217">
        <f t="shared" si="35"/>
        <v>617.50208427762959</v>
      </c>
      <c r="J217">
        <f t="shared" si="29"/>
        <v>38.751042138814825</v>
      </c>
      <c r="K217">
        <f t="shared" si="30"/>
        <v>38.751042138814825</v>
      </c>
      <c r="L217" s="60">
        <f t="shared" si="31"/>
        <v>49.701573736134492</v>
      </c>
      <c r="M217">
        <f t="shared" si="32"/>
        <v>32.807331089068413</v>
      </c>
    </row>
    <row r="218" spans="2:13" x14ac:dyDescent="0.3">
      <c r="C218" s="16">
        <v>45035</v>
      </c>
      <c r="D218" s="57">
        <v>1.6256944444444601</v>
      </c>
      <c r="E218" s="19">
        <f t="shared" si="33"/>
        <v>45.65000000000002</v>
      </c>
      <c r="F218" s="19">
        <f t="shared" si="34"/>
        <v>17.850000000000019</v>
      </c>
      <c r="G218" s="54">
        <f t="shared" si="28"/>
        <v>2.817291007426209</v>
      </c>
      <c r="H218" s="87">
        <f t="shared" si="27"/>
        <v>2.817291007426209</v>
      </c>
      <c r="I218">
        <f t="shared" si="35"/>
        <v>617.97163277886727</v>
      </c>
      <c r="J218">
        <f t="shared" si="29"/>
        <v>38.985816389433673</v>
      </c>
      <c r="K218">
        <f t="shared" si="30"/>
        <v>38.985816389433673</v>
      </c>
      <c r="L218" s="60">
        <f t="shared" si="31"/>
        <v>49.964698932192412</v>
      </c>
      <c r="M218">
        <f t="shared" si="32"/>
        <v>32.864546201144563</v>
      </c>
    </row>
    <row r="219" spans="2:13" x14ac:dyDescent="0.3">
      <c r="C219" s="16">
        <v>45035</v>
      </c>
      <c r="D219" s="57">
        <v>1.62916666666669</v>
      </c>
      <c r="E219" s="19">
        <f t="shared" si="33"/>
        <v>45.733333333333348</v>
      </c>
      <c r="F219" s="19">
        <f t="shared" si="34"/>
        <v>17.933333333333351</v>
      </c>
      <c r="G219" s="54">
        <f t="shared" si="28"/>
        <v>2.8243430463204557</v>
      </c>
      <c r="H219" s="87">
        <f t="shared" si="27"/>
        <v>2.8243430463204557</v>
      </c>
      <c r="I219">
        <f t="shared" si="35"/>
        <v>618.4423566199207</v>
      </c>
      <c r="J219">
        <f t="shared" si="29"/>
        <v>39.221178309960379</v>
      </c>
      <c r="K219">
        <f t="shared" si="30"/>
        <v>39.221178309960379</v>
      </c>
      <c r="L219" s="60">
        <f t="shared" si="31"/>
        <v>50.228081710417634</v>
      </c>
      <c r="M219">
        <f t="shared" si="32"/>
        <v>32.921817323031974</v>
      </c>
    </row>
    <row r="220" spans="2:13" x14ac:dyDescent="0.3">
      <c r="C220" s="16">
        <v>45035</v>
      </c>
      <c r="D220" s="57">
        <v>1.6326388888889101</v>
      </c>
      <c r="E220" s="19">
        <f t="shared" si="33"/>
        <v>45.816666666666684</v>
      </c>
      <c r="F220" s="19">
        <f t="shared" si="34"/>
        <v>18.016666666666683</v>
      </c>
      <c r="G220" s="54">
        <f t="shared" si="28"/>
        <v>2.8314127373679359</v>
      </c>
      <c r="H220" s="87">
        <f t="shared" si="27"/>
        <v>2.8314127373679359</v>
      </c>
      <c r="I220">
        <f t="shared" si="35"/>
        <v>618.91425874281538</v>
      </c>
      <c r="J220">
        <f t="shared" si="29"/>
        <v>39.45712937140771</v>
      </c>
      <c r="K220">
        <f t="shared" si="30"/>
        <v>39.45712937140771</v>
      </c>
      <c r="L220" s="60">
        <f t="shared" si="31"/>
        <v>50.491721624950635</v>
      </c>
      <c r="M220">
        <f t="shared" si="32"/>
        <v>32.979144357780982</v>
      </c>
    </row>
    <row r="221" spans="2:13" x14ac:dyDescent="0.3">
      <c r="C221" s="16">
        <v>45035</v>
      </c>
      <c r="D221" s="57">
        <v>1.6361111111111299</v>
      </c>
      <c r="E221" s="19">
        <f t="shared" si="33"/>
        <v>45.90000000000002</v>
      </c>
      <c r="F221" s="19">
        <f t="shared" si="34"/>
        <v>18.100000000000016</v>
      </c>
      <c r="G221" s="54">
        <f t="shared" si="28"/>
        <v>2.8385001247542414</v>
      </c>
      <c r="H221" s="87">
        <f t="shared" si="27"/>
        <v>2.8385001247542414</v>
      </c>
      <c r="I221">
        <f t="shared" si="35"/>
        <v>619.3873420969411</v>
      </c>
      <c r="J221">
        <f t="shared" si="29"/>
        <v>39.693671048470563</v>
      </c>
      <c r="K221">
        <f t="shared" si="30"/>
        <v>39.693671048470563</v>
      </c>
      <c r="L221" s="60">
        <f t="shared" si="31"/>
        <v>50.75561822745221</v>
      </c>
      <c r="M221">
        <f t="shared" si="32"/>
        <v>33.036527207902715</v>
      </c>
    </row>
    <row r="222" spans="2:13" x14ac:dyDescent="0.3">
      <c r="C222" s="16">
        <v>45035</v>
      </c>
      <c r="D222" s="57">
        <v>1.63958333333336</v>
      </c>
      <c r="E222" s="19">
        <f t="shared" si="33"/>
        <v>45.983333333333348</v>
      </c>
      <c r="F222" s="19">
        <f t="shared" si="34"/>
        <v>18.183333333333348</v>
      </c>
      <c r="G222" s="54">
        <f t="shared" si="28"/>
        <v>2.8456052527755662</v>
      </c>
      <c r="H222" s="87">
        <f t="shared" si="27"/>
        <v>2.8456052527755662</v>
      </c>
      <c r="I222">
        <f t="shared" si="35"/>
        <v>619.86160963907037</v>
      </c>
      <c r="J222">
        <f t="shared" si="29"/>
        <v>39.93080481953519</v>
      </c>
      <c r="K222">
        <f t="shared" si="30"/>
        <v>39.93080481953519</v>
      </c>
      <c r="L222" s="60">
        <f t="shared" si="31"/>
        <v>51.019771067103861</v>
      </c>
      <c r="M222">
        <f t="shared" si="32"/>
        <v>33.093965775369192</v>
      </c>
    </row>
    <row r="223" spans="2:13" x14ac:dyDescent="0.3">
      <c r="C223" s="16">
        <v>45035</v>
      </c>
      <c r="D223" s="57">
        <v>1.6430555555555799</v>
      </c>
      <c r="E223" s="19">
        <f t="shared" si="33"/>
        <v>46.066666666666677</v>
      </c>
      <c r="F223" s="19">
        <f t="shared" si="34"/>
        <v>18.26666666666668</v>
      </c>
      <c r="G223" s="54">
        <f t="shared" si="28"/>
        <v>2.8527281658389843</v>
      </c>
      <c r="H223" s="87">
        <f t="shared" si="27"/>
        <v>2.8527281658389843</v>
      </c>
      <c r="I223">
        <f t="shared" si="35"/>
        <v>620.33706433337682</v>
      </c>
      <c r="J223">
        <f t="shared" si="29"/>
        <v>40.168532166688436</v>
      </c>
      <c r="K223">
        <f t="shared" si="30"/>
        <v>40.168532166688436</v>
      </c>
      <c r="L223" s="60">
        <f t="shared" si="31"/>
        <v>51.284179690608156</v>
      </c>
      <c r="M223">
        <f t="shared" si="32"/>
        <v>33.151459961613405</v>
      </c>
    </row>
    <row r="224" spans="2:13" x14ac:dyDescent="0.3">
      <c r="C224" s="16">
        <v>45035</v>
      </c>
      <c r="D224" s="57">
        <v>1.6465277777778</v>
      </c>
      <c r="E224" s="19">
        <f t="shared" si="33"/>
        <v>46.150000000000013</v>
      </c>
      <c r="F224" s="19">
        <f t="shared" si="34"/>
        <v>18.350000000000012</v>
      </c>
      <c r="G224" s="54">
        <f t="shared" si="28"/>
        <v>2.8598689084627247</v>
      </c>
      <c r="H224" s="87">
        <f t="shared" si="27"/>
        <v>2.8598689084627247</v>
      </c>
      <c r="I224">
        <f t="shared" si="35"/>
        <v>620.81370915145396</v>
      </c>
      <c r="J224">
        <f t="shared" si="29"/>
        <v>40.406854575726996</v>
      </c>
      <c r="K224">
        <f t="shared" si="30"/>
        <v>40.406854575726996</v>
      </c>
      <c r="L224" s="60">
        <f t="shared" si="31"/>
        <v>51.548843642189141</v>
      </c>
      <c r="M224">
        <f t="shared" si="32"/>
        <v>33.209009667529401</v>
      </c>
    </row>
    <row r="225" spans="1:13" x14ac:dyDescent="0.3">
      <c r="C225" s="16">
        <v>45035</v>
      </c>
      <c r="D225" s="57">
        <v>1.6500000000000199</v>
      </c>
      <c r="E225" s="19">
        <f t="shared" si="33"/>
        <v>46.233333333333348</v>
      </c>
      <c r="F225" s="19">
        <f t="shared" si="34"/>
        <v>18.433333333333344</v>
      </c>
      <c r="G225" s="54">
        <f t="shared" si="28"/>
        <v>2.8670275252764523</v>
      </c>
      <c r="H225" s="87">
        <f t="shared" si="27"/>
        <v>2.8670275252764523</v>
      </c>
      <c r="I225">
        <f t="shared" si="35"/>
        <v>621.2915470723334</v>
      </c>
      <c r="J225">
        <f t="shared" si="29"/>
        <v>40.645773536166701</v>
      </c>
      <c r="K225">
        <f t="shared" si="30"/>
        <v>40.645773536166701</v>
      </c>
      <c r="L225" s="60">
        <f t="shared" si="31"/>
        <v>51.813762463592901</v>
      </c>
      <c r="M225">
        <f t="shared" si="32"/>
        <v>33.266614793472421</v>
      </c>
    </row>
    <row r="226" spans="1:13" x14ac:dyDescent="0.3">
      <c r="C226" s="16">
        <v>45035</v>
      </c>
      <c r="D226" s="57">
        <v>1.65347222222224</v>
      </c>
      <c r="E226" s="19">
        <f t="shared" si="33"/>
        <v>46.316666666666677</v>
      </c>
      <c r="F226" s="19">
        <f t="shared" si="34"/>
        <v>18.516666666666676</v>
      </c>
      <c r="G226" s="54">
        <f t="shared" si="28"/>
        <v>2.8742040610215462</v>
      </c>
      <c r="H226" s="87">
        <f t="shared" si="27"/>
        <v>2.8742040610215462</v>
      </c>
      <c r="I226">
        <f t="shared" si="35"/>
        <v>621.77058108250367</v>
      </c>
      <c r="J226">
        <f t="shared" si="29"/>
        <v>40.885290541251827</v>
      </c>
      <c r="K226">
        <f t="shared" si="30"/>
        <v>40.885290541251827</v>
      </c>
      <c r="L226" s="60">
        <f t="shared" si="31"/>
        <v>52.078935694088024</v>
      </c>
      <c r="M226">
        <f t="shared" si="32"/>
        <v>33.324275239258967</v>
      </c>
    </row>
    <row r="227" spans="1:13" x14ac:dyDescent="0.3">
      <c r="C227" s="16">
        <v>45035</v>
      </c>
      <c r="D227" s="57">
        <v>1.6569444444444701</v>
      </c>
      <c r="E227" s="19">
        <f t="shared" si="33"/>
        <v>46.400000000000006</v>
      </c>
      <c r="F227" s="19">
        <f t="shared" si="34"/>
        <v>18.600000000000009</v>
      </c>
      <c r="G227" s="54">
        <f t="shared" si="28"/>
        <v>2.8813985605513781</v>
      </c>
      <c r="H227" s="87">
        <f t="shared" si="27"/>
        <v>2.8813985605513781</v>
      </c>
      <c r="I227">
        <f t="shared" si="35"/>
        <v>622.25081417592889</v>
      </c>
      <c r="J227">
        <f t="shared" si="29"/>
        <v>41.12540708796444</v>
      </c>
      <c r="K227">
        <f t="shared" si="30"/>
        <v>41.12540708796444</v>
      </c>
      <c r="L227" s="60">
        <f t="shared" si="31"/>
        <v>52.344362870466185</v>
      </c>
      <c r="M227">
        <f t="shared" si="32"/>
        <v>33.381990904166976</v>
      </c>
    </row>
    <row r="228" spans="1:13" x14ac:dyDescent="0.3">
      <c r="C228" s="16">
        <v>45035</v>
      </c>
      <c r="D228" s="57">
        <v>1.66041666666669</v>
      </c>
      <c r="E228" s="19">
        <f t="shared" si="33"/>
        <v>46.483333333333341</v>
      </c>
      <c r="F228" s="19">
        <f t="shared" si="34"/>
        <v>18.683333333333341</v>
      </c>
      <c r="G228" s="54">
        <f t="shared" si="28"/>
        <v>2.888611068831592</v>
      </c>
      <c r="H228" s="87">
        <f t="shared" si="27"/>
        <v>2.888611068831592</v>
      </c>
      <c r="I228">
        <f t="shared" si="35"/>
        <v>622.73224935406745</v>
      </c>
      <c r="J228">
        <f t="shared" si="29"/>
        <v>41.366124677033739</v>
      </c>
      <c r="K228">
        <f t="shared" si="30"/>
        <v>41.366124677033739</v>
      </c>
      <c r="L228" s="60">
        <f t="shared" si="31"/>
        <v>52.610043527042762</v>
      </c>
      <c r="M228">
        <f t="shared" si="32"/>
        <v>33.439761686935903</v>
      </c>
    </row>
    <row r="229" spans="1:13" x14ac:dyDescent="0.3">
      <c r="C229" s="16">
        <v>45035</v>
      </c>
      <c r="D229" s="57">
        <v>1.6638888888889101</v>
      </c>
      <c r="E229" s="19">
        <f t="shared" si="33"/>
        <v>46.566666666666677</v>
      </c>
      <c r="F229" s="19">
        <f t="shared" si="34"/>
        <v>18.766666666666673</v>
      </c>
      <c r="G229" s="54">
        <f t="shared" si="28"/>
        <v>2.8958416309403896</v>
      </c>
      <c r="H229" s="87">
        <f t="shared" si="27"/>
        <v>2.8958416309403896</v>
      </c>
      <c r="I229">
        <f t="shared" si="35"/>
        <v>623.21488962589081</v>
      </c>
      <c r="J229">
        <f t="shared" si="29"/>
        <v>41.607444812945438</v>
      </c>
      <c r="K229">
        <f t="shared" si="30"/>
        <v>41.607444812945438</v>
      </c>
      <c r="L229" s="60">
        <f t="shared" si="31"/>
        <v>52.875977195657491</v>
      </c>
      <c r="M229">
        <f t="shared" si="32"/>
        <v>33.497587485766907</v>
      </c>
    </row>
    <row r="230" spans="1:13" x14ac:dyDescent="0.3">
      <c r="C230" s="16">
        <v>45035</v>
      </c>
      <c r="D230" s="57">
        <v>1.6673611111111299</v>
      </c>
      <c r="E230" s="19">
        <f t="shared" si="33"/>
        <v>46.650000000000006</v>
      </c>
      <c r="F230" s="19">
        <f t="shared" si="34"/>
        <v>18.850000000000005</v>
      </c>
      <c r="G230" s="54">
        <f t="shared" si="28"/>
        <v>2.9030902920688071</v>
      </c>
      <c r="H230" s="87">
        <f t="shared" si="27"/>
        <v>2.9030902920688071</v>
      </c>
      <c r="I230">
        <f t="shared" si="35"/>
        <v>623.69873800790231</v>
      </c>
      <c r="J230">
        <f t="shared" si="29"/>
        <v>41.849369003951175</v>
      </c>
      <c r="K230">
        <f t="shared" si="30"/>
        <v>41.849369003951175</v>
      </c>
      <c r="L230" s="60">
        <f t="shared" si="31"/>
        <v>53.142163405675191</v>
      </c>
      <c r="M230">
        <f t="shared" si="32"/>
        <v>33.555468198322977</v>
      </c>
    </row>
    <row r="231" spans="1:13" x14ac:dyDescent="0.3">
      <c r="A231" s="61"/>
      <c r="B231" s="61"/>
      <c r="C231" s="16">
        <v>45035</v>
      </c>
      <c r="D231" s="57">
        <v>1.67083333333336</v>
      </c>
      <c r="E231" s="19">
        <f t="shared" si="33"/>
        <v>46.733333333333334</v>
      </c>
      <c r="F231" s="19">
        <f t="shared" si="34"/>
        <v>18.933333333333337</v>
      </c>
      <c r="G231" s="54">
        <f t="shared" si="28"/>
        <v>2.9103570975209996</v>
      </c>
      <c r="H231" s="87">
        <f t="shared" si="27"/>
        <v>2.9103570975209996</v>
      </c>
      <c r="I231">
        <f t="shared" si="35"/>
        <v>624.18379752415581</v>
      </c>
      <c r="J231">
        <f t="shared" si="29"/>
        <v>42.091898762077925</v>
      </c>
      <c r="K231">
        <f t="shared" si="30"/>
        <v>42.091898762077925</v>
      </c>
      <c r="L231" s="60">
        <f t="shared" si="31"/>
        <v>53.408601683986525</v>
      </c>
      <c r="M231">
        <f t="shared" si="32"/>
        <v>33.613403721729121</v>
      </c>
    </row>
    <row r="232" spans="1:13" x14ac:dyDescent="0.3">
      <c r="C232" s="16">
        <v>45035</v>
      </c>
      <c r="D232" s="57">
        <v>1.6743055555555799</v>
      </c>
      <c r="E232" s="19">
        <f t="shared" si="33"/>
        <v>46.81666666666667</v>
      </c>
      <c r="F232" s="19">
        <f t="shared" si="34"/>
        <v>19.016666666666669</v>
      </c>
      <c r="G232" s="54">
        <f t="shared" si="28"/>
        <v>2.9176420927145261</v>
      </c>
      <c r="H232" s="87">
        <f t="shared" si="27"/>
        <v>2.9176420927145261</v>
      </c>
      <c r="I232">
        <f t="shared" si="35"/>
        <v>624.67007120627488</v>
      </c>
      <c r="J232">
        <f t="shared" si="29"/>
        <v>42.33503560313747</v>
      </c>
      <c r="K232">
        <f t="shared" si="30"/>
        <v>42.33503560313747</v>
      </c>
      <c r="L232" s="60">
        <f t="shared" si="31"/>
        <v>53.675291555008762</v>
      </c>
      <c r="M232">
        <f t="shared" si="32"/>
        <v>33.671393952572508</v>
      </c>
    </row>
    <row r="233" spans="1:13" x14ac:dyDescent="0.3">
      <c r="C233" s="16">
        <v>45035</v>
      </c>
      <c r="D233" s="57">
        <v>1.6777777777778</v>
      </c>
      <c r="E233" s="19">
        <f t="shared" si="33"/>
        <v>46.900000000000006</v>
      </c>
      <c r="F233" s="19">
        <f t="shared" si="34"/>
        <v>19.100000000000001</v>
      </c>
      <c r="G233" s="54">
        <f t="shared" si="28"/>
        <v>2.9249453231806299</v>
      </c>
      <c r="H233" s="87">
        <f t="shared" si="27"/>
        <v>2.9249453231806299</v>
      </c>
      <c r="I233">
        <f t="shared" si="35"/>
        <v>625.15756209347171</v>
      </c>
      <c r="J233">
        <f t="shared" si="29"/>
        <v>42.578781046735855</v>
      </c>
      <c r="K233">
        <f t="shared" si="30"/>
        <v>42.578781046735855</v>
      </c>
      <c r="L233" s="60">
        <f t="shared" si="31"/>
        <v>53.942232540686646</v>
      </c>
      <c r="M233">
        <f t="shared" si="32"/>
        <v>33.729438786902683</v>
      </c>
    </row>
    <row r="234" spans="1:13" x14ac:dyDescent="0.3">
      <c r="C234" s="16">
        <v>45035</v>
      </c>
      <c r="D234" s="57">
        <v>1.6812500000000199</v>
      </c>
      <c r="E234" s="19">
        <f t="shared" si="33"/>
        <v>46.983333333333334</v>
      </c>
      <c r="F234" s="19">
        <f t="shared" si="34"/>
        <v>19.183333333333334</v>
      </c>
      <c r="G234" s="54">
        <f t="shared" si="28"/>
        <v>2.9322668345645244</v>
      </c>
      <c r="H234" s="87">
        <f t="shared" si="27"/>
        <v>2.9322668345645244</v>
      </c>
      <c r="I234">
        <f t="shared" si="35"/>
        <v>625.64627323256582</v>
      </c>
      <c r="J234">
        <f t="shared" si="29"/>
        <v>42.823136616282902</v>
      </c>
      <c r="K234">
        <f t="shared" si="30"/>
        <v>42.823136616282902</v>
      </c>
      <c r="L234" s="60">
        <f t="shared" si="31"/>
        <v>54.209424160493327</v>
      </c>
      <c r="M234">
        <f t="shared" si="32"/>
        <v>33.787538120231758</v>
      </c>
    </row>
    <row r="235" spans="1:13" x14ac:dyDescent="0.3">
      <c r="C235" s="16">
        <v>45035</v>
      </c>
      <c r="D235" s="57">
        <v>1.68472222222225</v>
      </c>
      <c r="E235" s="19">
        <f t="shared" si="33"/>
        <v>47.066666666666663</v>
      </c>
      <c r="F235" s="19">
        <f t="shared" si="34"/>
        <v>19.266666666666666</v>
      </c>
      <c r="G235" s="54">
        <f t="shared" si="28"/>
        <v>2.93960667262568</v>
      </c>
      <c r="H235" s="87">
        <f t="shared" si="27"/>
        <v>2.93960667262568</v>
      </c>
      <c r="I235">
        <f t="shared" si="35"/>
        <v>626.13620767800342</v>
      </c>
      <c r="J235">
        <f t="shared" si="29"/>
        <v>43.068103839001708</v>
      </c>
      <c r="K235">
        <f t="shared" si="30"/>
        <v>43.068103839001708</v>
      </c>
      <c r="L235" s="60">
        <f t="shared" si="31"/>
        <v>54.476865931431206</v>
      </c>
      <c r="M235">
        <f t="shared" si="32"/>
        <v>33.845691847534589</v>
      </c>
    </row>
    <row r="236" spans="1:13" x14ac:dyDescent="0.3">
      <c r="C236" s="16">
        <v>45035</v>
      </c>
      <c r="D236" s="57">
        <v>1.6881944444444701</v>
      </c>
      <c r="E236" s="19">
        <f t="shared" si="33"/>
        <v>47.15</v>
      </c>
      <c r="F236" s="19">
        <f t="shared" si="34"/>
        <v>19.349999999999998</v>
      </c>
      <c r="G236" s="54">
        <f t="shared" si="28"/>
        <v>2.9469648832381088</v>
      </c>
      <c r="H236" s="87">
        <f t="shared" si="27"/>
        <v>2.9469648832381088</v>
      </c>
      <c r="I236">
        <f t="shared" si="35"/>
        <v>626.62736849187638</v>
      </c>
      <c r="J236">
        <f t="shared" si="29"/>
        <v>43.313684245938219</v>
      </c>
      <c r="K236">
        <f t="shared" si="30"/>
        <v>43.313684245938219</v>
      </c>
      <c r="L236" s="60">
        <f t="shared" si="31"/>
        <v>54.744557368033</v>
      </c>
      <c r="M236">
        <f t="shared" si="32"/>
        <v>33.903899863248995</v>
      </c>
    </row>
    <row r="237" spans="1:13" x14ac:dyDescent="0.3">
      <c r="C237" s="16">
        <v>45035</v>
      </c>
      <c r="D237" s="57">
        <v>1.69166666666669</v>
      </c>
      <c r="E237" s="19">
        <f t="shared" si="33"/>
        <v>47.233333333333334</v>
      </c>
      <c r="F237" s="19">
        <f t="shared" si="34"/>
        <v>19.43333333333333</v>
      </c>
      <c r="G237" s="54">
        <f t="shared" si="28"/>
        <v>2.9543415123906507</v>
      </c>
      <c r="H237" s="87">
        <f t="shared" si="27"/>
        <v>2.9543415123906507</v>
      </c>
      <c r="I237">
        <f t="shared" si="35"/>
        <v>627.11975874394147</v>
      </c>
      <c r="J237">
        <f t="shared" si="29"/>
        <v>43.559879371970773</v>
      </c>
      <c r="K237">
        <f t="shared" si="30"/>
        <v>43.559879371970773</v>
      </c>
      <c r="L237" s="60">
        <f t="shared" si="31"/>
        <v>55.012497982362703</v>
      </c>
      <c r="M237">
        <f t="shared" si="32"/>
        <v>33.962162061276025</v>
      </c>
    </row>
    <row r="238" spans="1:13" x14ac:dyDescent="0.3">
      <c r="C238" s="16">
        <v>45035</v>
      </c>
      <c r="D238" s="57">
        <v>1.6951388888889101</v>
      </c>
      <c r="E238" s="19">
        <f t="shared" si="33"/>
        <v>47.316666666666663</v>
      </c>
      <c r="F238" s="19">
        <f t="shared" si="34"/>
        <v>19.516666666666662</v>
      </c>
      <c r="G238" s="54">
        <f t="shared" si="28"/>
        <v>2.9617366061872619</v>
      </c>
      <c r="H238" s="87">
        <f t="shared" si="27"/>
        <v>2.9617366061872619</v>
      </c>
      <c r="I238">
        <f t="shared" si="35"/>
        <v>627.61338151163932</v>
      </c>
      <c r="J238">
        <f t="shared" si="29"/>
        <v>43.806690755819709</v>
      </c>
      <c r="K238">
        <f t="shared" si="30"/>
        <v>43.806690755819709</v>
      </c>
      <c r="L238" s="60">
        <f t="shared" si="31"/>
        <v>55.280687284016736</v>
      </c>
      <c r="M238">
        <f t="shared" si="32"/>
        <v>34.020478334980126</v>
      </c>
    </row>
    <row r="239" spans="1:13" x14ac:dyDescent="0.3">
      <c r="C239" s="16">
        <v>45035</v>
      </c>
      <c r="D239" s="57">
        <v>1.6986111111111299</v>
      </c>
      <c r="E239" s="19">
        <f t="shared" si="33"/>
        <v>47.399999999999991</v>
      </c>
      <c r="F239" s="19">
        <f t="shared" si="34"/>
        <v>19.599999999999994</v>
      </c>
      <c r="G239" s="54">
        <f t="shared" si="28"/>
        <v>2.9691502108473031</v>
      </c>
      <c r="H239" s="87">
        <f t="shared" si="27"/>
        <v>2.9691502108473031</v>
      </c>
      <c r="I239">
        <f t="shared" si="35"/>
        <v>628.10823988011384</v>
      </c>
      <c r="J239">
        <f t="shared" si="29"/>
        <v>44.054119940056985</v>
      </c>
      <c r="K239">
        <f t="shared" si="30"/>
        <v>44.054119940056985</v>
      </c>
      <c r="L239" s="60">
        <f t="shared" si="31"/>
        <v>55.549124780125027</v>
      </c>
      <c r="M239">
        <f t="shared" si="32"/>
        <v>34.078848577189454</v>
      </c>
    </row>
    <row r="240" spans="1:13" x14ac:dyDescent="0.3">
      <c r="C240" s="16">
        <v>45035</v>
      </c>
      <c r="D240" s="57">
        <v>1.70208333333336</v>
      </c>
      <c r="E240" s="19">
        <f t="shared" si="33"/>
        <v>47.483333333333327</v>
      </c>
      <c r="F240" s="19">
        <f t="shared" si="34"/>
        <v>19.683333333333326</v>
      </c>
      <c r="G240" s="54">
        <f t="shared" si="28"/>
        <v>2.9765823727058272</v>
      </c>
      <c r="H240" s="87">
        <f t="shared" si="27"/>
        <v>2.9765823727058272</v>
      </c>
      <c r="I240">
        <f t="shared" si="35"/>
        <v>628.6043369422315</v>
      </c>
      <c r="J240">
        <f t="shared" si="29"/>
        <v>44.302168471115806</v>
      </c>
      <c r="K240">
        <f t="shared" si="30"/>
        <v>44.302168471115806</v>
      </c>
      <c r="L240" s="60">
        <f t="shared" si="31"/>
        <v>55.817809975352176</v>
      </c>
      <c r="M240">
        <f t="shared" si="32"/>
        <v>34.137272680196062</v>
      </c>
    </row>
    <row r="241" spans="2:13" x14ac:dyDescent="0.3">
      <c r="C241" s="16">
        <v>45035</v>
      </c>
      <c r="D241" s="57">
        <v>1.7055555555555799</v>
      </c>
      <c r="E241" s="19">
        <f t="shared" si="33"/>
        <v>47.566666666666663</v>
      </c>
      <c r="F241" s="19">
        <f t="shared" si="34"/>
        <v>19.766666666666659</v>
      </c>
      <c r="G241" s="54">
        <f t="shared" si="28"/>
        <v>2.9840331382138698</v>
      </c>
      <c r="H241" s="87">
        <f t="shared" si="27"/>
        <v>2.9840331382138698</v>
      </c>
      <c r="I241">
        <f t="shared" si="35"/>
        <v>629.10167579860047</v>
      </c>
      <c r="J241">
        <f t="shared" si="29"/>
        <v>44.550837899300298</v>
      </c>
      <c r="K241">
        <f t="shared" si="30"/>
        <v>44.550837899300298</v>
      </c>
      <c r="L241" s="60">
        <f t="shared" si="31"/>
        <v>56.086742371898701</v>
      </c>
      <c r="M241">
        <f t="shared" si="32"/>
        <v>34.195750535756233</v>
      </c>
    </row>
    <row r="242" spans="2:13" x14ac:dyDescent="0.3">
      <c r="C242" s="16">
        <v>45035</v>
      </c>
      <c r="D242" s="57">
        <v>1.7090277777778</v>
      </c>
      <c r="E242" s="19">
        <f t="shared" si="33"/>
        <v>47.649999999999991</v>
      </c>
      <c r="F242" s="19">
        <f t="shared" si="34"/>
        <v>19.849999999999991</v>
      </c>
      <c r="G242" s="54">
        <f t="shared" si="28"/>
        <v>2.9915025539387403</v>
      </c>
      <c r="H242" s="87">
        <f t="shared" si="27"/>
        <v>2.9915025539387403</v>
      </c>
      <c r="I242">
        <f t="shared" si="35"/>
        <v>629.60025955759022</v>
      </c>
      <c r="J242">
        <f t="shared" si="29"/>
        <v>44.800129778795196</v>
      </c>
      <c r="K242">
        <f t="shared" si="30"/>
        <v>44.800129778795196</v>
      </c>
      <c r="L242" s="60">
        <f t="shared" si="31"/>
        <v>56.355921469502277</v>
      </c>
      <c r="M242">
        <f t="shared" si="32"/>
        <v>34.254282035090696</v>
      </c>
    </row>
    <row r="243" spans="2:13" x14ac:dyDescent="0.3">
      <c r="C243" s="16">
        <v>45035</v>
      </c>
      <c r="D243" s="57">
        <v>1.7125000000000199</v>
      </c>
      <c r="E243" s="19">
        <f t="shared" si="33"/>
        <v>47.73333333333332</v>
      </c>
      <c r="F243" s="19">
        <f t="shared" si="34"/>
        <v>19.933333333333323</v>
      </c>
      <c r="G243" s="54">
        <f t="shared" si="28"/>
        <v>2.9989906665643109</v>
      </c>
      <c r="H243" s="87">
        <f t="shared" si="27"/>
        <v>2.9989906665643109</v>
      </c>
      <c r="I243">
        <f t="shared" si="35"/>
        <v>630.10009133535095</v>
      </c>
      <c r="J243">
        <f t="shared" si="29"/>
        <v>45.050045667675555</v>
      </c>
      <c r="K243">
        <f t="shared" si="30"/>
        <v>45.050045667675555</v>
      </c>
      <c r="L243" s="60">
        <f t="shared" si="31"/>
        <v>56.625346765439026</v>
      </c>
      <c r="M243">
        <f t="shared" si="32"/>
        <v>34.312867068884948</v>
      </c>
    </row>
    <row r="244" spans="2:13" x14ac:dyDescent="0.3">
      <c r="C244" s="16">
        <v>45035</v>
      </c>
      <c r="D244" s="57">
        <v>1.71597222222225</v>
      </c>
      <c r="E244" s="19">
        <f t="shared" si="33"/>
        <v>47.816666666666656</v>
      </c>
      <c r="F244" s="19">
        <f t="shared" si="34"/>
        <v>20.016666666666655</v>
      </c>
      <c r="G244" s="54">
        <f t="shared" si="28"/>
        <v>3.0064975228913093</v>
      </c>
      <c r="H244" s="87">
        <f t="shared" si="27"/>
        <v>3.0064975228913093</v>
      </c>
      <c r="I244">
        <f t="shared" si="35"/>
        <v>630.6011742558328</v>
      </c>
      <c r="J244">
        <f t="shared" si="29"/>
        <v>45.300587127916501</v>
      </c>
      <c r="K244">
        <f t="shared" si="30"/>
        <v>45.300587127916501</v>
      </c>
      <c r="L244" s="60">
        <f t="shared" si="31"/>
        <v>56.895017754524929</v>
      </c>
      <c r="M244">
        <f t="shared" si="32"/>
        <v>34.371505527289521</v>
      </c>
    </row>
    <row r="245" spans="2:13" x14ac:dyDescent="0.3">
      <c r="C245" s="16">
        <v>45035</v>
      </c>
      <c r="D245" s="57">
        <v>1.7194444444444701</v>
      </c>
      <c r="E245" s="19">
        <f t="shared" si="33"/>
        <v>47.899999999999991</v>
      </c>
      <c r="F245" s="19">
        <f t="shared" si="34"/>
        <v>20.099999999999987</v>
      </c>
      <c r="G245" s="54">
        <f t="shared" si="28"/>
        <v>3.0140231698376132</v>
      </c>
      <c r="H245" s="87">
        <f t="shared" si="27"/>
        <v>3.0140231698376132</v>
      </c>
      <c r="I245">
        <f t="shared" si="35"/>
        <v>631.10351145080574</v>
      </c>
      <c r="J245">
        <f t="shared" si="29"/>
        <v>45.55175572540297</v>
      </c>
      <c r="K245">
        <f t="shared" si="30"/>
        <v>45.55175572540297</v>
      </c>
      <c r="L245" s="60">
        <f t="shared" si="31"/>
        <v>57.164933929117169</v>
      </c>
      <c r="M245">
        <f t="shared" si="32"/>
        <v>34.430197299920302</v>
      </c>
    </row>
    <row r="246" spans="2:13" x14ac:dyDescent="0.3">
      <c r="C246" s="16">
        <v>45035</v>
      </c>
      <c r="D246" s="57">
        <v>1.72291666666669</v>
      </c>
      <c r="E246" s="19">
        <f t="shared" si="33"/>
        <v>47.98333333333332</v>
      </c>
      <c r="F246" s="19">
        <f t="shared" si="34"/>
        <v>20.183333333333319</v>
      </c>
      <c r="G246" s="54">
        <f t="shared" si="28"/>
        <v>3.0215676544385399</v>
      </c>
      <c r="H246" s="87">
        <f t="shared" si="27"/>
        <v>3.0215676544385399</v>
      </c>
      <c r="I246">
        <f t="shared" si="35"/>
        <v>631.60710605987879</v>
      </c>
      <c r="J246">
        <f t="shared" si="29"/>
        <v>45.803553029939515</v>
      </c>
      <c r="K246">
        <f t="shared" si="30"/>
        <v>45.803553029939515</v>
      </c>
      <c r="L246" s="60">
        <f t="shared" si="31"/>
        <v>57.435094779115651</v>
      </c>
      <c r="M246">
        <f t="shared" si="32"/>
        <v>34.488942275858861</v>
      </c>
    </row>
    <row r="247" spans="2:13" x14ac:dyDescent="0.3">
      <c r="C247" s="16">
        <v>45035</v>
      </c>
      <c r="D247" s="57">
        <v>1.7263888888889101</v>
      </c>
      <c r="E247" s="19">
        <f t="shared" si="33"/>
        <v>48.066666666666649</v>
      </c>
      <c r="F247" s="19">
        <f t="shared" si="34"/>
        <v>20.266666666666652</v>
      </c>
      <c r="G247" s="54">
        <f t="shared" si="28"/>
        <v>3.0291310238471425</v>
      </c>
      <c r="H247" s="87">
        <f t="shared" si="27"/>
        <v>3.0291310238471425</v>
      </c>
      <c r="I247">
        <f t="shared" si="35"/>
        <v>632.11196123052002</v>
      </c>
      <c r="J247">
        <f t="shared" si="29"/>
        <v>46.055980615260111</v>
      </c>
      <c r="K247">
        <f t="shared" si="30"/>
        <v>46.055980615260111</v>
      </c>
      <c r="L247" s="60">
        <f t="shared" si="31"/>
        <v>57.705499791964435</v>
      </c>
      <c r="M247">
        <f t="shared" si="32"/>
        <v>34.547740343652755</v>
      </c>
    </row>
    <row r="248" spans="2:13" x14ac:dyDescent="0.3">
      <c r="B248" s="61"/>
      <c r="C248" s="16">
        <v>45035</v>
      </c>
      <c r="D248" s="57">
        <v>1.7298611111111399</v>
      </c>
      <c r="E248" s="19">
        <f t="shared" si="33"/>
        <v>48.149999999999984</v>
      </c>
      <c r="F248" s="19">
        <f t="shared" si="34"/>
        <v>20.349999999999984</v>
      </c>
      <c r="G248" s="54">
        <f t="shared" si="28"/>
        <v>3.036713325334504</v>
      </c>
      <c r="H248" s="87">
        <f t="shared" si="27"/>
        <v>3.036713325334504</v>
      </c>
      <c r="I248">
        <f t="shared" si="35"/>
        <v>632.6180801180758</v>
      </c>
      <c r="J248">
        <f t="shared" si="29"/>
        <v>46.30904005903799</v>
      </c>
      <c r="K248">
        <f t="shared" si="30"/>
        <v>46.30904005903799</v>
      </c>
      <c r="L248" s="60">
        <f t="shared" si="31"/>
        <v>57.976148452653298</v>
      </c>
      <c r="M248">
        <f t="shared" si="32"/>
        <v>34.606591391315874</v>
      </c>
    </row>
    <row r="249" spans="2:13" x14ac:dyDescent="0.3">
      <c r="C249" s="16">
        <v>45035</v>
      </c>
      <c r="D249" s="57">
        <v>1.73333333333336</v>
      </c>
      <c r="E249" s="19">
        <f t="shared" si="33"/>
        <v>48.23333333333332</v>
      </c>
      <c r="F249" s="19">
        <f t="shared" si="34"/>
        <v>20.433333333333316</v>
      </c>
      <c r="G249" s="54">
        <f t="shared" si="28"/>
        <v>3.0443146062900346</v>
      </c>
      <c r="H249" s="87">
        <f t="shared" si="27"/>
        <v>3.0443146062900346</v>
      </c>
      <c r="I249">
        <f t="shared" si="35"/>
        <v>633.12546588579085</v>
      </c>
      <c r="J249">
        <f t="shared" si="29"/>
        <v>46.562732942895494</v>
      </c>
      <c r="K249">
        <f t="shared" si="30"/>
        <v>46.562732942895494</v>
      </c>
      <c r="L249" s="60">
        <f t="shared" si="31"/>
        <v>58.24704024371934</v>
      </c>
      <c r="M249">
        <f t="shared" si="32"/>
        <v>34.665495306328786</v>
      </c>
    </row>
    <row r="250" spans="2:13" x14ac:dyDescent="0.3">
      <c r="C250" s="16">
        <v>45035</v>
      </c>
      <c r="D250" s="57">
        <v>1.7368055555555799</v>
      </c>
      <c r="E250" s="19">
        <f t="shared" si="33"/>
        <v>48.316666666666649</v>
      </c>
      <c r="F250" s="19">
        <f t="shared" si="34"/>
        <v>20.516666666666648</v>
      </c>
      <c r="G250" s="54">
        <f t="shared" si="28"/>
        <v>3.0519349142217642</v>
      </c>
      <c r="H250" s="87">
        <f t="shared" si="27"/>
        <v>3.0519349142217642</v>
      </c>
      <c r="I250">
        <f t="shared" si="35"/>
        <v>633.63412170482786</v>
      </c>
      <c r="J250">
        <f t="shared" si="29"/>
        <v>46.817060852413974</v>
      </c>
      <c r="K250">
        <f t="shared" si="30"/>
        <v>46.817060852413974</v>
      </c>
      <c r="L250" s="60">
        <f t="shared" si="31"/>
        <v>58.518174645248635</v>
      </c>
      <c r="M250">
        <f t="shared" si="32"/>
        <v>34.724451975639106</v>
      </c>
    </row>
    <row r="251" spans="2:13" x14ac:dyDescent="0.3">
      <c r="C251" s="16">
        <v>45035</v>
      </c>
      <c r="D251" s="57">
        <v>1.7402777777778</v>
      </c>
      <c r="E251" s="19">
        <f t="shared" si="33"/>
        <v>48.399999999999977</v>
      </c>
      <c r="F251" s="19">
        <f t="shared" si="34"/>
        <v>20.59999999999998</v>
      </c>
      <c r="G251" s="54">
        <f t="shared" si="28"/>
        <v>3.0595742967566424</v>
      </c>
      <c r="H251" s="87">
        <f t="shared" si="27"/>
        <v>3.0595742967566424</v>
      </c>
      <c r="I251">
        <f t="shared" si="35"/>
        <v>634.14405075428726</v>
      </c>
      <c r="J251">
        <f t="shared" si="29"/>
        <v>47.072025377143696</v>
      </c>
      <c r="K251">
        <f t="shared" si="30"/>
        <v>47.072025377143696</v>
      </c>
      <c r="L251" s="60">
        <f t="shared" si="31"/>
        <v>58.789551134877911</v>
      </c>
      <c r="M251">
        <f t="shared" si="32"/>
        <v>34.783461285661822</v>
      </c>
    </row>
    <row r="252" spans="2:13" x14ac:dyDescent="0.3">
      <c r="C252" s="16">
        <v>45035</v>
      </c>
      <c r="D252" s="57">
        <v>1.7437500000000199</v>
      </c>
      <c r="E252" s="19">
        <f t="shared" si="33"/>
        <v>48.483333333333313</v>
      </c>
      <c r="F252" s="19">
        <f t="shared" si="34"/>
        <v>20.683333333333312</v>
      </c>
      <c r="G252" s="54">
        <f t="shared" si="28"/>
        <v>3.0672328016408352</v>
      </c>
      <c r="H252" s="87">
        <f t="shared" si="27"/>
        <v>3.0672328016408352</v>
      </c>
      <c r="I252">
        <f t="shared" si="35"/>
        <v>634.65525622122743</v>
      </c>
      <c r="J252">
        <f t="shared" si="29"/>
        <v>47.327628110613766</v>
      </c>
      <c r="K252">
        <f t="shared" si="30"/>
        <v>47.327628110613766</v>
      </c>
      <c r="L252" s="60">
        <f t="shared" si="31"/>
        <v>59.061169187796224</v>
      </c>
      <c r="M252">
        <f t="shared" si="32"/>
        <v>34.842523122279729</v>
      </c>
    </row>
    <row r="253" spans="2:13" x14ac:dyDescent="0.3">
      <c r="C253" s="16">
        <v>45035</v>
      </c>
      <c r="D253" s="57">
        <v>1.74722222222225</v>
      </c>
      <c r="E253" s="19">
        <f t="shared" si="33"/>
        <v>48.566666666666649</v>
      </c>
      <c r="F253" s="19">
        <f t="shared" si="34"/>
        <v>20.766666666666644</v>
      </c>
      <c r="G253" s="54">
        <f t="shared" si="28"/>
        <v>3.0749104767400222</v>
      </c>
      <c r="H253" s="87">
        <f t="shared" si="27"/>
        <v>3.0749104767400222</v>
      </c>
      <c r="I253">
        <f t="shared" si="35"/>
        <v>635.16774130068416</v>
      </c>
      <c r="J253">
        <f t="shared" si="29"/>
        <v>47.583870650342099</v>
      </c>
      <c r="K253">
        <f t="shared" si="30"/>
        <v>47.583870650342099</v>
      </c>
      <c r="L253" s="60">
        <f t="shared" si="31"/>
        <v>59.333028276746845</v>
      </c>
      <c r="M253">
        <f t="shared" si="32"/>
        <v>34.901637370843765</v>
      </c>
    </row>
    <row r="254" spans="2:13" x14ac:dyDescent="0.3">
      <c r="C254" s="16">
        <v>45035</v>
      </c>
      <c r="D254" s="57">
        <v>1.7506944444444701</v>
      </c>
      <c r="E254" s="19">
        <f t="shared" si="33"/>
        <v>48.649999999999977</v>
      </c>
      <c r="F254" s="19">
        <f t="shared" si="34"/>
        <v>20.849999999999977</v>
      </c>
      <c r="G254" s="54">
        <f t="shared" si="28"/>
        <v>3.0826073700396988</v>
      </c>
      <c r="H254" s="87">
        <f t="shared" si="27"/>
        <v>3.0826073700396988</v>
      </c>
      <c r="I254">
        <f t="shared" si="35"/>
        <v>635.68150919569075</v>
      </c>
      <c r="J254">
        <f t="shared" si="29"/>
        <v>47.840754597845411</v>
      </c>
      <c r="K254">
        <f t="shared" si="30"/>
        <v>47.840754597845411</v>
      </c>
      <c r="L254" s="60">
        <f t="shared" si="31"/>
        <v>59.605127872029023</v>
      </c>
      <c r="M254">
        <f t="shared" si="32"/>
        <v>34.960803916173454</v>
      </c>
    </row>
    <row r="255" spans="2:13" x14ac:dyDescent="0.3">
      <c r="C255" s="16">
        <v>45035</v>
      </c>
      <c r="D255" s="57">
        <v>1.75416666666669</v>
      </c>
      <c r="E255" s="19">
        <f t="shared" si="33"/>
        <v>48.733333333333306</v>
      </c>
      <c r="F255" s="19">
        <f t="shared" si="34"/>
        <v>20.933333333333309</v>
      </c>
      <c r="G255" s="54">
        <f t="shared" si="28"/>
        <v>3.0903235296454725</v>
      </c>
      <c r="H255" s="87">
        <f t="shared" si="27"/>
        <v>3.0903235296454725</v>
      </c>
      <c r="I255">
        <f t="shared" si="35"/>
        <v>636.1965631172983</v>
      </c>
      <c r="J255">
        <f t="shared" si="29"/>
        <v>48.098281558649198</v>
      </c>
      <c r="K255">
        <f t="shared" si="30"/>
        <v>48.098281558649198</v>
      </c>
      <c r="L255" s="60">
        <f t="shared" si="31"/>
        <v>59.877467441499867</v>
      </c>
      <c r="M255">
        <f t="shared" si="32"/>
        <v>35.020022642557279</v>
      </c>
    </row>
    <row r="256" spans="2:13" x14ac:dyDescent="0.3">
      <c r="C256" s="16">
        <v>45035</v>
      </c>
      <c r="D256" s="57">
        <v>1.7576388888889101</v>
      </c>
      <c r="E256" s="19">
        <f t="shared" si="33"/>
        <v>48.816666666666642</v>
      </c>
      <c r="F256" s="19">
        <f t="shared" si="34"/>
        <v>21.016666666666641</v>
      </c>
      <c r="G256" s="54">
        <f t="shared" si="28"/>
        <v>3.0980590037833662</v>
      </c>
      <c r="H256" s="87">
        <f t="shared" si="27"/>
        <v>3.0980590037833662</v>
      </c>
      <c r="I256">
        <f t="shared" si="35"/>
        <v>636.71290628459553</v>
      </c>
      <c r="J256">
        <f t="shared" si="29"/>
        <v>48.356453142297809</v>
      </c>
      <c r="K256">
        <f t="shared" si="30"/>
        <v>48.356453142297809</v>
      </c>
      <c r="L256" s="60">
        <f t="shared" si="31"/>
        <v>60.150046450576284</v>
      </c>
      <c r="M256">
        <f t="shared" si="32"/>
        <v>35.079293433753122</v>
      </c>
    </row>
    <row r="257" spans="1:13" x14ac:dyDescent="0.3">
      <c r="C257" s="16">
        <v>45035</v>
      </c>
      <c r="D257" s="57">
        <v>1.7611111111111399</v>
      </c>
      <c r="E257" s="19">
        <f t="shared" si="33"/>
        <v>48.899999999999977</v>
      </c>
      <c r="F257" s="19">
        <f t="shared" si="34"/>
        <v>21.099999999999973</v>
      </c>
      <c r="G257" s="54">
        <f t="shared" si="28"/>
        <v>3.1058138408001179</v>
      </c>
      <c r="H257" s="87">
        <f t="shared" si="27"/>
        <v>3.1058138408001179</v>
      </c>
      <c r="I257">
        <f t="shared" si="35"/>
        <v>637.23054192472887</v>
      </c>
      <c r="J257">
        <f t="shared" si="29"/>
        <v>48.615270962364484</v>
      </c>
      <c r="K257">
        <f t="shared" si="30"/>
        <v>48.615270962364484</v>
      </c>
      <c r="L257" s="60">
        <f t="shared" si="31"/>
        <v>60.422864362236979</v>
      </c>
      <c r="M257">
        <f t="shared" si="32"/>
        <v>35.138616172988677</v>
      </c>
    </row>
    <row r="258" spans="1:13" x14ac:dyDescent="0.3">
      <c r="C258" s="16">
        <v>45035</v>
      </c>
      <c r="D258" s="57">
        <v>1.76458333333336</v>
      </c>
      <c r="E258" s="19">
        <f t="shared" si="33"/>
        <v>48.983333333333306</v>
      </c>
      <c r="F258" s="19">
        <f t="shared" si="34"/>
        <v>21.183333333333305</v>
      </c>
      <c r="G258" s="54">
        <f t="shared" si="28"/>
        <v>3.1135880891634851</v>
      </c>
      <c r="H258" s="87">
        <f t="shared" si="27"/>
        <v>3.1135880891634851</v>
      </c>
      <c r="I258">
        <f t="shared" si="35"/>
        <v>637.74947327292273</v>
      </c>
      <c r="J258">
        <f t="shared" si="29"/>
        <v>48.874736636461442</v>
      </c>
      <c r="K258">
        <f t="shared" si="30"/>
        <v>48.874736636461442</v>
      </c>
      <c r="L258" s="60">
        <f t="shared" si="31"/>
        <v>60.695920637024422</v>
      </c>
      <c r="M258">
        <f t="shared" si="32"/>
        <v>35.197990742961906</v>
      </c>
    </row>
    <row r="259" spans="1:13" x14ac:dyDescent="0.3">
      <c r="C259" s="16">
        <v>45035</v>
      </c>
      <c r="D259" s="57">
        <v>1.7680555555555799</v>
      </c>
      <c r="E259" s="19">
        <f t="shared" si="33"/>
        <v>49.066666666666634</v>
      </c>
      <c r="F259" s="19">
        <f t="shared" si="34"/>
        <v>21.266666666666637</v>
      </c>
      <c r="G259" s="54">
        <f t="shared" si="28"/>
        <v>3.1213817974625453</v>
      </c>
      <c r="H259" s="87">
        <f t="shared" si="27"/>
        <v>3.1213817974625453</v>
      </c>
      <c r="I259">
        <f t="shared" si="35"/>
        <v>638.26970357249979</v>
      </c>
      <c r="J259">
        <f t="shared" si="29"/>
        <v>49.134851786249989</v>
      </c>
      <c r="K259">
        <f t="shared" si="30"/>
        <v>49.134851786249989</v>
      </c>
      <c r="L259" s="60">
        <f t="shared" si="31"/>
        <v>60.969214733046968</v>
      </c>
      <c r="M259">
        <f t="shared" si="32"/>
        <v>35.257417025841477</v>
      </c>
    </row>
    <row r="260" spans="1:13" x14ac:dyDescent="0.3">
      <c r="C260" s="16">
        <v>45035</v>
      </c>
      <c r="D260" s="57">
        <v>1.7715277777778</v>
      </c>
      <c r="E260" s="19">
        <f t="shared" si="33"/>
        <v>49.14999999999997</v>
      </c>
      <c r="F260" s="19">
        <f t="shared" si="34"/>
        <v>21.349999999999969</v>
      </c>
      <c r="G260" s="54">
        <f t="shared" si="28"/>
        <v>3.1291950144079994</v>
      </c>
      <c r="H260" s="87">
        <f t="shared" ref="H260:H323" si="36">G260</f>
        <v>3.1291950144079994</v>
      </c>
      <c r="I260">
        <f t="shared" si="35"/>
        <v>638.79123607490112</v>
      </c>
      <c r="J260">
        <f t="shared" si="29"/>
        <v>49.395618037450653</v>
      </c>
      <c r="K260">
        <f t="shared" si="30"/>
        <v>49.395618037450653</v>
      </c>
      <c r="L260" s="60">
        <f t="shared" si="31"/>
        <v>61.242746105980956</v>
      </c>
      <c r="M260">
        <f t="shared" si="32"/>
        <v>35.316894903267233</v>
      </c>
    </row>
    <row r="261" spans="1:13" x14ac:dyDescent="0.3">
      <c r="C261" s="16">
        <v>45035</v>
      </c>
      <c r="D261" s="57">
        <v>1.7750000000000301</v>
      </c>
      <c r="E261" s="19">
        <f t="shared" si="33"/>
        <v>49.233333333333306</v>
      </c>
      <c r="F261" s="19">
        <f t="shared" si="34"/>
        <v>21.433333333333302</v>
      </c>
      <c r="G261" s="54">
        <f t="shared" ref="G261:G324" si="37">$G$4*EXP($T$1*F261)</f>
        <v>3.1370277888324805</v>
      </c>
      <c r="H261" s="87">
        <f t="shared" si="36"/>
        <v>3.1370277888324805</v>
      </c>
      <c r="I261">
        <f t="shared" si="35"/>
        <v>639.3140740397065</v>
      </c>
      <c r="J261">
        <f t="shared" ref="J261:J297" si="38">J260+G261*5/60</f>
        <v>49.657037019853362</v>
      </c>
      <c r="K261">
        <f t="shared" ref="K261:K324" si="39">J261</f>
        <v>49.657037019853362</v>
      </c>
      <c r="L261" s="60">
        <f t="shared" ref="L261:L297" si="40">((L260*I260/1000)+(G261*$T$7/1000*5/60))/(I261/1000)</f>
        <v>61.516514209072852</v>
      </c>
      <c r="M261">
        <f t="shared" ref="M261:M297" si="41">(M260*I260+G261*$T$7*$T$6*(5/60))/I261</f>
        <v>35.37642425635066</v>
      </c>
    </row>
    <row r="262" spans="1:13" x14ac:dyDescent="0.3">
      <c r="C262" s="16">
        <v>45035</v>
      </c>
      <c r="D262" s="57">
        <v>1.77847222222225</v>
      </c>
      <c r="E262" s="19">
        <f t="shared" ref="E262:E325" si="42">$E$3+F262</f>
        <v>49.316666666666634</v>
      </c>
      <c r="F262" s="19">
        <f t="shared" ref="F262:F325" si="43">F261+5/60</f>
        <v>21.516666666666634</v>
      </c>
      <c r="G262" s="54">
        <f t="shared" si="37"/>
        <v>3.1448801696908535</v>
      </c>
      <c r="H262" s="87">
        <f t="shared" si="36"/>
        <v>3.1448801696908535</v>
      </c>
      <c r="I262">
        <f t="shared" ref="I262:I325" si="44">I261+(G262+H262)*5/60</f>
        <v>639.83822073465501</v>
      </c>
      <c r="J262">
        <f t="shared" si="38"/>
        <v>49.919110367327598</v>
      </c>
      <c r="K262">
        <f t="shared" si="39"/>
        <v>49.919110367327598</v>
      </c>
      <c r="L262" s="60">
        <f t="shared" si="40"/>
        <v>61.790518493141505</v>
      </c>
      <c r="M262">
        <f t="shared" si="41"/>
        <v>35.436004965675359</v>
      </c>
    </row>
    <row r="263" spans="1:13" x14ac:dyDescent="0.3">
      <c r="C263" s="16">
        <v>45035</v>
      </c>
      <c r="D263" s="57">
        <v>1.7819444444444701</v>
      </c>
      <c r="E263" s="19">
        <f t="shared" si="42"/>
        <v>49.399999999999963</v>
      </c>
      <c r="F263" s="19">
        <f t="shared" si="43"/>
        <v>21.599999999999966</v>
      </c>
      <c r="G263" s="54">
        <f t="shared" si="37"/>
        <v>3.1527522060605238</v>
      </c>
      <c r="H263" s="87">
        <f t="shared" si="36"/>
        <v>3.1527522060605238</v>
      </c>
      <c r="I263">
        <f t="shared" si="44"/>
        <v>640.36367943566506</v>
      </c>
      <c r="J263">
        <f t="shared" si="38"/>
        <v>50.181839717832638</v>
      </c>
      <c r="K263">
        <f t="shared" si="39"/>
        <v>50.181839717832638</v>
      </c>
      <c r="L263" s="60">
        <f t="shared" si="40"/>
        <v>62.064758406580403</v>
      </c>
      <c r="M263">
        <f t="shared" si="41"/>
        <v>35.495636911297574</v>
      </c>
    </row>
    <row r="264" spans="1:13" x14ac:dyDescent="0.3">
      <c r="C264" s="16">
        <v>45035</v>
      </c>
      <c r="D264" s="57">
        <v>1.78541666666669</v>
      </c>
      <c r="E264" s="19">
        <f t="shared" si="42"/>
        <v>49.483333333333299</v>
      </c>
      <c r="F264" s="19">
        <f t="shared" si="43"/>
        <v>21.683333333333298</v>
      </c>
      <c r="G264" s="54">
        <f t="shared" si="37"/>
        <v>3.1606439471417453</v>
      </c>
      <c r="H264" s="87">
        <f t="shared" si="36"/>
        <v>3.1606439471417453</v>
      </c>
      <c r="I264">
        <f t="shared" si="44"/>
        <v>640.8904534268554</v>
      </c>
      <c r="J264">
        <f t="shared" si="38"/>
        <v>50.445226713427786</v>
      </c>
      <c r="K264">
        <f t="shared" si="39"/>
        <v>50.445226713427786</v>
      </c>
      <c r="L264" s="60">
        <f t="shared" si="40"/>
        <v>62.339233395359962</v>
      </c>
      <c r="M264">
        <f t="shared" si="41"/>
        <v>35.555319972746638</v>
      </c>
    </row>
    <row r="265" spans="1:13" x14ac:dyDescent="0.3">
      <c r="A265" s="61" t="s">
        <v>169</v>
      </c>
      <c r="B265" s="61" t="s">
        <v>74</v>
      </c>
      <c r="C265" s="16">
        <v>45035</v>
      </c>
      <c r="D265" s="57">
        <v>1.7888888888889101</v>
      </c>
      <c r="E265" s="19">
        <f t="shared" si="42"/>
        <v>49.566666666666634</v>
      </c>
      <c r="F265" s="19">
        <f t="shared" si="43"/>
        <v>21.76666666666663</v>
      </c>
      <c r="G265" s="54">
        <f t="shared" si="37"/>
        <v>3.168555442257925</v>
      </c>
      <c r="H265" s="87">
        <f t="shared" si="36"/>
        <v>3.168555442257925</v>
      </c>
      <c r="I265">
        <f t="shared" si="44"/>
        <v>641.41854600056502</v>
      </c>
      <c r="J265">
        <f t="shared" si="38"/>
        <v>50.709273000282614</v>
      </c>
      <c r="K265">
        <f t="shared" si="39"/>
        <v>50.709273000282614</v>
      </c>
      <c r="L265" s="60">
        <f t="shared" si="40"/>
        <v>62.613942903029901</v>
      </c>
      <c r="M265">
        <f t="shared" si="41"/>
        <v>35.615054029025536</v>
      </c>
    </row>
    <row r="266" spans="1:13" x14ac:dyDescent="0.3">
      <c r="C266" s="16">
        <v>45035</v>
      </c>
      <c r="D266" s="57">
        <v>1.7923611111111399</v>
      </c>
      <c r="E266" s="19">
        <f t="shared" si="42"/>
        <v>49.649999999999963</v>
      </c>
      <c r="F266" s="19">
        <f t="shared" si="43"/>
        <v>21.849999999999962</v>
      </c>
      <c r="G266" s="54">
        <f t="shared" si="37"/>
        <v>3.1764867408559327</v>
      </c>
      <c r="H266" s="87">
        <f t="shared" si="36"/>
        <v>3.1764867408559327</v>
      </c>
      <c r="I266">
        <f t="shared" si="44"/>
        <v>641.94796045737439</v>
      </c>
      <c r="J266">
        <f t="shared" si="38"/>
        <v>50.973980228687275</v>
      </c>
      <c r="K266">
        <f t="shared" si="39"/>
        <v>50.973980228687275</v>
      </c>
      <c r="L266" s="60">
        <f t="shared" si="40"/>
        <v>62.888886370721643</v>
      </c>
      <c r="M266">
        <f t="shared" si="41"/>
        <v>35.674838958611396</v>
      </c>
    </row>
    <row r="267" spans="1:13" x14ac:dyDescent="0.3">
      <c r="C267" s="16">
        <v>45035</v>
      </c>
      <c r="D267" s="57">
        <v>1.79583333333336</v>
      </c>
      <c r="E267" s="19">
        <f t="shared" si="42"/>
        <v>49.733333333333292</v>
      </c>
      <c r="F267" s="19">
        <f t="shared" si="43"/>
        <v>21.933333333333294</v>
      </c>
      <c r="G267" s="54">
        <f t="shared" si="37"/>
        <v>3.184437892506411</v>
      </c>
      <c r="H267" s="87">
        <f t="shared" si="36"/>
        <v>3.184437892506411</v>
      </c>
      <c r="I267">
        <f t="shared" si="44"/>
        <v>642.47870010612542</v>
      </c>
      <c r="J267">
        <f t="shared" si="38"/>
        <v>51.239350053062807</v>
      </c>
      <c r="K267">
        <f t="shared" si="39"/>
        <v>51.239350053062807</v>
      </c>
      <c r="L267" s="60">
        <f t="shared" si="40"/>
        <v>63.164063237150799</v>
      </c>
      <c r="M267">
        <f t="shared" si="41"/>
        <v>35.734674639456045</v>
      </c>
    </row>
    <row r="268" spans="1:13" x14ac:dyDescent="0.3">
      <c r="B268" s="61"/>
      <c r="C268" s="16">
        <v>45035</v>
      </c>
      <c r="D268" s="57">
        <v>1.7993055555555799</v>
      </c>
      <c r="E268" s="19">
        <f t="shared" si="42"/>
        <v>49.816666666666627</v>
      </c>
      <c r="F268" s="19">
        <f t="shared" si="43"/>
        <v>22.016666666666627</v>
      </c>
      <c r="G268" s="54">
        <f t="shared" si="37"/>
        <v>3.1924089469040839</v>
      </c>
      <c r="H268" s="87">
        <f t="shared" si="36"/>
        <v>3.1924089469040839</v>
      </c>
      <c r="I268">
        <f t="shared" si="44"/>
        <v>643.01076826394274</v>
      </c>
      <c r="J268">
        <f t="shared" si="38"/>
        <v>51.505384131971482</v>
      </c>
      <c r="K268">
        <f t="shared" si="39"/>
        <v>51.505384131971482</v>
      </c>
      <c r="L268" s="60">
        <f t="shared" si="40"/>
        <v>63.439472938619637</v>
      </c>
      <c r="M268">
        <f t="shared" si="41"/>
        <v>35.79456094898655</v>
      </c>
    </row>
    <row r="269" spans="1:13" x14ac:dyDescent="0.3">
      <c r="A269" s="61"/>
      <c r="B269" s="61"/>
      <c r="C269" s="16">
        <v>45035</v>
      </c>
      <c r="D269" s="57">
        <v>1.8027777777778</v>
      </c>
      <c r="E269" s="19">
        <f t="shared" si="42"/>
        <v>49.899999999999963</v>
      </c>
      <c r="F269" s="19">
        <f t="shared" si="43"/>
        <v>22.099999999999959</v>
      </c>
      <c r="G269" s="54">
        <f t="shared" si="37"/>
        <v>3.2003999538680663</v>
      </c>
      <c r="H269" s="87">
        <f t="shared" si="36"/>
        <v>3.2003999538680663</v>
      </c>
      <c r="I269">
        <f t="shared" si="44"/>
        <v>643.54416825625412</v>
      </c>
      <c r="J269">
        <f t="shared" si="38"/>
        <v>51.772084128127155</v>
      </c>
      <c r="K269">
        <f t="shared" si="39"/>
        <v>51.772084128127155</v>
      </c>
      <c r="L269" s="60">
        <f t="shared" si="40"/>
        <v>63.715114909019647</v>
      </c>
      <c r="M269">
        <f t="shared" si="41"/>
        <v>35.854497764105751</v>
      </c>
    </row>
    <row r="270" spans="1:13" x14ac:dyDescent="0.3">
      <c r="C270" s="16">
        <v>45035</v>
      </c>
      <c r="D270" s="57">
        <v>1.8062500000000301</v>
      </c>
      <c r="E270" s="19">
        <f t="shared" si="42"/>
        <v>49.983333333333292</v>
      </c>
      <c r="F270" s="19">
        <f t="shared" si="43"/>
        <v>22.183333333333291</v>
      </c>
      <c r="G270" s="54">
        <f t="shared" si="37"/>
        <v>3.2084109633421787</v>
      </c>
      <c r="H270" s="87">
        <f t="shared" si="36"/>
        <v>3.2084109633421787</v>
      </c>
      <c r="I270">
        <f t="shared" si="44"/>
        <v>644.07890341681116</v>
      </c>
      <c r="J270">
        <f t="shared" si="38"/>
        <v>52.039451708405672</v>
      </c>
      <c r="K270">
        <f t="shared" si="39"/>
        <v>52.039451708405672</v>
      </c>
      <c r="L270" s="60">
        <f t="shared" si="40"/>
        <v>63.990988579834188</v>
      </c>
      <c r="M270">
        <f t="shared" si="41"/>
        <v>35.914484961192862</v>
      </c>
    </row>
    <row r="271" spans="1:13" x14ac:dyDescent="0.3">
      <c r="C271" s="16">
        <v>45035</v>
      </c>
      <c r="D271" s="57">
        <v>1.80972222222225</v>
      </c>
      <c r="E271" s="19">
        <f t="shared" si="42"/>
        <v>50.06666666666662</v>
      </c>
      <c r="F271" s="19">
        <f t="shared" si="43"/>
        <v>22.266666666666623</v>
      </c>
      <c r="G271" s="54">
        <f t="shared" si="37"/>
        <v>3.2164420253952564</v>
      </c>
      <c r="H271" s="87">
        <f t="shared" si="36"/>
        <v>3.2164420253952564</v>
      </c>
      <c r="I271">
        <f t="shared" si="44"/>
        <v>644.61497708771037</v>
      </c>
      <c r="J271">
        <f t="shared" si="38"/>
        <v>52.307488543855278</v>
      </c>
      <c r="K271">
        <f t="shared" si="39"/>
        <v>52.307488543855278</v>
      </c>
      <c r="L271" s="60">
        <f t="shared" si="40"/>
        <v>64.267093380141077</v>
      </c>
      <c r="M271">
        <f t="shared" si="41"/>
        <v>35.97452241610403</v>
      </c>
    </row>
    <row r="272" spans="1:13" x14ac:dyDescent="0.3">
      <c r="C272" s="16">
        <v>45035</v>
      </c>
      <c r="D272" s="57">
        <v>1.8131944444444701</v>
      </c>
      <c r="E272" s="19">
        <f t="shared" si="42"/>
        <v>50.149999999999956</v>
      </c>
      <c r="F272" s="19">
        <f t="shared" si="43"/>
        <v>22.349999999999955</v>
      </c>
      <c r="G272" s="54">
        <f t="shared" si="37"/>
        <v>3.2244931902214624</v>
      </c>
      <c r="H272" s="87">
        <f t="shared" si="36"/>
        <v>3.2244931902214624</v>
      </c>
      <c r="I272">
        <f t="shared" si="44"/>
        <v>645.15239261941394</v>
      </c>
      <c r="J272">
        <f t="shared" si="38"/>
        <v>52.576196309707065</v>
      </c>
      <c r="K272">
        <f t="shared" si="39"/>
        <v>52.576196309707065</v>
      </c>
      <c r="L272" s="60">
        <f t="shared" si="40"/>
        <v>64.543428736615297</v>
      </c>
      <c r="M272">
        <f t="shared" si="41"/>
        <v>36.034610004172926</v>
      </c>
    </row>
    <row r="273" spans="3:13" x14ac:dyDescent="0.3">
      <c r="C273" s="16">
        <v>45035</v>
      </c>
      <c r="D273" s="57">
        <v>1.81666666666669</v>
      </c>
      <c r="E273" s="19">
        <f t="shared" si="42"/>
        <v>50.233333333333292</v>
      </c>
      <c r="F273" s="19">
        <f t="shared" si="43"/>
        <v>22.433333333333287</v>
      </c>
      <c r="G273" s="54">
        <f t="shared" si="37"/>
        <v>3.2325645081406038</v>
      </c>
      <c r="H273" s="87">
        <f t="shared" si="36"/>
        <v>3.2325645081406038</v>
      </c>
      <c r="I273">
        <f t="shared" si="44"/>
        <v>645.69115337077073</v>
      </c>
      <c r="J273">
        <f t="shared" si="38"/>
        <v>52.845576685385446</v>
      </c>
      <c r="K273">
        <f t="shared" si="39"/>
        <v>52.845576685385446</v>
      </c>
      <c r="L273" s="60">
        <f t="shared" si="40"/>
        <v>64.819994073531817</v>
      </c>
      <c r="M273">
        <f t="shared" si="41"/>
        <v>36.094747600211328</v>
      </c>
    </row>
    <row r="274" spans="3:13" x14ac:dyDescent="0.3">
      <c r="C274" s="16">
        <v>45035</v>
      </c>
      <c r="D274" s="57">
        <v>1.8201388888889101</v>
      </c>
      <c r="E274" s="19">
        <f t="shared" si="42"/>
        <v>50.31666666666662</v>
      </c>
      <c r="F274" s="19">
        <f t="shared" si="43"/>
        <v>22.51666666666662</v>
      </c>
      <c r="G274" s="54">
        <f t="shared" si="37"/>
        <v>3.2406560295984441</v>
      </c>
      <c r="H274" s="87">
        <f t="shared" si="36"/>
        <v>3.2406560295984441</v>
      </c>
      <c r="I274">
        <f t="shared" si="44"/>
        <v>646.2312627090372</v>
      </c>
      <c r="J274">
        <f t="shared" si="38"/>
        <v>53.115631354518648</v>
      </c>
      <c r="K274">
        <f t="shared" si="39"/>
        <v>53.115631354518648</v>
      </c>
      <c r="L274" s="60">
        <f t="shared" si="40"/>
        <v>65.096788812768281</v>
      </c>
      <c r="M274">
        <f t="shared" si="41"/>
        <v>36.154935078509745</v>
      </c>
    </row>
    <row r="275" spans="3:13" x14ac:dyDescent="0.3">
      <c r="C275" s="16">
        <v>45035</v>
      </c>
      <c r="D275" s="57">
        <v>1.8236111111111399</v>
      </c>
      <c r="E275" s="19">
        <f t="shared" si="42"/>
        <v>50.399999999999949</v>
      </c>
      <c r="F275" s="19">
        <f t="shared" si="43"/>
        <v>22.599999999999952</v>
      </c>
      <c r="G275" s="54">
        <f t="shared" si="37"/>
        <v>3.2487678051670179</v>
      </c>
      <c r="H275" s="87">
        <f t="shared" si="36"/>
        <v>3.2487678051670179</v>
      </c>
      <c r="I275">
        <f t="shared" si="44"/>
        <v>646.77272400989841</v>
      </c>
      <c r="J275">
        <f t="shared" si="38"/>
        <v>53.386362004949234</v>
      </c>
      <c r="K275">
        <f t="shared" si="39"/>
        <v>53.386362004949234</v>
      </c>
      <c r="L275" s="60">
        <f t="shared" si="40"/>
        <v>65.373812373807993</v>
      </c>
      <c r="M275">
        <f t="shared" si="41"/>
        <v>36.215172312838043</v>
      </c>
    </row>
    <row r="276" spans="3:13" x14ac:dyDescent="0.3">
      <c r="C276" s="16">
        <v>45035</v>
      </c>
      <c r="D276" s="57">
        <v>1.82708333333336</v>
      </c>
      <c r="E276" s="19">
        <f t="shared" si="42"/>
        <v>50.483333333333285</v>
      </c>
      <c r="F276" s="19">
        <f t="shared" si="43"/>
        <v>22.683333333333284</v>
      </c>
      <c r="G276" s="54">
        <f t="shared" si="37"/>
        <v>3.2568998855449496</v>
      </c>
      <c r="H276" s="87">
        <f t="shared" si="36"/>
        <v>3.2568998855449496</v>
      </c>
      <c r="I276">
        <f t="shared" si="44"/>
        <v>647.31554065748924</v>
      </c>
      <c r="J276">
        <f t="shared" si="38"/>
        <v>53.657770328744647</v>
      </c>
      <c r="K276">
        <f t="shared" si="39"/>
        <v>53.657770328744647</v>
      </c>
      <c r="L276" s="60">
        <f t="shared" si="40"/>
        <v>65.651064173742682</v>
      </c>
      <c r="M276">
        <f t="shared" si="41"/>
        <v>36.275459176446063</v>
      </c>
    </row>
    <row r="277" spans="3:13" x14ac:dyDescent="0.3">
      <c r="C277" s="16">
        <v>45035</v>
      </c>
      <c r="D277" s="57">
        <v>1.8305555555555799</v>
      </c>
      <c r="E277" s="19">
        <f t="shared" si="42"/>
        <v>50.56666666666662</v>
      </c>
      <c r="F277" s="19">
        <f t="shared" si="43"/>
        <v>22.766666666666616</v>
      </c>
      <c r="G277" s="54">
        <f t="shared" si="37"/>
        <v>3.2650523215577683</v>
      </c>
      <c r="H277" s="87">
        <f t="shared" si="36"/>
        <v>3.2650523215577683</v>
      </c>
      <c r="I277">
        <f t="shared" si="44"/>
        <v>647.85971604441556</v>
      </c>
      <c r="J277">
        <f t="shared" si="38"/>
        <v>53.929858022207796</v>
      </c>
      <c r="K277">
        <f t="shared" si="39"/>
        <v>53.929858022207796</v>
      </c>
      <c r="L277" s="60">
        <f t="shared" si="40"/>
        <v>65.928543627275502</v>
      </c>
      <c r="M277">
        <f t="shared" si="41"/>
        <v>36.335795542064254</v>
      </c>
    </row>
    <row r="278" spans="3:13" x14ac:dyDescent="0.3">
      <c r="C278" s="16">
        <v>45035</v>
      </c>
      <c r="D278" s="57">
        <v>1.83402777777781</v>
      </c>
      <c r="E278" s="19">
        <f t="shared" si="42"/>
        <v>50.649999999999949</v>
      </c>
      <c r="F278" s="19">
        <f t="shared" si="43"/>
        <v>22.849999999999948</v>
      </c>
      <c r="G278" s="54">
        <f t="shared" si="37"/>
        <v>3.2732251641582244</v>
      </c>
      <c r="H278" s="87">
        <f t="shared" si="36"/>
        <v>3.2732251641582244</v>
      </c>
      <c r="I278">
        <f t="shared" si="44"/>
        <v>648.40525357177523</v>
      </c>
      <c r="J278">
        <f t="shared" si="38"/>
        <v>54.202626785887645</v>
      </c>
      <c r="K278">
        <f t="shared" si="39"/>
        <v>54.202626785887645</v>
      </c>
      <c r="L278" s="60">
        <f t="shared" si="40"/>
        <v>66.206250146724102</v>
      </c>
      <c r="M278">
        <f t="shared" si="41"/>
        <v>36.396181281904354</v>
      </c>
    </row>
    <row r="279" spans="3:13" x14ac:dyDescent="0.3">
      <c r="C279" s="16">
        <v>45035</v>
      </c>
      <c r="D279" s="57">
        <v>1.8375000000000301</v>
      </c>
      <c r="E279" s="19">
        <f t="shared" si="42"/>
        <v>50.733333333333277</v>
      </c>
      <c r="F279" s="19">
        <f t="shared" si="43"/>
        <v>22.93333333333328</v>
      </c>
      <c r="G279" s="54">
        <f t="shared" si="37"/>
        <v>3.2814184644266118</v>
      </c>
      <c r="H279" s="87">
        <f t="shared" si="36"/>
        <v>3.2814184644266118</v>
      </c>
      <c r="I279">
        <f t="shared" si="44"/>
        <v>648.95215664917964</v>
      </c>
      <c r="J279">
        <f t="shared" si="38"/>
        <v>54.476078324589864</v>
      </c>
      <c r="K279">
        <f t="shared" si="39"/>
        <v>54.476078324589864</v>
      </c>
      <c r="L279" s="60">
        <f t="shared" si="40"/>
        <v>66.484183142023497</v>
      </c>
      <c r="M279">
        <f t="shared" si="41"/>
        <v>36.45661626766001</v>
      </c>
    </row>
    <row r="280" spans="3:13" x14ac:dyDescent="0.3">
      <c r="C280" s="16">
        <v>45035</v>
      </c>
      <c r="D280" s="57">
        <v>1.84097222222225</v>
      </c>
      <c r="E280" s="19">
        <f t="shared" si="42"/>
        <v>50.816666666666613</v>
      </c>
      <c r="F280" s="19">
        <f t="shared" si="43"/>
        <v>23.016666666666612</v>
      </c>
      <c r="G280" s="54">
        <f t="shared" si="37"/>
        <v>3.2896322735710837</v>
      </c>
      <c r="H280" s="87">
        <f t="shared" si="36"/>
        <v>3.2896322735710837</v>
      </c>
      <c r="I280">
        <f t="shared" si="44"/>
        <v>649.50042869477477</v>
      </c>
      <c r="J280">
        <f t="shared" si="38"/>
        <v>54.750214347387455</v>
      </c>
      <c r="K280">
        <f t="shared" si="39"/>
        <v>54.750214347387455</v>
      </c>
      <c r="L280" s="60">
        <f t="shared" si="40"/>
        <v>66.762342020729321</v>
      </c>
      <c r="M280">
        <f t="shared" si="41"/>
        <v>36.517100370507492</v>
      </c>
    </row>
    <row r="281" spans="3:13" x14ac:dyDescent="0.3">
      <c r="C281" s="16">
        <v>45035</v>
      </c>
      <c r="D281" s="57">
        <v>1.8444444444444701</v>
      </c>
      <c r="E281" s="19">
        <f t="shared" si="42"/>
        <v>50.899999999999949</v>
      </c>
      <c r="F281" s="19">
        <f t="shared" si="43"/>
        <v>23.099999999999945</v>
      </c>
      <c r="G281" s="54">
        <f t="shared" si="37"/>
        <v>3.2978666429279739</v>
      </c>
      <c r="H281" s="87">
        <f t="shared" si="36"/>
        <v>3.2978666429279739</v>
      </c>
      <c r="I281">
        <f t="shared" si="44"/>
        <v>650.05007313526278</v>
      </c>
      <c r="J281">
        <f t="shared" si="38"/>
        <v>55.025036567631453</v>
      </c>
      <c r="K281">
        <f t="shared" si="39"/>
        <v>55.025036567631453</v>
      </c>
      <c r="L281" s="60">
        <f t="shared" si="40"/>
        <v>67.040726188020912</v>
      </c>
      <c r="M281">
        <f t="shared" si="41"/>
        <v>36.577633461106338</v>
      </c>
    </row>
    <row r="282" spans="3:13" x14ac:dyDescent="0.3">
      <c r="C282" s="16">
        <v>45035</v>
      </c>
      <c r="D282" s="57">
        <v>1.84791666666669</v>
      </c>
      <c r="E282" s="19">
        <f t="shared" si="42"/>
        <v>50.983333333333277</v>
      </c>
      <c r="F282" s="19">
        <f t="shared" si="43"/>
        <v>23.183333333333277</v>
      </c>
      <c r="G282" s="54">
        <f t="shared" si="37"/>
        <v>3.3061216239621176</v>
      </c>
      <c r="H282" s="87">
        <f t="shared" si="36"/>
        <v>3.3061216239621176</v>
      </c>
      <c r="I282">
        <f t="shared" si="44"/>
        <v>650.60109340592317</v>
      </c>
      <c r="J282">
        <f t="shared" si="38"/>
        <v>55.300546702961633</v>
      </c>
      <c r="K282">
        <f t="shared" si="39"/>
        <v>55.300546702961633</v>
      </c>
      <c r="L282" s="60">
        <f t="shared" si="40"/>
        <v>67.319335046704481</v>
      </c>
      <c r="M282">
        <f t="shared" si="41"/>
        <v>36.638215409600086</v>
      </c>
    </row>
    <row r="283" spans="3:13" x14ac:dyDescent="0.3">
      <c r="C283" s="16">
        <v>45035</v>
      </c>
      <c r="D283" s="57">
        <v>1.8513888888889201</v>
      </c>
      <c r="E283" s="19">
        <f t="shared" si="42"/>
        <v>51.066666666666606</v>
      </c>
      <c r="F283" s="19">
        <f t="shared" si="43"/>
        <v>23.266666666666609</v>
      </c>
      <c r="G283" s="54">
        <f t="shared" si="37"/>
        <v>3.3143972682671734</v>
      </c>
      <c r="H283" s="87">
        <f t="shared" si="36"/>
        <v>3.3143972682671734</v>
      </c>
      <c r="I283">
        <f t="shared" si="44"/>
        <v>651.15349295063436</v>
      </c>
      <c r="J283">
        <f t="shared" si="38"/>
        <v>55.576746475317229</v>
      </c>
      <c r="K283">
        <f t="shared" si="39"/>
        <v>55.576746475317229</v>
      </c>
      <c r="L283" s="60">
        <f t="shared" si="40"/>
        <v>67.598167997216407</v>
      </c>
      <c r="M283">
        <f t="shared" si="41"/>
        <v>36.698846085616957</v>
      </c>
    </row>
    <row r="284" spans="3:13" x14ac:dyDescent="0.3">
      <c r="C284" s="16">
        <v>45035</v>
      </c>
      <c r="D284" s="57">
        <v>1.8548611111111399</v>
      </c>
      <c r="E284" s="19">
        <f t="shared" si="42"/>
        <v>51.149999999999942</v>
      </c>
      <c r="F284" s="19">
        <f t="shared" si="43"/>
        <v>23.349999999999941</v>
      </c>
      <c r="G284" s="54">
        <f t="shared" si="37"/>
        <v>3.3226936275659442</v>
      </c>
      <c r="H284" s="87">
        <f t="shared" si="36"/>
        <v>3.3226936275659442</v>
      </c>
      <c r="I284">
        <f t="shared" si="44"/>
        <v>651.70727522189532</v>
      </c>
      <c r="J284">
        <f t="shared" si="38"/>
        <v>55.853637610947722</v>
      </c>
      <c r="K284">
        <f t="shared" si="39"/>
        <v>55.853637610947722</v>
      </c>
      <c r="L284" s="60">
        <f t="shared" si="40"/>
        <v>67.877224437626481</v>
      </c>
      <c r="M284">
        <f t="shared" si="41"/>
        <v>36.759525358270572</v>
      </c>
    </row>
    <row r="285" spans="3:13" x14ac:dyDescent="0.3">
      <c r="C285" s="16">
        <v>45035</v>
      </c>
      <c r="D285" s="57">
        <v>1.85833333333336</v>
      </c>
      <c r="E285" s="19">
        <f t="shared" si="42"/>
        <v>51.233333333333277</v>
      </c>
      <c r="F285" s="19">
        <f t="shared" si="43"/>
        <v>23.433333333333273</v>
      </c>
      <c r="G285" s="54">
        <f t="shared" si="37"/>
        <v>3.3310107537107041</v>
      </c>
      <c r="H285" s="87">
        <f t="shared" si="36"/>
        <v>3.3310107537107041</v>
      </c>
      <c r="I285">
        <f t="shared" si="44"/>
        <v>652.26244368084713</v>
      </c>
      <c r="J285">
        <f t="shared" si="38"/>
        <v>56.131221840423613</v>
      </c>
      <c r="K285">
        <f t="shared" si="39"/>
        <v>56.131221840423613</v>
      </c>
      <c r="L285" s="60">
        <f t="shared" si="40"/>
        <v>68.156503763641268</v>
      </c>
      <c r="M285">
        <f t="shared" si="41"/>
        <v>36.820253096160677</v>
      </c>
    </row>
    <row r="286" spans="3:13" x14ac:dyDescent="0.3">
      <c r="C286" s="16">
        <v>45035</v>
      </c>
      <c r="D286" s="57">
        <v>1.8618055555555799</v>
      </c>
      <c r="E286" s="19">
        <f t="shared" si="42"/>
        <v>51.316666666666606</v>
      </c>
      <c r="F286" s="19">
        <f t="shared" si="43"/>
        <v>23.516666666666605</v>
      </c>
      <c r="G286" s="54">
        <f t="shared" si="37"/>
        <v>3.3393486986835175</v>
      </c>
      <c r="H286" s="87">
        <f t="shared" si="36"/>
        <v>3.3393486986835175</v>
      </c>
      <c r="I286">
        <f t="shared" si="44"/>
        <v>652.81900179729439</v>
      </c>
      <c r="J286">
        <f t="shared" si="38"/>
        <v>56.409500898647238</v>
      </c>
      <c r="K286">
        <f t="shared" si="39"/>
        <v>56.409500898647238</v>
      </c>
      <c r="L286" s="60">
        <f t="shared" si="40"/>
        <v>68.436005368607496</v>
      </c>
      <c r="M286">
        <f t="shared" si="41"/>
        <v>36.881029167373889</v>
      </c>
    </row>
    <row r="287" spans="3:13" x14ac:dyDescent="0.3">
      <c r="C287" s="16">
        <v>45035</v>
      </c>
      <c r="D287" s="57">
        <v>1.86527777777781</v>
      </c>
      <c r="E287" s="19">
        <f t="shared" si="42"/>
        <v>51.399999999999935</v>
      </c>
      <c r="F287" s="19">
        <f t="shared" si="43"/>
        <v>23.599999999999937</v>
      </c>
      <c r="G287" s="54">
        <f t="shared" si="37"/>
        <v>3.3477075145965678</v>
      </c>
      <c r="H287" s="87">
        <f t="shared" si="36"/>
        <v>3.3477075145965678</v>
      </c>
      <c r="I287">
        <f t="shared" si="44"/>
        <v>653.37695304972715</v>
      </c>
      <c r="J287">
        <f t="shared" si="38"/>
        <v>56.688476524863617</v>
      </c>
      <c r="K287">
        <f t="shared" si="39"/>
        <v>56.688476524863617</v>
      </c>
      <c r="L287" s="60">
        <f t="shared" si="40"/>
        <v>68.715728643515476</v>
      </c>
      <c r="M287">
        <f t="shared" si="41"/>
        <v>36.941853439484433</v>
      </c>
    </row>
    <row r="288" spans="3:13" x14ac:dyDescent="0.3">
      <c r="C288" s="16">
        <v>45035</v>
      </c>
      <c r="D288" s="57">
        <v>1.8687500000000301</v>
      </c>
      <c r="E288" s="19">
        <f t="shared" si="42"/>
        <v>51.48333333333327</v>
      </c>
      <c r="F288" s="19">
        <f t="shared" si="43"/>
        <v>23.68333333333327</v>
      </c>
      <c r="G288" s="54">
        <f t="shared" si="37"/>
        <v>3.3560872536924822</v>
      </c>
      <c r="H288" s="87">
        <f t="shared" si="36"/>
        <v>3.3560872536924822</v>
      </c>
      <c r="I288">
        <f t="shared" si="44"/>
        <v>653.93630092534261</v>
      </c>
      <c r="J288">
        <f t="shared" si="38"/>
        <v>56.968150462671325</v>
      </c>
      <c r="K288">
        <f t="shared" si="39"/>
        <v>56.968150462671325</v>
      </c>
      <c r="L288" s="60">
        <f t="shared" si="40"/>
        <v>68.995672977002613</v>
      </c>
      <c r="M288">
        <f t="shared" si="41"/>
        <v>37.002725779554908</v>
      </c>
    </row>
    <row r="289" spans="3:13" x14ac:dyDescent="0.3">
      <c r="C289" s="16">
        <v>45035</v>
      </c>
      <c r="D289" s="57">
        <v>1.87222222222225</v>
      </c>
      <c r="E289" s="19">
        <f t="shared" si="42"/>
        <v>51.566666666666606</v>
      </c>
      <c r="F289" s="19">
        <f t="shared" si="43"/>
        <v>23.766666666666602</v>
      </c>
      <c r="G289" s="54">
        <f t="shared" si="37"/>
        <v>3.3644879683446569</v>
      </c>
      <c r="H289" s="87">
        <f t="shared" si="36"/>
        <v>3.3644879683446569</v>
      </c>
      <c r="I289">
        <f t="shared" si="44"/>
        <v>654.49704892006673</v>
      </c>
      <c r="J289">
        <f t="shared" si="38"/>
        <v>57.24852446003338</v>
      </c>
      <c r="K289">
        <f t="shared" si="39"/>
        <v>57.24852446003338</v>
      </c>
      <c r="L289" s="60">
        <f t="shared" si="40"/>
        <v>69.275837755356932</v>
      </c>
      <c r="M289">
        <f t="shared" si="41"/>
        <v>37.063646054137067</v>
      </c>
    </row>
    <row r="290" spans="3:13" x14ac:dyDescent="0.3">
      <c r="C290" s="16">
        <v>45035</v>
      </c>
      <c r="D290" s="57">
        <v>1.8756944444444701</v>
      </c>
      <c r="E290" s="19">
        <f t="shared" si="42"/>
        <v>51.649999999999935</v>
      </c>
      <c r="F290" s="19">
        <f t="shared" si="43"/>
        <v>23.849999999999934</v>
      </c>
      <c r="G290" s="54">
        <f t="shared" si="37"/>
        <v>3.3729097110575856</v>
      </c>
      <c r="H290" s="87">
        <f t="shared" si="36"/>
        <v>3.3729097110575856</v>
      </c>
      <c r="I290">
        <f t="shared" si="44"/>
        <v>655.05920053857631</v>
      </c>
      <c r="J290">
        <f t="shared" si="38"/>
        <v>57.529600269288181</v>
      </c>
      <c r="K290">
        <f t="shared" si="39"/>
        <v>57.529600269288181</v>
      </c>
      <c r="L290" s="60">
        <f t="shared" si="40"/>
        <v>69.5562223625207</v>
      </c>
      <c r="M290">
        <f t="shared" si="41"/>
        <v>37.124614129272565</v>
      </c>
    </row>
    <row r="291" spans="3:13" x14ac:dyDescent="0.3">
      <c r="C291" s="16">
        <v>45035</v>
      </c>
      <c r="D291" s="57">
        <v>1.8791666666667</v>
      </c>
      <c r="E291" s="19">
        <f t="shared" si="42"/>
        <v>51.733333333333263</v>
      </c>
      <c r="F291" s="19">
        <f t="shared" si="43"/>
        <v>23.933333333333266</v>
      </c>
      <c r="G291" s="54">
        <f t="shared" si="37"/>
        <v>3.3813525344671884</v>
      </c>
      <c r="H291" s="87">
        <f t="shared" si="36"/>
        <v>3.3813525344671884</v>
      </c>
      <c r="I291">
        <f t="shared" si="44"/>
        <v>655.62275929432087</v>
      </c>
      <c r="J291">
        <f t="shared" si="38"/>
        <v>57.81137964716045</v>
      </c>
      <c r="K291">
        <f t="shared" si="39"/>
        <v>57.81137964716045</v>
      </c>
      <c r="L291" s="60">
        <f t="shared" si="40"/>
        <v>69.836826180093979</v>
      </c>
      <c r="M291">
        <f t="shared" si="41"/>
        <v>37.185629870493777</v>
      </c>
    </row>
    <row r="292" spans="3:13" x14ac:dyDescent="0.3">
      <c r="C292" s="16">
        <v>45035</v>
      </c>
      <c r="D292" s="57">
        <v>1.8826388888889201</v>
      </c>
      <c r="E292" s="19">
        <f t="shared" si="42"/>
        <v>51.816666666666599</v>
      </c>
      <c r="F292" s="19">
        <f t="shared" si="43"/>
        <v>24.016666666666598</v>
      </c>
      <c r="G292" s="54">
        <f t="shared" si="37"/>
        <v>3.3898164913411377</v>
      </c>
      <c r="H292" s="87">
        <f t="shared" si="36"/>
        <v>3.3898164913411377</v>
      </c>
      <c r="I292">
        <f t="shared" si="44"/>
        <v>656.18772870954444</v>
      </c>
      <c r="J292">
        <f t="shared" si="38"/>
        <v>58.093864354772215</v>
      </c>
      <c r="K292">
        <f t="shared" si="39"/>
        <v>58.093864354772215</v>
      </c>
      <c r="L292" s="60">
        <f t="shared" si="40"/>
        <v>70.117648587338422</v>
      </c>
      <c r="M292">
        <f t="shared" si="41"/>
        <v>37.24669314282459</v>
      </c>
    </row>
    <row r="293" spans="3:13" x14ac:dyDescent="0.3">
      <c r="C293" s="16">
        <v>45035</v>
      </c>
      <c r="D293" s="57">
        <v>1.8861111111111399</v>
      </c>
      <c r="E293" s="19">
        <f t="shared" si="42"/>
        <v>51.899999999999935</v>
      </c>
      <c r="F293" s="19">
        <f t="shared" si="43"/>
        <v>24.09999999999993</v>
      </c>
      <c r="G293" s="54">
        <f t="shared" si="37"/>
        <v>3.3983016345791932</v>
      </c>
      <c r="H293" s="87">
        <f t="shared" si="36"/>
        <v>3.3983016345791932</v>
      </c>
      <c r="I293">
        <f t="shared" si="44"/>
        <v>656.75411231530768</v>
      </c>
      <c r="J293">
        <f t="shared" si="38"/>
        <v>58.377056157653811</v>
      </c>
      <c r="K293">
        <f t="shared" si="39"/>
        <v>58.377056157653811</v>
      </c>
      <c r="L293" s="60">
        <f t="shared" si="40"/>
        <v>70.398688961180923</v>
      </c>
      <c r="M293">
        <f t="shared" si="41"/>
        <v>37.30780381078123</v>
      </c>
    </row>
    <row r="294" spans="3:13" x14ac:dyDescent="0.3">
      <c r="C294" s="16">
        <v>45035</v>
      </c>
      <c r="D294" s="57">
        <v>1.88958333333336</v>
      </c>
      <c r="E294" s="19">
        <f t="shared" si="42"/>
        <v>51.983333333333263</v>
      </c>
      <c r="F294" s="19">
        <f t="shared" si="43"/>
        <v>24.183333333333263</v>
      </c>
      <c r="G294" s="54">
        <f t="shared" si="37"/>
        <v>3.4068080172135269</v>
      </c>
      <c r="H294" s="87">
        <f t="shared" si="36"/>
        <v>3.4068080172135269</v>
      </c>
      <c r="I294">
        <f t="shared" si="44"/>
        <v>657.32191365150993</v>
      </c>
      <c r="J294">
        <f t="shared" si="38"/>
        <v>58.660956825754937</v>
      </c>
      <c r="K294">
        <f t="shared" si="39"/>
        <v>58.660956825754937</v>
      </c>
      <c r="L294" s="60">
        <f t="shared" si="40"/>
        <v>70.679946676217426</v>
      </c>
      <c r="M294">
        <f t="shared" si="41"/>
        <v>37.368961738373059</v>
      </c>
    </row>
    <row r="295" spans="3:13" x14ac:dyDescent="0.3">
      <c r="C295" s="16">
        <v>45035</v>
      </c>
      <c r="D295" s="57">
        <v>1.8930555555555799</v>
      </c>
      <c r="E295" s="19">
        <f t="shared" si="42"/>
        <v>52.066666666666592</v>
      </c>
      <c r="F295" s="19">
        <f t="shared" si="43"/>
        <v>24.266666666666595</v>
      </c>
      <c r="G295" s="54">
        <f t="shared" si="37"/>
        <v>3.4153356924090574</v>
      </c>
      <c r="H295" s="87">
        <f t="shared" si="36"/>
        <v>3.4153356924090574</v>
      </c>
      <c r="I295">
        <f t="shared" si="44"/>
        <v>657.89113626691142</v>
      </c>
      <c r="J295">
        <f t="shared" si="38"/>
        <v>58.945568133455694</v>
      </c>
      <c r="K295">
        <f t="shared" si="39"/>
        <v>58.945568133455694</v>
      </c>
      <c r="L295" s="60">
        <f t="shared" si="40"/>
        <v>70.961421104716777</v>
      </c>
      <c r="M295">
        <f t="shared" si="41"/>
        <v>37.430166789103417</v>
      </c>
    </row>
    <row r="296" spans="3:13" x14ac:dyDescent="0.3">
      <c r="C296" s="16">
        <v>45035</v>
      </c>
      <c r="D296" s="57">
        <v>1.89652777777781</v>
      </c>
      <c r="E296" s="19">
        <f t="shared" si="42"/>
        <v>52.149999999999928</v>
      </c>
      <c r="F296" s="19">
        <f t="shared" si="43"/>
        <v>24.349999999999927</v>
      </c>
      <c r="G296" s="54">
        <f t="shared" si="37"/>
        <v>3.4238847134637842</v>
      </c>
      <c r="H296" s="87">
        <f t="shared" si="36"/>
        <v>3.4238847134637842</v>
      </c>
      <c r="I296">
        <f t="shared" si="44"/>
        <v>658.46178371915539</v>
      </c>
      <c r="J296">
        <f t="shared" si="38"/>
        <v>59.230891859577675</v>
      </c>
      <c r="K296">
        <f t="shared" si="39"/>
        <v>59.230891859577675</v>
      </c>
      <c r="L296" s="60">
        <f t="shared" si="40"/>
        <v>71.243111616624589</v>
      </c>
      <c r="M296">
        <f t="shared" si="41"/>
        <v>37.491418825970484</v>
      </c>
    </row>
    <row r="297" spans="3:13" x14ac:dyDescent="0.3">
      <c r="C297" s="16">
        <v>45035</v>
      </c>
      <c r="D297" s="57">
        <v>1.9000000000000301</v>
      </c>
      <c r="E297" s="19">
        <f t="shared" si="42"/>
        <v>52.233333333333263</v>
      </c>
      <c r="F297" s="19">
        <f t="shared" si="43"/>
        <v>24.433333333333259</v>
      </c>
      <c r="G297" s="54">
        <f t="shared" si="37"/>
        <v>3.4324551338091154</v>
      </c>
      <c r="H297" s="87">
        <f t="shared" si="36"/>
        <v>3.4324551338091154</v>
      </c>
      <c r="I297">
        <f t="shared" si="44"/>
        <v>659.0338595747902</v>
      </c>
      <c r="J297">
        <f t="shared" si="38"/>
        <v>59.5169297873951</v>
      </c>
      <c r="K297">
        <f t="shared" si="39"/>
        <v>59.5169297873951</v>
      </c>
      <c r="L297" s="60">
        <f t="shared" si="40"/>
        <v>71.525017579567233</v>
      </c>
      <c r="M297">
        <f t="shared" si="41"/>
        <v>37.552717711468127</v>
      </c>
    </row>
    <row r="298" spans="3:13" x14ac:dyDescent="0.3">
      <c r="C298" s="16">
        <v>45035</v>
      </c>
      <c r="D298" s="57">
        <v>1.90347222222225</v>
      </c>
      <c r="E298" s="19">
        <f t="shared" si="42"/>
        <v>52.316666666666592</v>
      </c>
      <c r="F298" s="19">
        <f t="shared" si="43"/>
        <v>24.516666666666591</v>
      </c>
      <c r="G298" s="54">
        <f t="shared" si="37"/>
        <v>3.4410470070102055</v>
      </c>
      <c r="H298" s="87">
        <f t="shared" si="36"/>
        <v>3.4410470070102055</v>
      </c>
      <c r="I298">
        <f t="shared" si="44"/>
        <v>659.6073674092919</v>
      </c>
      <c r="J298">
        <f t="shared" ref="J298:J361" si="45">J297+G298*5/60</f>
        <v>59.803683704645948</v>
      </c>
      <c r="K298">
        <f t="shared" si="39"/>
        <v>59.803683704645948</v>
      </c>
      <c r="L298" s="60">
        <f t="shared" ref="L298:L361" si="46">((L297*I297/1000)+(G298*$T$7/1000*5/60))/(I298/1000)</f>
        <v>71.807138358855696</v>
      </c>
      <c r="M298">
        <f t="shared" ref="M298:M361" si="47">(M297*I297+G298*$T$7*$T$6*(5/60))/I298</f>
        <v>37.614063307586747</v>
      </c>
    </row>
    <row r="299" spans="3:13" x14ac:dyDescent="0.3">
      <c r="C299" s="16">
        <v>45035</v>
      </c>
      <c r="D299" s="57">
        <v>1.9069444444444701</v>
      </c>
      <c r="E299" s="19">
        <f t="shared" si="42"/>
        <v>52.39999999999992</v>
      </c>
      <c r="F299" s="19">
        <f t="shared" si="43"/>
        <v>24.599999999999923</v>
      </c>
      <c r="G299" s="54">
        <f t="shared" si="37"/>
        <v>3.4496603867662912</v>
      </c>
      <c r="H299" s="87">
        <f t="shared" si="36"/>
        <v>3.4496603867662912</v>
      </c>
      <c r="I299">
        <f t="shared" si="44"/>
        <v>660.18231080708631</v>
      </c>
      <c r="J299">
        <f t="shared" si="45"/>
        <v>60.091155403543141</v>
      </c>
      <c r="K299">
        <f t="shared" si="39"/>
        <v>60.091155403543141</v>
      </c>
      <c r="L299" s="60">
        <f t="shared" si="46"/>
        <v>72.089473317489734</v>
      </c>
      <c r="M299">
        <f t="shared" si="47"/>
        <v>37.675455475814168</v>
      </c>
    </row>
    <row r="300" spans="3:13" x14ac:dyDescent="0.3">
      <c r="C300" s="16">
        <v>45035</v>
      </c>
      <c r="D300" s="57">
        <v>1.91041666666669</v>
      </c>
      <c r="E300" s="19">
        <f t="shared" si="42"/>
        <v>52.483333333333256</v>
      </c>
      <c r="F300" s="19">
        <f t="shared" si="43"/>
        <v>24.683333333333255</v>
      </c>
      <c r="G300" s="54">
        <f t="shared" si="37"/>
        <v>3.4582953269110237</v>
      </c>
      <c r="H300" s="87">
        <f t="shared" si="36"/>
        <v>3.4582953269110237</v>
      </c>
      <c r="I300">
        <f t="shared" si="44"/>
        <v>660.75869336157143</v>
      </c>
      <c r="J300">
        <f t="shared" si="45"/>
        <v>60.379346680785723</v>
      </c>
      <c r="K300">
        <f t="shared" si="39"/>
        <v>60.379346680785723</v>
      </c>
      <c r="L300" s="60">
        <f t="shared" si="46"/>
        <v>72.372021816161919</v>
      </c>
      <c r="M300">
        <f t="shared" si="47"/>
        <v>37.736894077136554</v>
      </c>
    </row>
    <row r="301" spans="3:13" x14ac:dyDescent="0.3">
      <c r="C301" s="16">
        <v>45035</v>
      </c>
      <c r="D301" s="57">
        <v>1.9138888888889201</v>
      </c>
      <c r="E301" s="19">
        <f t="shared" si="42"/>
        <v>52.566666666666592</v>
      </c>
      <c r="F301" s="19">
        <f t="shared" si="43"/>
        <v>24.766666666666588</v>
      </c>
      <c r="G301" s="54">
        <f t="shared" si="37"/>
        <v>3.4669518814128057</v>
      </c>
      <c r="H301" s="87">
        <f t="shared" si="36"/>
        <v>3.4669518814128057</v>
      </c>
      <c r="I301">
        <f t="shared" si="44"/>
        <v>661.33651867514027</v>
      </c>
      <c r="J301">
        <f t="shared" si="45"/>
        <v>60.66825933757012</v>
      </c>
      <c r="K301">
        <f t="shared" si="39"/>
        <v>60.66825933757012</v>
      </c>
      <c r="L301" s="60">
        <f t="shared" si="46"/>
        <v>72.654783213261723</v>
      </c>
      <c r="M301">
        <f t="shared" si="47"/>
        <v>37.798378972039259</v>
      </c>
    </row>
    <row r="302" spans="3:13" x14ac:dyDescent="0.3">
      <c r="C302" s="16">
        <v>45035</v>
      </c>
      <c r="D302" s="57">
        <v>1.9173611111111399</v>
      </c>
      <c r="E302" s="19">
        <f t="shared" si="42"/>
        <v>52.64999999999992</v>
      </c>
      <c r="F302" s="19">
        <f t="shared" si="43"/>
        <v>24.84999999999992</v>
      </c>
      <c r="G302" s="54">
        <f t="shared" si="37"/>
        <v>3.4756301043751341</v>
      </c>
      <c r="H302" s="87">
        <f t="shared" si="36"/>
        <v>3.4756301043751341</v>
      </c>
      <c r="I302">
        <f t="shared" si="44"/>
        <v>661.91579035920279</v>
      </c>
      <c r="J302">
        <f t="shared" si="45"/>
        <v>60.95789517960138</v>
      </c>
      <c r="K302">
        <f t="shared" si="39"/>
        <v>60.95789517960138</v>
      </c>
      <c r="L302" s="60">
        <f t="shared" si="46"/>
        <v>72.937756864879816</v>
      </c>
      <c r="M302">
        <f t="shared" si="47"/>
        <v>37.859910020507769</v>
      </c>
    </row>
    <row r="303" spans="3:13" x14ac:dyDescent="0.3">
      <c r="C303" s="16">
        <v>45035</v>
      </c>
      <c r="D303" s="57">
        <v>1.92083333333336</v>
      </c>
      <c r="E303" s="19">
        <f t="shared" si="42"/>
        <v>52.733333333333249</v>
      </c>
      <c r="F303" s="19">
        <f t="shared" si="43"/>
        <v>24.933333333333252</v>
      </c>
      <c r="G303" s="54">
        <f t="shared" si="37"/>
        <v>3.4843300500369274</v>
      </c>
      <c r="H303" s="87">
        <f t="shared" si="36"/>
        <v>3.4843300500369274</v>
      </c>
      <c r="I303">
        <f t="shared" si="44"/>
        <v>662.49651203420899</v>
      </c>
      <c r="J303">
        <f t="shared" si="45"/>
        <v>61.24825601710446</v>
      </c>
      <c r="K303">
        <f t="shared" si="39"/>
        <v>61.24825601710446</v>
      </c>
      <c r="L303" s="60">
        <f t="shared" si="46"/>
        <v>73.22094212481214</v>
      </c>
      <c r="M303">
        <f t="shared" si="47"/>
        <v>37.921487082028612</v>
      </c>
    </row>
    <row r="304" spans="3:13" x14ac:dyDescent="0.3">
      <c r="C304" s="16">
        <v>45035</v>
      </c>
      <c r="D304" s="57">
        <v>1.9243055555555799</v>
      </c>
      <c r="E304" s="19">
        <f t="shared" si="42"/>
        <v>52.816666666666585</v>
      </c>
      <c r="F304" s="19">
        <f t="shared" si="43"/>
        <v>25.016666666666584</v>
      </c>
      <c r="G304" s="54">
        <f t="shared" si="37"/>
        <v>3.4930517727728758</v>
      </c>
      <c r="H304" s="87">
        <f t="shared" si="36"/>
        <v>3.4930517727728758</v>
      </c>
      <c r="I304">
        <f t="shared" si="44"/>
        <v>663.07868732967108</v>
      </c>
      <c r="J304">
        <f t="shared" si="45"/>
        <v>61.539343664835535</v>
      </c>
      <c r="K304">
        <f t="shared" si="39"/>
        <v>61.539343664835535</v>
      </c>
      <c r="L304" s="60">
        <f t="shared" si="46"/>
        <v>73.504338344564346</v>
      </c>
      <c r="M304">
        <f t="shared" si="47"/>
        <v>37.983110015590292</v>
      </c>
    </row>
    <row r="305" spans="1:13" x14ac:dyDescent="0.3">
      <c r="C305" s="16">
        <v>45035</v>
      </c>
      <c r="D305" s="57">
        <v>1.92777777777781</v>
      </c>
      <c r="E305" s="19">
        <f t="shared" si="42"/>
        <v>52.89999999999992</v>
      </c>
      <c r="F305" s="19">
        <f t="shared" si="43"/>
        <v>25.099999999999916</v>
      </c>
      <c r="G305" s="54">
        <f t="shared" si="37"/>
        <v>3.5017953270937756</v>
      </c>
      <c r="H305" s="87">
        <f t="shared" si="36"/>
        <v>3.5017953270937756</v>
      </c>
      <c r="I305">
        <f t="shared" si="44"/>
        <v>663.66231988418667</v>
      </c>
      <c r="J305">
        <f t="shared" si="45"/>
        <v>61.83115994209335</v>
      </c>
      <c r="K305">
        <f t="shared" si="39"/>
        <v>61.83115994209335</v>
      </c>
      <c r="L305" s="60">
        <f t="shared" si="46"/>
        <v>73.787944873355997</v>
      </c>
      <c r="M305">
        <f t="shared" si="47"/>
        <v>38.044778679684214</v>
      </c>
    </row>
    <row r="306" spans="1:13" x14ac:dyDescent="0.3">
      <c r="C306" s="16">
        <v>45035</v>
      </c>
      <c r="D306" s="57">
        <v>1.9312500000000301</v>
      </c>
      <c r="E306" s="19">
        <f t="shared" si="42"/>
        <v>52.983333333333249</v>
      </c>
      <c r="F306" s="19">
        <f t="shared" si="43"/>
        <v>25.183333333333248</v>
      </c>
      <c r="G306" s="54">
        <f t="shared" si="37"/>
        <v>3.5105607676468682</v>
      </c>
      <c r="H306" s="87">
        <f t="shared" si="36"/>
        <v>3.5105607676468682</v>
      </c>
      <c r="I306">
        <f t="shared" si="44"/>
        <v>664.24741334546115</v>
      </c>
      <c r="J306">
        <f t="shared" si="45"/>
        <v>62.123706672730592</v>
      </c>
      <c r="K306">
        <f t="shared" si="39"/>
        <v>62.123706672730592</v>
      </c>
      <c r="L306" s="60">
        <f t="shared" si="46"/>
        <v>74.071761058125034</v>
      </c>
      <c r="M306">
        <f t="shared" si="47"/>
        <v>38.106492932305656</v>
      </c>
    </row>
    <row r="307" spans="1:13" x14ac:dyDescent="0.3">
      <c r="C307" s="16">
        <v>45035</v>
      </c>
      <c r="D307" s="57">
        <v>1.93472222222225</v>
      </c>
      <c r="E307" s="19">
        <f t="shared" si="42"/>
        <v>53.066666666666578</v>
      </c>
      <c r="F307" s="19">
        <f t="shared" si="43"/>
        <v>25.26666666666658</v>
      </c>
      <c r="G307" s="54">
        <f t="shared" si="37"/>
        <v>3.519348149216186</v>
      </c>
      <c r="H307" s="87">
        <f t="shared" si="36"/>
        <v>3.519348149216186</v>
      </c>
      <c r="I307">
        <f t="shared" si="44"/>
        <v>664.83397137033057</v>
      </c>
      <c r="J307">
        <f t="shared" si="45"/>
        <v>62.416985685165272</v>
      </c>
      <c r="K307">
        <f t="shared" si="39"/>
        <v>62.416985685165272</v>
      </c>
      <c r="L307" s="60">
        <f t="shared" si="46"/>
        <v>74.355786243532151</v>
      </c>
      <c r="M307">
        <f t="shared" si="47"/>
        <v>38.168252630954733</v>
      </c>
    </row>
    <row r="308" spans="1:13" x14ac:dyDescent="0.3">
      <c r="A308" s="61"/>
      <c r="B308" s="61"/>
      <c r="C308" s="16">
        <v>45035</v>
      </c>
      <c r="D308" s="57">
        <v>1.9381944444444701</v>
      </c>
      <c r="E308" s="19">
        <f t="shared" si="42"/>
        <v>53.149999999999913</v>
      </c>
      <c r="F308" s="19">
        <f t="shared" si="43"/>
        <v>25.349999999999913</v>
      </c>
      <c r="G308" s="54">
        <f t="shared" si="37"/>
        <v>3.5281575267228931</v>
      </c>
      <c r="H308" s="87">
        <f t="shared" si="36"/>
        <v>3.5281575267228931</v>
      </c>
      <c r="I308">
        <f t="shared" si="44"/>
        <v>665.42199762478435</v>
      </c>
      <c r="J308">
        <f t="shared" si="45"/>
        <v>62.710998812392177</v>
      </c>
      <c r="K308">
        <f t="shared" si="39"/>
        <v>62.710998812392177</v>
      </c>
      <c r="L308" s="60">
        <f t="shared" si="46"/>
        <v>74.640019771965356</v>
      </c>
      <c r="M308">
        <f t="shared" si="47"/>
        <v>38.230057632637369</v>
      </c>
    </row>
    <row r="309" spans="1:13" x14ac:dyDescent="0.3">
      <c r="C309" s="16">
        <v>45035</v>
      </c>
      <c r="D309" s="57">
        <v>1.9416666666667</v>
      </c>
      <c r="E309" s="19">
        <f t="shared" si="42"/>
        <v>53.233333333333249</v>
      </c>
      <c r="F309" s="19">
        <f t="shared" si="43"/>
        <v>25.433333333333245</v>
      </c>
      <c r="G309" s="54">
        <f t="shared" si="37"/>
        <v>3.5369889552256266</v>
      </c>
      <c r="H309" s="87">
        <f t="shared" si="36"/>
        <v>3.5369889552256266</v>
      </c>
      <c r="I309">
        <f t="shared" si="44"/>
        <v>666.01149578398861</v>
      </c>
      <c r="J309">
        <f t="shared" si="45"/>
        <v>63.005747891994311</v>
      </c>
      <c r="K309">
        <f t="shared" si="39"/>
        <v>63.005747891994311</v>
      </c>
      <c r="L309" s="60">
        <f t="shared" si="46"/>
        <v>74.924460983544364</v>
      </c>
      <c r="M309">
        <f t="shared" si="47"/>
        <v>38.291907793866272</v>
      </c>
    </row>
    <row r="310" spans="1:13" x14ac:dyDescent="0.3">
      <c r="C310" s="16">
        <v>45035</v>
      </c>
      <c r="D310" s="57">
        <v>1.9451388888889201</v>
      </c>
      <c r="E310" s="19">
        <f t="shared" si="42"/>
        <v>53.316666666666578</v>
      </c>
      <c r="F310" s="19">
        <f t="shared" si="43"/>
        <v>25.516666666666577</v>
      </c>
      <c r="G310" s="54">
        <f t="shared" si="37"/>
        <v>3.5458424899208438</v>
      </c>
      <c r="H310" s="87">
        <f t="shared" si="36"/>
        <v>3.5458424899208438</v>
      </c>
      <c r="I310">
        <f t="shared" si="44"/>
        <v>666.60246953230876</v>
      </c>
      <c r="J310">
        <f t="shared" si="45"/>
        <v>63.30123476615438</v>
      </c>
      <c r="K310">
        <f t="shared" si="39"/>
        <v>63.30123476615438</v>
      </c>
      <c r="L310" s="60">
        <f t="shared" si="46"/>
        <v>75.209109216125313</v>
      </c>
      <c r="M310">
        <f t="shared" si="47"/>
        <v>38.353802970661924</v>
      </c>
    </row>
    <row r="311" spans="1:13" x14ac:dyDescent="0.3">
      <c r="C311" s="16">
        <v>45035</v>
      </c>
      <c r="D311" s="57">
        <v>1.9486111111111399</v>
      </c>
      <c r="E311" s="19">
        <f t="shared" si="42"/>
        <v>53.399999999999906</v>
      </c>
      <c r="F311" s="19">
        <f t="shared" si="43"/>
        <v>25.599999999999909</v>
      </c>
      <c r="G311" s="54">
        <f t="shared" si="37"/>
        <v>3.5547181861431656</v>
      </c>
      <c r="H311" s="87">
        <f t="shared" si="36"/>
        <v>3.5547181861431656</v>
      </c>
      <c r="I311">
        <f t="shared" si="44"/>
        <v>667.19492256333263</v>
      </c>
      <c r="J311">
        <f t="shared" si="45"/>
        <v>63.597461281666313</v>
      </c>
      <c r="K311">
        <f t="shared" si="39"/>
        <v>63.597461281666313</v>
      </c>
      <c r="L311" s="60">
        <f t="shared" si="46"/>
        <v>75.493963805305313</v>
      </c>
      <c r="M311">
        <f t="shared" si="47"/>
        <v>38.41574301855362</v>
      </c>
    </row>
    <row r="312" spans="1:13" x14ac:dyDescent="0.3">
      <c r="C312" s="16">
        <v>45035</v>
      </c>
      <c r="D312" s="57">
        <v>1.95208333333336</v>
      </c>
      <c r="E312" s="19">
        <f t="shared" si="42"/>
        <v>53.483333333333242</v>
      </c>
      <c r="F312" s="19">
        <f t="shared" si="43"/>
        <v>25.683333333333241</v>
      </c>
      <c r="G312" s="54">
        <f t="shared" si="37"/>
        <v>3.5636160993657224</v>
      </c>
      <c r="H312" s="87">
        <f t="shared" si="36"/>
        <v>3.5636160993657224</v>
      </c>
      <c r="I312">
        <f t="shared" si="44"/>
        <v>667.7888585798936</v>
      </c>
      <c r="J312">
        <f t="shared" si="45"/>
        <v>63.894429289946792</v>
      </c>
      <c r="K312">
        <f t="shared" si="39"/>
        <v>63.894429289946792</v>
      </c>
      <c r="L312" s="60">
        <f t="shared" si="46"/>
        <v>75.779024084427121</v>
      </c>
      <c r="M312">
        <f t="shared" si="47"/>
        <v>38.477727792580438</v>
      </c>
    </row>
    <row r="313" spans="1:13" x14ac:dyDescent="0.3">
      <c r="C313" s="16">
        <v>45035</v>
      </c>
      <c r="D313" s="57">
        <v>1.9555555555555799</v>
      </c>
      <c r="E313" s="19">
        <f t="shared" si="42"/>
        <v>53.566666666666578</v>
      </c>
      <c r="F313" s="19">
        <f t="shared" si="43"/>
        <v>25.766666666666573</v>
      </c>
      <c r="G313" s="54">
        <f t="shared" si="37"/>
        <v>3.5725362852005</v>
      </c>
      <c r="H313" s="87">
        <f t="shared" si="36"/>
        <v>3.5725362852005</v>
      </c>
      <c r="I313">
        <f t="shared" si="44"/>
        <v>668.38428129409374</v>
      </c>
      <c r="J313">
        <f t="shared" si="45"/>
        <v>64.192140647046841</v>
      </c>
      <c r="K313">
        <f t="shared" si="39"/>
        <v>64.192140647046841</v>
      </c>
      <c r="L313" s="60">
        <f t="shared" si="46"/>
        <v>76.064289384583915</v>
      </c>
      <c r="M313">
        <f t="shared" si="47"/>
        <v>38.539757147292306</v>
      </c>
    </row>
    <row r="314" spans="1:13" x14ac:dyDescent="0.3">
      <c r="C314" s="16">
        <v>45035</v>
      </c>
      <c r="D314" s="57">
        <v>1.95902777777781</v>
      </c>
      <c r="E314" s="19">
        <f t="shared" si="42"/>
        <v>53.649999999999906</v>
      </c>
      <c r="F314" s="19">
        <f t="shared" si="43"/>
        <v>25.849999999999905</v>
      </c>
      <c r="G314" s="54">
        <f t="shared" si="37"/>
        <v>3.5814787993986901</v>
      </c>
      <c r="H314" s="87">
        <f t="shared" si="36"/>
        <v>3.5814787993986901</v>
      </c>
      <c r="I314">
        <f t="shared" si="44"/>
        <v>668.98119442732684</v>
      </c>
      <c r="J314">
        <f t="shared" si="45"/>
        <v>64.490597213663392</v>
      </c>
      <c r="K314">
        <f t="shared" si="39"/>
        <v>64.490597213663392</v>
      </c>
      <c r="L314" s="60">
        <f t="shared" si="46"/>
        <v>76.349759034624071</v>
      </c>
      <c r="M314">
        <f t="shared" si="47"/>
        <v>38.601830936751035</v>
      </c>
    </row>
    <row r="315" spans="1:13" x14ac:dyDescent="0.3">
      <c r="C315" s="16">
        <v>45035</v>
      </c>
      <c r="D315" s="57">
        <v>1.9625000000000301</v>
      </c>
      <c r="E315" s="19">
        <f t="shared" si="42"/>
        <v>53.733333333333235</v>
      </c>
      <c r="F315" s="19">
        <f t="shared" si="43"/>
        <v>25.933333333333238</v>
      </c>
      <c r="G315" s="54">
        <f t="shared" si="37"/>
        <v>3.5904436978510348</v>
      </c>
      <c r="H315" s="87">
        <f t="shared" si="36"/>
        <v>3.5904436978510348</v>
      </c>
      <c r="I315">
        <f t="shared" si="44"/>
        <v>669.57960171030197</v>
      </c>
      <c r="J315">
        <f t="shared" si="45"/>
        <v>64.789800855150972</v>
      </c>
      <c r="K315">
        <f t="shared" si="39"/>
        <v>64.789800855150972</v>
      </c>
      <c r="L315" s="60">
        <f t="shared" si="46"/>
        <v>76.635432361155921</v>
      </c>
      <c r="M315">
        <f t="shared" si="47"/>
        <v>38.663949014531354</v>
      </c>
    </row>
    <row r="316" spans="1:13" x14ac:dyDescent="0.3">
      <c r="C316" s="16">
        <v>45035</v>
      </c>
      <c r="D316" s="57">
        <v>1.96597222222225</v>
      </c>
      <c r="E316" s="19">
        <f t="shared" si="42"/>
        <v>53.816666666666571</v>
      </c>
      <c r="F316" s="19">
        <f t="shared" si="43"/>
        <v>26.01666666666657</v>
      </c>
      <c r="G316" s="54">
        <f t="shared" si="37"/>
        <v>3.5994310365881783</v>
      </c>
      <c r="H316" s="87">
        <f t="shared" si="36"/>
        <v>3.5994310365881783</v>
      </c>
      <c r="I316">
        <f t="shared" si="44"/>
        <v>670.17950688306667</v>
      </c>
      <c r="J316">
        <f t="shared" si="45"/>
        <v>65.089753441533318</v>
      </c>
      <c r="K316">
        <f t="shared" si="39"/>
        <v>65.089753441533318</v>
      </c>
      <c r="L316" s="60">
        <f t="shared" si="46"/>
        <v>76.921308688552671</v>
      </c>
      <c r="M316">
        <f t="shared" si="47"/>
        <v>38.726111233721966</v>
      </c>
    </row>
    <row r="317" spans="1:13" x14ac:dyDescent="0.3">
      <c r="C317" s="16">
        <v>45035</v>
      </c>
      <c r="D317" s="57">
        <v>1.9694444444444701</v>
      </c>
      <c r="E317" s="19">
        <f t="shared" si="42"/>
        <v>53.899999999999906</v>
      </c>
      <c r="F317" s="19">
        <f t="shared" si="43"/>
        <v>26.099999999999902</v>
      </c>
      <c r="G317" s="54">
        <f t="shared" si="37"/>
        <v>3.6084408717810179</v>
      </c>
      <c r="H317" s="87">
        <f t="shared" si="36"/>
        <v>3.6084408717810179</v>
      </c>
      <c r="I317">
        <f t="shared" si="44"/>
        <v>670.78091369503022</v>
      </c>
      <c r="J317">
        <f t="shared" si="45"/>
        <v>65.390456847515068</v>
      </c>
      <c r="K317">
        <f t="shared" si="39"/>
        <v>65.390456847515068</v>
      </c>
      <c r="L317" s="60">
        <f t="shared" si="46"/>
        <v>77.207387338957361</v>
      </c>
      <c r="M317">
        <f t="shared" si="47"/>
        <v>38.788317446926627</v>
      </c>
    </row>
    <row r="318" spans="1:13" x14ac:dyDescent="0.3">
      <c r="C318" s="16">
        <v>45035</v>
      </c>
      <c r="D318" s="57">
        <v>1.9729166666667</v>
      </c>
      <c r="E318" s="19">
        <f t="shared" si="42"/>
        <v>53.983333333333235</v>
      </c>
      <c r="F318" s="19">
        <f t="shared" si="43"/>
        <v>26.183333333333234</v>
      </c>
      <c r="G318" s="54">
        <f t="shared" si="37"/>
        <v>3.6174732597410517</v>
      </c>
      <c r="H318" s="87">
        <f t="shared" si="36"/>
        <v>3.6174732597410517</v>
      </c>
      <c r="I318">
        <f t="shared" si="44"/>
        <v>671.38382590498702</v>
      </c>
      <c r="J318">
        <f t="shared" si="45"/>
        <v>65.691912952493496</v>
      </c>
      <c r="K318">
        <f t="shared" si="39"/>
        <v>65.691912952493496</v>
      </c>
      <c r="L318" s="60">
        <f t="shared" si="46"/>
        <v>77.493667632287796</v>
      </c>
      <c r="M318">
        <f t="shared" si="47"/>
        <v>38.850567506265257</v>
      </c>
    </row>
    <row r="319" spans="1:13" x14ac:dyDescent="0.3">
      <c r="C319" s="16">
        <v>45035</v>
      </c>
      <c r="D319" s="57">
        <v>1.9763888888889201</v>
      </c>
      <c r="E319" s="19">
        <f t="shared" si="42"/>
        <v>54.066666666666563</v>
      </c>
      <c r="F319" s="19">
        <f t="shared" si="43"/>
        <v>26.266666666666566</v>
      </c>
      <c r="G319" s="54">
        <f t="shared" si="37"/>
        <v>3.6265282569207349</v>
      </c>
      <c r="H319" s="87">
        <f t="shared" si="36"/>
        <v>3.6265282569207349</v>
      </c>
      <c r="I319">
        <f t="shared" si="44"/>
        <v>671.9882472811405</v>
      </c>
      <c r="J319">
        <f t="shared" si="45"/>
        <v>65.994123640570223</v>
      </c>
      <c r="K319">
        <f t="shared" si="39"/>
        <v>65.994123640570223</v>
      </c>
      <c r="L319" s="60">
        <f t="shared" si="46"/>
        <v>77.780148886241534</v>
      </c>
      <c r="M319">
        <f t="shared" si="47"/>
        <v>38.912861263374971</v>
      </c>
    </row>
    <row r="320" spans="1:13" x14ac:dyDescent="0.3">
      <c r="C320" s="16">
        <v>45035</v>
      </c>
      <c r="D320" s="57">
        <v>1.9798611111111399</v>
      </c>
      <c r="E320" s="19">
        <f t="shared" si="42"/>
        <v>54.149999999999899</v>
      </c>
      <c r="F320" s="19">
        <f t="shared" si="43"/>
        <v>26.349999999999898</v>
      </c>
      <c r="G320" s="54">
        <f t="shared" si="37"/>
        <v>3.6356059199138291</v>
      </c>
      <c r="H320" s="87">
        <f t="shared" si="36"/>
        <v>3.6356059199138291</v>
      </c>
      <c r="I320">
        <f t="shared" si="44"/>
        <v>672.59418160112614</v>
      </c>
      <c r="J320">
        <f t="shared" si="45"/>
        <v>66.297090800563041</v>
      </c>
      <c r="K320">
        <f t="shared" si="39"/>
        <v>66.297090800563041</v>
      </c>
      <c r="L320" s="60">
        <f t="shared" si="46"/>
        <v>78.066830416301073</v>
      </c>
      <c r="M320">
        <f t="shared" si="47"/>
        <v>38.975198569411248</v>
      </c>
    </row>
    <row r="321" spans="2:13" x14ac:dyDescent="0.3">
      <c r="C321" s="16">
        <v>45035</v>
      </c>
      <c r="D321" s="57">
        <v>1.98333333333336</v>
      </c>
      <c r="E321" s="19">
        <f t="shared" si="42"/>
        <v>54.233333333333235</v>
      </c>
      <c r="F321" s="19">
        <f t="shared" si="43"/>
        <v>26.433333333333231</v>
      </c>
      <c r="G321" s="54">
        <f t="shared" si="37"/>
        <v>3.6447063054557578</v>
      </c>
      <c r="H321" s="87">
        <f t="shared" si="36"/>
        <v>3.6447063054557578</v>
      </c>
      <c r="I321">
        <f t="shared" si="44"/>
        <v>673.20163265203541</v>
      </c>
      <c r="J321">
        <f t="shared" si="45"/>
        <v>66.600816326017693</v>
      </c>
      <c r="K321">
        <f t="shared" si="39"/>
        <v>66.600816326017693</v>
      </c>
      <c r="L321" s="60">
        <f t="shared" si="46"/>
        <v>78.353711535738825</v>
      </c>
      <c r="M321">
        <f t="shared" si="47"/>
        <v>39.037579275048991</v>
      </c>
    </row>
    <row r="322" spans="2:13" x14ac:dyDescent="0.3">
      <c r="C322" s="16">
        <v>45035</v>
      </c>
      <c r="D322" s="57">
        <v>1.9868055555555899</v>
      </c>
      <c r="E322" s="19">
        <f t="shared" si="42"/>
        <v>54.316666666666563</v>
      </c>
      <c r="F322" s="19">
        <f t="shared" si="43"/>
        <v>26.516666666666563</v>
      </c>
      <c r="G322" s="54">
        <f t="shared" si="37"/>
        <v>3.6538294704239593</v>
      </c>
      <c r="H322" s="87">
        <f t="shared" si="36"/>
        <v>3.6538294704239593</v>
      </c>
      <c r="I322">
        <f t="shared" si="44"/>
        <v>673.81060423043937</v>
      </c>
      <c r="J322">
        <f t="shared" si="45"/>
        <v>66.905302115219683</v>
      </c>
      <c r="K322">
        <f t="shared" si="39"/>
        <v>66.905302115219683</v>
      </c>
      <c r="L322" s="60">
        <f t="shared" si="46"/>
        <v>78.640791555622428</v>
      </c>
      <c r="M322">
        <f t="shared" si="47"/>
        <v>39.100003230483686</v>
      </c>
    </row>
    <row r="323" spans="2:13" x14ac:dyDescent="0.3">
      <c r="C323" s="16">
        <v>45035</v>
      </c>
      <c r="D323" s="57">
        <v>1.99027777777781</v>
      </c>
      <c r="E323" s="19">
        <f t="shared" si="42"/>
        <v>54.399999999999892</v>
      </c>
      <c r="F323" s="19">
        <f t="shared" si="43"/>
        <v>26.599999999999895</v>
      </c>
      <c r="G323" s="54">
        <f t="shared" si="37"/>
        <v>3.6629754718382448</v>
      </c>
      <c r="H323" s="87">
        <f t="shared" si="36"/>
        <v>3.6629754718382448</v>
      </c>
      <c r="I323">
        <f t="shared" si="44"/>
        <v>674.42110014241246</v>
      </c>
      <c r="J323">
        <f t="shared" si="45"/>
        <v>67.2105500712062</v>
      </c>
      <c r="K323">
        <f t="shared" si="39"/>
        <v>67.2105500712062</v>
      </c>
      <c r="L323" s="60">
        <f t="shared" si="46"/>
        <v>78.928069784819854</v>
      </c>
      <c r="M323">
        <f t="shared" si="47"/>
        <v>39.162470285432505</v>
      </c>
    </row>
    <row r="324" spans="2:13" x14ac:dyDescent="0.3">
      <c r="C324" s="16">
        <v>45035</v>
      </c>
      <c r="D324" s="57">
        <v>1.9937500000000301</v>
      </c>
      <c r="E324" s="19">
        <f t="shared" si="42"/>
        <v>54.483333333333228</v>
      </c>
      <c r="F324" s="19">
        <f t="shared" si="43"/>
        <v>26.683333333333227</v>
      </c>
      <c r="G324" s="54">
        <f t="shared" si="37"/>
        <v>3.6721443668611533</v>
      </c>
      <c r="H324" s="87">
        <f t="shared" ref="H324:H387" si="48">G324</f>
        <v>3.6721443668611533</v>
      </c>
      <c r="I324">
        <f t="shared" si="44"/>
        <v>675.03312420355599</v>
      </c>
      <c r="J324">
        <f t="shared" si="45"/>
        <v>67.516562101777964</v>
      </c>
      <c r="K324">
        <f t="shared" si="39"/>
        <v>67.516562101777964</v>
      </c>
      <c r="L324" s="60">
        <f t="shared" si="46"/>
        <v>79.215545530004761</v>
      </c>
      <c r="M324">
        <f t="shared" si="47"/>
        <v>39.224980289135488</v>
      </c>
    </row>
    <row r="325" spans="2:13" x14ac:dyDescent="0.3">
      <c r="C325" s="16">
        <v>45035</v>
      </c>
      <c r="D325" s="57">
        <v>1.99722222222225</v>
      </c>
      <c r="E325" s="19">
        <f t="shared" si="42"/>
        <v>54.566666666666563</v>
      </c>
      <c r="F325" s="19">
        <f t="shared" si="43"/>
        <v>26.766666666666559</v>
      </c>
      <c r="G325" s="54">
        <f t="shared" ref="G325:G388" si="49">$G$4*EXP($T$1*F325)</f>
        <v>3.6813362127983082</v>
      </c>
      <c r="H325" s="87">
        <f t="shared" si="48"/>
        <v>3.6813362127983082</v>
      </c>
      <c r="I325">
        <f t="shared" si="44"/>
        <v>675.64668023902232</v>
      </c>
      <c r="J325">
        <f t="shared" si="45"/>
        <v>67.823340119511158</v>
      </c>
      <c r="K325">
        <f t="shared" ref="K325:K388" si="50">J325</f>
        <v>67.823340119511158</v>
      </c>
      <c r="L325" s="60">
        <f t="shared" si="46"/>
        <v>79.503218095661765</v>
      </c>
      <c r="M325">
        <f t="shared" si="47"/>
        <v>39.287533090356682</v>
      </c>
    </row>
    <row r="326" spans="2:13" x14ac:dyDescent="0.3">
      <c r="C326" s="16">
        <v>45036</v>
      </c>
      <c r="D326" s="57">
        <v>2.0006944444444801</v>
      </c>
      <c r="E326" s="19">
        <f t="shared" ref="E326:E389" si="51">$E$3+F326</f>
        <v>54.649999999999892</v>
      </c>
      <c r="F326" s="19">
        <f t="shared" ref="F326:F389" si="52">F325+5/60</f>
        <v>26.849999999999891</v>
      </c>
      <c r="G326" s="54">
        <f t="shared" si="49"/>
        <v>3.6905510670987769</v>
      </c>
      <c r="H326" s="87">
        <f t="shared" si="48"/>
        <v>3.6905510670987769</v>
      </c>
      <c r="I326">
        <f t="shared" ref="I326:I389" si="53">I325+(G326+H326)*5/60</f>
        <v>676.26177208353874</v>
      </c>
      <c r="J326">
        <f t="shared" si="45"/>
        <v>68.130886041769386</v>
      </c>
      <c r="K326">
        <f t="shared" si="50"/>
        <v>68.130886041769386</v>
      </c>
      <c r="L326" s="60">
        <f t="shared" si="46"/>
        <v>79.791086784091803</v>
      </c>
      <c r="M326">
        <f t="shared" si="47"/>
        <v>39.350128537385302</v>
      </c>
    </row>
    <row r="327" spans="2:13" x14ac:dyDescent="0.3">
      <c r="C327" s="16">
        <v>45036</v>
      </c>
      <c r="D327" s="57">
        <v>2.0041666666667002</v>
      </c>
      <c r="E327" s="19">
        <f t="shared" si="51"/>
        <v>54.733333333333221</v>
      </c>
      <c r="F327" s="19">
        <f t="shared" si="52"/>
        <v>26.933333333333223</v>
      </c>
      <c r="G327" s="54">
        <f t="shared" si="49"/>
        <v>3.6997889873554279</v>
      </c>
      <c r="H327" s="87">
        <f t="shared" si="48"/>
        <v>3.6997889873554279</v>
      </c>
      <c r="I327">
        <f t="shared" si="53"/>
        <v>676.87840358143137</v>
      </c>
      <c r="J327">
        <f t="shared" si="45"/>
        <v>68.439201790715671</v>
      </c>
      <c r="K327">
        <f t="shared" si="50"/>
        <v>68.439201790715671</v>
      </c>
      <c r="L327" s="60">
        <f t="shared" si="46"/>
        <v>80.079150895417584</v>
      </c>
      <c r="M327">
        <f t="shared" si="47"/>
        <v>39.412766478036922</v>
      </c>
    </row>
    <row r="328" spans="2:13" x14ac:dyDescent="0.3">
      <c r="C328" s="16">
        <v>45036</v>
      </c>
      <c r="D328" s="57">
        <v>2.0076388888889198</v>
      </c>
      <c r="E328" s="19">
        <f t="shared" si="51"/>
        <v>54.816666666666556</v>
      </c>
      <c r="F328" s="19">
        <f t="shared" si="52"/>
        <v>27.016666666666556</v>
      </c>
      <c r="G328" s="54">
        <f t="shared" si="49"/>
        <v>3.7090500313052943</v>
      </c>
      <c r="H328" s="87">
        <f t="shared" si="48"/>
        <v>3.7090500313052943</v>
      </c>
      <c r="I328">
        <f t="shared" si="53"/>
        <v>677.49657858664887</v>
      </c>
      <c r="J328">
        <f t="shared" si="45"/>
        <v>68.748289293324447</v>
      </c>
      <c r="K328">
        <f t="shared" si="50"/>
        <v>68.748289293324447</v>
      </c>
      <c r="L328" s="60">
        <f t="shared" si="46"/>
        <v>80.367409727589049</v>
      </c>
      <c r="M328">
        <f t="shared" si="47"/>
        <v>39.475446759654659</v>
      </c>
    </row>
    <row r="329" spans="2:13" x14ac:dyDescent="0.3">
      <c r="C329" s="16">
        <v>45036</v>
      </c>
      <c r="D329" s="57">
        <v>2.0111111111111399</v>
      </c>
      <c r="E329" s="19">
        <f t="shared" si="51"/>
        <v>54.899999999999892</v>
      </c>
      <c r="F329" s="19">
        <f t="shared" si="52"/>
        <v>27.099999999999888</v>
      </c>
      <c r="G329" s="54">
        <f t="shared" si="49"/>
        <v>3.7183342568299298</v>
      </c>
      <c r="H329" s="87">
        <f t="shared" si="48"/>
        <v>3.7183342568299298</v>
      </c>
      <c r="I329">
        <f t="shared" si="53"/>
        <v>678.11630096278714</v>
      </c>
      <c r="J329">
        <f t="shared" si="45"/>
        <v>69.058150481393611</v>
      </c>
      <c r="K329">
        <f t="shared" si="50"/>
        <v>69.058150481393611</v>
      </c>
      <c r="L329" s="60">
        <f t="shared" si="46"/>
        <v>80.655862576388856</v>
      </c>
      <c r="M329">
        <f t="shared" si="47"/>
        <v>39.538169229110359</v>
      </c>
    </row>
    <row r="330" spans="2:13" x14ac:dyDescent="0.3">
      <c r="C330" s="16">
        <v>45036</v>
      </c>
      <c r="D330" s="57">
        <v>2.01458333333336</v>
      </c>
      <c r="E330" s="19">
        <f t="shared" si="51"/>
        <v>54.983333333333221</v>
      </c>
      <c r="F330" s="19">
        <f t="shared" si="52"/>
        <v>27.18333333333322</v>
      </c>
      <c r="G330" s="54">
        <f t="shared" si="49"/>
        <v>3.7276417219557736</v>
      </c>
      <c r="H330" s="87">
        <f t="shared" si="48"/>
        <v>3.7276417219557736</v>
      </c>
      <c r="I330">
        <f t="shared" si="53"/>
        <v>678.73757458311309</v>
      </c>
      <c r="J330">
        <f t="shared" si="45"/>
        <v>69.368787291556586</v>
      </c>
      <c r="K330">
        <f t="shared" si="50"/>
        <v>69.368787291556586</v>
      </c>
      <c r="L330" s="60">
        <f t="shared" si="46"/>
        <v>80.944508735437978</v>
      </c>
      <c r="M330">
        <f t="shared" si="47"/>
        <v>39.600933732805821</v>
      </c>
    </row>
    <row r="331" spans="2:13" x14ac:dyDescent="0.3">
      <c r="B331" s="61" t="s">
        <v>75</v>
      </c>
      <c r="C331" s="16">
        <v>45036</v>
      </c>
      <c r="D331" s="57">
        <v>2.0180555555555899</v>
      </c>
      <c r="E331" s="19">
        <f t="shared" si="51"/>
        <v>55.066666666666549</v>
      </c>
      <c r="F331" s="19">
        <f t="shared" si="52"/>
        <v>27.266666666666552</v>
      </c>
      <c r="G331" s="54">
        <f t="shared" si="49"/>
        <v>3.7369724848545145</v>
      </c>
      <c r="H331" s="87">
        <f t="shared" si="48"/>
        <v>3.7369724848545145</v>
      </c>
      <c r="I331">
        <f t="shared" si="53"/>
        <v>679.36040333058884</v>
      </c>
      <c r="J331">
        <f t="shared" si="45"/>
        <v>69.680201665294462</v>
      </c>
      <c r="K331">
        <f t="shared" si="50"/>
        <v>69.680201665294462</v>
      </c>
      <c r="L331" s="60">
        <f t="shared" si="46"/>
        <v>81.233347496201276</v>
      </c>
      <c r="M331">
        <f t="shared" si="47"/>
        <v>39.66374011667402</v>
      </c>
    </row>
    <row r="332" spans="2:13" x14ac:dyDescent="0.3">
      <c r="C332" s="16">
        <v>45036</v>
      </c>
      <c r="D332" s="57">
        <v>2.02152777777781</v>
      </c>
      <c r="E332" s="19">
        <f t="shared" si="51"/>
        <v>55.149999999999885</v>
      </c>
      <c r="F332" s="19">
        <f t="shared" si="52"/>
        <v>27.349999999999884</v>
      </c>
      <c r="G332" s="54">
        <f t="shared" si="49"/>
        <v>3.7463266038434502</v>
      </c>
      <c r="H332" s="87">
        <f t="shared" si="48"/>
        <v>3.7463266038434502</v>
      </c>
      <c r="I332">
        <f t="shared" si="53"/>
        <v>679.98479109789605</v>
      </c>
      <c r="J332">
        <f t="shared" si="45"/>
        <v>69.992395548948082</v>
      </c>
      <c r="K332">
        <f t="shared" si="50"/>
        <v>69.992395548948082</v>
      </c>
      <c r="L332" s="60">
        <f t="shared" si="46"/>
        <v>81.522378147993209</v>
      </c>
      <c r="M332">
        <f t="shared" si="47"/>
        <v>39.726588226180333</v>
      </c>
    </row>
    <row r="333" spans="2:13" x14ac:dyDescent="0.3">
      <c r="C333" s="16">
        <v>45036</v>
      </c>
      <c r="D333" s="57">
        <v>2.0250000000000301</v>
      </c>
      <c r="E333" s="19">
        <f t="shared" si="51"/>
        <v>55.233333333333221</v>
      </c>
      <c r="F333" s="19">
        <f t="shared" si="52"/>
        <v>27.433333333333216</v>
      </c>
      <c r="G333" s="54">
        <f t="shared" si="49"/>
        <v>3.7557041373858557</v>
      </c>
      <c r="H333" s="87">
        <f t="shared" si="48"/>
        <v>3.7557041373858557</v>
      </c>
      <c r="I333">
        <f t="shared" si="53"/>
        <v>680.61074178746037</v>
      </c>
      <c r="J333">
        <f t="shared" si="45"/>
        <v>70.305370893730242</v>
      </c>
      <c r="K333">
        <f t="shared" si="50"/>
        <v>70.305370893730242</v>
      </c>
      <c r="L333" s="60">
        <f t="shared" si="46"/>
        <v>81.811599977983477</v>
      </c>
      <c r="M333">
        <f t="shared" si="47"/>
        <v>39.789477906323775</v>
      </c>
    </row>
    <row r="334" spans="2:13" x14ac:dyDescent="0.3">
      <c r="C334" s="16">
        <v>45036</v>
      </c>
      <c r="D334" s="57">
        <v>2.0284722222222502</v>
      </c>
      <c r="E334" s="19">
        <f t="shared" si="51"/>
        <v>55.316666666666549</v>
      </c>
      <c r="F334" s="19">
        <f t="shared" si="52"/>
        <v>27.516666666666548</v>
      </c>
      <c r="G334" s="54">
        <f t="shared" si="49"/>
        <v>3.7651051440913452</v>
      </c>
      <c r="H334" s="87">
        <f t="shared" si="48"/>
        <v>3.7651051440913452</v>
      </c>
      <c r="I334">
        <f t="shared" si="53"/>
        <v>681.23825931147564</v>
      </c>
      <c r="J334">
        <f t="shared" si="45"/>
        <v>70.619129655737851</v>
      </c>
      <c r="K334">
        <f t="shared" si="50"/>
        <v>70.619129655737851</v>
      </c>
      <c r="L334" s="60">
        <f t="shared" si="46"/>
        <v>82.101012271202862</v>
      </c>
      <c r="M334">
        <f t="shared" si="47"/>
        <v>39.852409001638257</v>
      </c>
    </row>
    <row r="335" spans="2:13" x14ac:dyDescent="0.3">
      <c r="C335" s="16">
        <v>45036</v>
      </c>
      <c r="D335" s="57">
        <v>2.0319444444444801</v>
      </c>
      <c r="E335" s="19">
        <f t="shared" si="51"/>
        <v>55.399999999999878</v>
      </c>
      <c r="F335" s="19">
        <f t="shared" si="52"/>
        <v>27.599999999999881</v>
      </c>
      <c r="G335" s="54">
        <f t="shared" si="49"/>
        <v>3.7745296827162402</v>
      </c>
      <c r="H335" s="87">
        <f t="shared" si="48"/>
        <v>3.7745296827162402</v>
      </c>
      <c r="I335">
        <f t="shared" si="53"/>
        <v>681.86734759192836</v>
      </c>
      <c r="J335">
        <f t="shared" si="45"/>
        <v>70.933673795964211</v>
      </c>
      <c r="K335">
        <f t="shared" si="50"/>
        <v>70.933673795964211</v>
      </c>
      <c r="L335" s="60">
        <f t="shared" si="46"/>
        <v>82.390614310548983</v>
      </c>
      <c r="M335">
        <f t="shared" si="47"/>
        <v>39.915381356193855</v>
      </c>
    </row>
    <row r="336" spans="2:13" x14ac:dyDescent="0.3">
      <c r="C336" s="16">
        <v>45036</v>
      </c>
      <c r="D336" s="57">
        <v>2.0354166666667002</v>
      </c>
      <c r="E336" s="19">
        <f t="shared" si="51"/>
        <v>55.483333333333213</v>
      </c>
      <c r="F336" s="19">
        <f t="shared" si="52"/>
        <v>27.683333333333213</v>
      </c>
      <c r="G336" s="54">
        <f t="shared" si="49"/>
        <v>3.7839778121639402</v>
      </c>
      <c r="H336" s="87">
        <f t="shared" si="48"/>
        <v>3.7839778121639402</v>
      </c>
      <c r="I336">
        <f t="shared" si="53"/>
        <v>682.49801056062233</v>
      </c>
      <c r="J336">
        <f t="shared" si="45"/>
        <v>71.249005280311209</v>
      </c>
      <c r="K336">
        <f t="shared" si="50"/>
        <v>71.249005280311209</v>
      </c>
      <c r="L336" s="60">
        <f t="shared" si="46"/>
        <v>82.680405376792166</v>
      </c>
      <c r="M336">
        <f t="shared" si="47"/>
        <v>39.978394813598072</v>
      </c>
    </row>
    <row r="337" spans="3:13" x14ac:dyDescent="0.3">
      <c r="C337" s="16">
        <v>45036</v>
      </c>
      <c r="D337" s="57">
        <v>2.0388888888889198</v>
      </c>
      <c r="E337" s="19">
        <f t="shared" si="51"/>
        <v>55.566666666666549</v>
      </c>
      <c r="F337" s="19">
        <f t="shared" si="52"/>
        <v>27.766666666666545</v>
      </c>
      <c r="G337" s="54">
        <f t="shared" si="49"/>
        <v>3.7934495914852842</v>
      </c>
      <c r="H337" s="87">
        <f t="shared" si="48"/>
        <v>3.7934495914852842</v>
      </c>
      <c r="I337">
        <f t="shared" si="53"/>
        <v>683.13025215920322</v>
      </c>
      <c r="J337">
        <f t="shared" si="45"/>
        <v>71.565126079601654</v>
      </c>
      <c r="K337">
        <f t="shared" si="50"/>
        <v>71.565126079601654</v>
      </c>
      <c r="L337" s="60">
        <f t="shared" si="46"/>
        <v>82.970384748581324</v>
      </c>
      <c r="M337">
        <f t="shared" si="47"/>
        <v>40.041449216997108</v>
      </c>
    </row>
    <row r="338" spans="3:13" x14ac:dyDescent="0.3">
      <c r="C338" s="16">
        <v>45036</v>
      </c>
      <c r="D338" s="57">
        <v>2.0423611111111399</v>
      </c>
      <c r="E338" s="19">
        <f t="shared" si="51"/>
        <v>55.649999999999878</v>
      </c>
      <c r="F338" s="19">
        <f t="shared" si="52"/>
        <v>27.849999999999877</v>
      </c>
      <c r="G338" s="54">
        <f t="shared" si="49"/>
        <v>3.8029450798789228</v>
      </c>
      <c r="H338" s="87">
        <f t="shared" si="48"/>
        <v>3.8029450798789228</v>
      </c>
      <c r="I338">
        <f t="shared" si="53"/>
        <v>683.76407633918302</v>
      </c>
      <c r="J338">
        <f t="shared" si="45"/>
        <v>71.882038169591567</v>
      </c>
      <c r="K338">
        <f t="shared" si="50"/>
        <v>71.882038169591567</v>
      </c>
      <c r="L338" s="60">
        <f t="shared" si="46"/>
        <v>83.260551702449945</v>
      </c>
      <c r="M338">
        <f t="shared" si="47"/>
        <v>40.104544409077207</v>
      </c>
    </row>
    <row r="339" spans="3:13" x14ac:dyDescent="0.3">
      <c r="C339" s="16">
        <v>45036</v>
      </c>
      <c r="D339" s="57">
        <v>2.0458333333333698</v>
      </c>
      <c r="E339" s="19">
        <f t="shared" si="51"/>
        <v>55.733333333333206</v>
      </c>
      <c r="F339" s="19">
        <f t="shared" si="52"/>
        <v>27.933333333333209</v>
      </c>
      <c r="G339" s="54">
        <f t="shared" si="49"/>
        <v>3.8124643366916899</v>
      </c>
      <c r="H339" s="87">
        <f t="shared" si="48"/>
        <v>3.8124643366916899</v>
      </c>
      <c r="I339">
        <f t="shared" si="53"/>
        <v>684.39948706196492</v>
      </c>
      <c r="J339">
        <f t="shared" si="45"/>
        <v>72.199743530982545</v>
      </c>
      <c r="K339">
        <f t="shared" si="50"/>
        <v>72.199743530982545</v>
      </c>
      <c r="L339" s="60">
        <f t="shared" si="46"/>
        <v>83.550905512822069</v>
      </c>
      <c r="M339">
        <f t="shared" si="47"/>
        <v>40.167680232065905</v>
      </c>
    </row>
    <row r="340" spans="3:13" x14ac:dyDescent="0.3">
      <c r="C340" s="16">
        <v>45036</v>
      </c>
      <c r="D340" s="57">
        <v>2.0493055555555899</v>
      </c>
      <c r="E340" s="19">
        <f t="shared" si="51"/>
        <v>55.816666666666542</v>
      </c>
      <c r="F340" s="19">
        <f t="shared" si="52"/>
        <v>28.016666666666541</v>
      </c>
      <c r="G340" s="54">
        <f t="shared" si="49"/>
        <v>3.8220074214189723</v>
      </c>
      <c r="H340" s="87">
        <f t="shared" si="48"/>
        <v>3.8220074214189723</v>
      </c>
      <c r="I340">
        <f t="shared" si="53"/>
        <v>685.03648829886811</v>
      </c>
      <c r="J340">
        <f t="shared" si="45"/>
        <v>72.518244149434125</v>
      </c>
      <c r="K340">
        <f t="shared" si="50"/>
        <v>72.518244149434125</v>
      </c>
      <c r="L340" s="60">
        <f t="shared" si="46"/>
        <v>83.841445452018377</v>
      </c>
      <c r="M340">
        <f t="shared" si="47"/>
        <v>40.230856527733366</v>
      </c>
    </row>
    <row r="341" spans="3:13" x14ac:dyDescent="0.3">
      <c r="C341" s="16">
        <v>45036</v>
      </c>
      <c r="D341" s="57">
        <v>2.05277777777781</v>
      </c>
      <c r="E341" s="19">
        <f t="shared" si="51"/>
        <v>55.899999999999878</v>
      </c>
      <c r="F341" s="19">
        <f t="shared" si="52"/>
        <v>28.099999999999874</v>
      </c>
      <c r="G341" s="54">
        <f t="shared" si="49"/>
        <v>3.8315743937050799</v>
      </c>
      <c r="H341" s="87">
        <f t="shared" si="48"/>
        <v>3.8315743937050799</v>
      </c>
      <c r="I341">
        <f t="shared" si="53"/>
        <v>685.67508403115232</v>
      </c>
      <c r="J341">
        <f t="shared" si="45"/>
        <v>72.837542015576219</v>
      </c>
      <c r="K341">
        <f t="shared" si="50"/>
        <v>72.837542015576219</v>
      </c>
      <c r="L341" s="60">
        <f t="shared" si="46"/>
        <v>84.132170790262236</v>
      </c>
      <c r="M341">
        <f t="shared" si="47"/>
        <v>40.294073137393724</v>
      </c>
    </row>
    <row r="342" spans="3:13" x14ac:dyDescent="0.3">
      <c r="C342" s="16">
        <v>45036</v>
      </c>
      <c r="D342" s="57">
        <v>2.0562500000000301</v>
      </c>
      <c r="E342" s="19">
        <f t="shared" si="51"/>
        <v>55.983333333333206</v>
      </c>
      <c r="F342" s="19">
        <f t="shared" si="52"/>
        <v>28.183333333333206</v>
      </c>
      <c r="G342" s="54">
        <f t="shared" si="49"/>
        <v>3.8411653133436205</v>
      </c>
      <c r="H342" s="87">
        <f t="shared" si="48"/>
        <v>3.8411653133436205</v>
      </c>
      <c r="I342">
        <f t="shared" si="53"/>
        <v>686.31527825004298</v>
      </c>
      <c r="J342">
        <f t="shared" si="45"/>
        <v>73.157639125021518</v>
      </c>
      <c r="K342">
        <f t="shared" si="50"/>
        <v>73.157639125021518</v>
      </c>
      <c r="L342" s="60">
        <f t="shared" si="46"/>
        <v>84.423080795685848</v>
      </c>
      <c r="M342">
        <f t="shared" si="47"/>
        <v>40.35732990190639</v>
      </c>
    </row>
    <row r="343" spans="3:13" x14ac:dyDescent="0.3">
      <c r="C343" s="16">
        <v>45036</v>
      </c>
      <c r="D343" s="57">
        <v>2.0597222222222502</v>
      </c>
      <c r="E343" s="19">
        <f t="shared" si="51"/>
        <v>56.066666666666535</v>
      </c>
      <c r="F343" s="19">
        <f t="shared" si="52"/>
        <v>28.266666666666538</v>
      </c>
      <c r="G343" s="54">
        <f t="shared" si="49"/>
        <v>3.850780240277873</v>
      </c>
      <c r="H343" s="87">
        <f t="shared" si="48"/>
        <v>3.850780240277873</v>
      </c>
      <c r="I343">
        <f t="shared" si="53"/>
        <v>686.95707495675595</v>
      </c>
      <c r="J343">
        <f t="shared" si="45"/>
        <v>73.478537478378001</v>
      </c>
      <c r="K343">
        <f t="shared" si="50"/>
        <v>73.478537478378001</v>
      </c>
      <c r="L343" s="60">
        <f t="shared" si="46"/>
        <v>84.71417473433651</v>
      </c>
      <c r="M343">
        <f t="shared" si="47"/>
        <v>40.420626661677431</v>
      </c>
    </row>
    <row r="344" spans="3:13" x14ac:dyDescent="0.3">
      <c r="C344" s="16">
        <v>45036</v>
      </c>
      <c r="D344" s="57">
        <v>2.0631944444444801</v>
      </c>
      <c r="E344" s="19">
        <f t="shared" si="51"/>
        <v>56.149999999999871</v>
      </c>
      <c r="F344" s="19">
        <f t="shared" si="52"/>
        <v>28.34999999999987</v>
      </c>
      <c r="G344" s="54">
        <f t="shared" si="49"/>
        <v>3.8604192346011623</v>
      </c>
      <c r="H344" s="87">
        <f t="shared" si="48"/>
        <v>3.8604192346011623</v>
      </c>
      <c r="I344">
        <f t="shared" si="53"/>
        <v>687.60047816252279</v>
      </c>
      <c r="J344">
        <f t="shared" si="45"/>
        <v>73.800239081261438</v>
      </c>
      <c r="K344">
        <f t="shared" si="50"/>
        <v>73.800239081261438</v>
      </c>
      <c r="L344" s="60">
        <f t="shared" si="46"/>
        <v>85.005451870182796</v>
      </c>
      <c r="M344">
        <f t="shared" si="47"/>
        <v>40.4839632566609</v>
      </c>
    </row>
    <row r="345" spans="3:13" x14ac:dyDescent="0.3">
      <c r="C345" s="16">
        <v>45036</v>
      </c>
      <c r="D345" s="57">
        <v>2.0666666666667002</v>
      </c>
      <c r="E345" s="19">
        <f t="shared" si="51"/>
        <v>56.233333333333206</v>
      </c>
      <c r="F345" s="19">
        <f t="shared" si="52"/>
        <v>28.433333333333202</v>
      </c>
      <c r="G345" s="54">
        <f t="shared" si="49"/>
        <v>3.8700823565572353</v>
      </c>
      <c r="H345" s="87">
        <f t="shared" si="48"/>
        <v>3.8700823565572353</v>
      </c>
      <c r="I345">
        <f t="shared" si="53"/>
        <v>688.24549188861567</v>
      </c>
      <c r="J345">
        <f t="shared" si="45"/>
        <v>74.12274594430788</v>
      </c>
      <c r="K345">
        <f t="shared" si="50"/>
        <v>74.12274594430788</v>
      </c>
      <c r="L345" s="60">
        <f t="shared" si="46"/>
        <v>85.296911465120829</v>
      </c>
      <c r="M345">
        <f t="shared" si="47"/>
        <v>40.547339526360204</v>
      </c>
    </row>
    <row r="346" spans="3:13" x14ac:dyDescent="0.3">
      <c r="C346" s="16">
        <v>45036</v>
      </c>
      <c r="D346" s="57">
        <v>2.0701388888889198</v>
      </c>
      <c r="E346" s="19">
        <f t="shared" si="51"/>
        <v>56.316666666666535</v>
      </c>
      <c r="F346" s="19">
        <f t="shared" si="52"/>
        <v>28.516666666666534</v>
      </c>
      <c r="G346" s="54">
        <f t="shared" si="49"/>
        <v>3.8797696665406343</v>
      </c>
      <c r="H346" s="87">
        <f t="shared" si="48"/>
        <v>3.8797696665406343</v>
      </c>
      <c r="I346">
        <f t="shared" si="53"/>
        <v>688.89212016637248</v>
      </c>
      <c r="J346">
        <f t="shared" si="45"/>
        <v>74.446060083186268</v>
      </c>
      <c r="K346">
        <f t="shared" si="50"/>
        <v>74.446060083186268</v>
      </c>
      <c r="L346" s="60">
        <f t="shared" si="46"/>
        <v>85.588552778980684</v>
      </c>
      <c r="M346">
        <f t="shared" si="47"/>
        <v>40.610755309829507</v>
      </c>
    </row>
    <row r="347" spans="3:13" x14ac:dyDescent="0.3">
      <c r="C347" s="16">
        <v>45036</v>
      </c>
      <c r="D347" s="57">
        <v>2.0736111111111399</v>
      </c>
      <c r="E347" s="19">
        <f t="shared" si="51"/>
        <v>56.399999999999864</v>
      </c>
      <c r="F347" s="19">
        <f t="shared" si="52"/>
        <v>28.599999999999866</v>
      </c>
      <c r="G347" s="54">
        <f t="shared" si="49"/>
        <v>3.8894812250970783</v>
      </c>
      <c r="H347" s="87">
        <f t="shared" si="48"/>
        <v>3.8894812250970783</v>
      </c>
      <c r="I347">
        <f t="shared" si="53"/>
        <v>689.54036703722204</v>
      </c>
      <c r="J347">
        <f t="shared" si="45"/>
        <v>74.77018351861102</v>
      </c>
      <c r="K347">
        <f t="shared" si="50"/>
        <v>74.77018351861102</v>
      </c>
      <c r="L347" s="60">
        <f t="shared" si="46"/>
        <v>85.880375069532718</v>
      </c>
      <c r="M347">
        <f t="shared" si="47"/>
        <v>40.674210445675101</v>
      </c>
    </row>
    <row r="348" spans="3:13" x14ac:dyDescent="0.3">
      <c r="C348" s="16">
        <v>45036</v>
      </c>
      <c r="D348" s="57">
        <v>2.0770833333333698</v>
      </c>
      <c r="E348" s="19">
        <f t="shared" si="51"/>
        <v>56.483333333333199</v>
      </c>
      <c r="F348" s="19">
        <f t="shared" si="52"/>
        <v>28.683333333333199</v>
      </c>
      <c r="G348" s="54">
        <f t="shared" si="49"/>
        <v>3.8992170929238399</v>
      </c>
      <c r="H348" s="87">
        <f t="shared" si="48"/>
        <v>3.8992170929238399</v>
      </c>
      <c r="I348">
        <f t="shared" si="53"/>
        <v>690.19023655270939</v>
      </c>
      <c r="J348">
        <f t="shared" si="45"/>
        <v>75.095118276354668</v>
      </c>
      <c r="K348">
        <f t="shared" si="50"/>
        <v>75.095118276354668</v>
      </c>
      <c r="L348" s="60">
        <f t="shared" si="46"/>
        <v>86.172377592494044</v>
      </c>
      <c r="M348">
        <f t="shared" si="47"/>
        <v>40.737704772056794</v>
      </c>
    </row>
    <row r="349" spans="3:13" x14ac:dyDescent="0.3">
      <c r="C349" s="16">
        <v>45036</v>
      </c>
      <c r="D349" s="57">
        <v>2.0805555555555899</v>
      </c>
      <c r="E349" s="19">
        <f t="shared" si="51"/>
        <v>56.566666666666535</v>
      </c>
      <c r="F349" s="19">
        <f t="shared" si="52"/>
        <v>28.766666666666531</v>
      </c>
      <c r="G349" s="54">
        <f t="shared" si="49"/>
        <v>3.9089773308701257</v>
      </c>
      <c r="H349" s="87">
        <f t="shared" si="48"/>
        <v>3.9089773308701257</v>
      </c>
      <c r="I349">
        <f t="shared" si="53"/>
        <v>690.84173277452112</v>
      </c>
      <c r="J349">
        <f t="shared" si="45"/>
        <v>75.420866387260517</v>
      </c>
      <c r="K349">
        <f t="shared" si="50"/>
        <v>75.420866387260517</v>
      </c>
      <c r="L349" s="60">
        <f t="shared" si="46"/>
        <v>86.464559601535001</v>
      </c>
      <c r="M349">
        <f t="shared" si="47"/>
        <v>40.801238126689363</v>
      </c>
    </row>
    <row r="350" spans="3:13" x14ac:dyDescent="0.3">
      <c r="C350" s="16">
        <v>45036</v>
      </c>
      <c r="D350" s="57">
        <v>2.08402777777781</v>
      </c>
      <c r="E350" s="19">
        <f t="shared" si="51"/>
        <v>56.649999999999864</v>
      </c>
      <c r="F350" s="19">
        <f t="shared" si="52"/>
        <v>28.849999999999863</v>
      </c>
      <c r="G350" s="54">
        <f t="shared" si="49"/>
        <v>3.9187619999374537</v>
      </c>
      <c r="H350" s="87">
        <f t="shared" si="48"/>
        <v>3.9187619999374537</v>
      </c>
      <c r="I350">
        <f t="shared" si="53"/>
        <v>691.4948597745107</v>
      </c>
      <c r="J350">
        <f t="shared" si="45"/>
        <v>75.747429887255308</v>
      </c>
      <c r="K350">
        <f t="shared" si="50"/>
        <v>75.747429887255308</v>
      </c>
      <c r="L350" s="60">
        <f t="shared" si="46"/>
        <v>86.756920348285632</v>
      </c>
      <c r="M350">
        <f t="shared" si="47"/>
        <v>40.864810346843917</v>
      </c>
    </row>
    <row r="351" spans="3:13" x14ac:dyDescent="0.3">
      <c r="C351" s="16">
        <v>45036</v>
      </c>
      <c r="D351" s="57">
        <v>2.0875000000000301</v>
      </c>
      <c r="E351" s="19">
        <f t="shared" si="51"/>
        <v>56.733333333333192</v>
      </c>
      <c r="F351" s="19">
        <f t="shared" si="52"/>
        <v>28.933333333333195</v>
      </c>
      <c r="G351" s="54">
        <f t="shared" si="49"/>
        <v>3.9285711612800376</v>
      </c>
      <c r="H351" s="87">
        <f t="shared" si="48"/>
        <v>3.9285711612800376</v>
      </c>
      <c r="I351">
        <f t="shared" si="53"/>
        <v>692.14962163472399</v>
      </c>
      <c r="J351">
        <f t="shared" si="45"/>
        <v>76.074810817361978</v>
      </c>
      <c r="K351">
        <f t="shared" si="50"/>
        <v>76.074810817361978</v>
      </c>
      <c r="L351" s="71">
        <f t="shared" si="46"/>
        <v>87.049459082342366</v>
      </c>
      <c r="M351">
        <f t="shared" si="47"/>
        <v>40.928421269349364</v>
      </c>
    </row>
    <row r="352" spans="3:13" x14ac:dyDescent="0.3">
      <c r="C352" s="16">
        <v>45036</v>
      </c>
      <c r="D352" s="57">
        <v>2.09097222222226</v>
      </c>
      <c r="E352" s="19">
        <f t="shared" si="51"/>
        <v>56.816666666666528</v>
      </c>
      <c r="F352" s="19">
        <f t="shared" si="52"/>
        <v>29.016666666666527</v>
      </c>
      <c r="G352" s="54">
        <f t="shared" si="49"/>
        <v>3.9384048762051687</v>
      </c>
      <c r="H352" s="87">
        <f t="shared" si="48"/>
        <v>3.9384048762051687</v>
      </c>
      <c r="I352">
        <f t="shared" si="53"/>
        <v>692.80602244742488</v>
      </c>
      <c r="J352">
        <f t="shared" si="45"/>
        <v>76.403011223712411</v>
      </c>
      <c r="K352">
        <f t="shared" si="50"/>
        <v>76.403011223712411</v>
      </c>
      <c r="L352" s="60">
        <f t="shared" si="46"/>
        <v>87.342175051274509</v>
      </c>
      <c r="M352">
        <f t="shared" si="47"/>
        <v>40.992070730593824</v>
      </c>
    </row>
    <row r="353" spans="2:13" x14ac:dyDescent="0.3">
      <c r="C353" s="16">
        <v>45036</v>
      </c>
      <c r="D353" s="57">
        <v>2.0944444444444801</v>
      </c>
      <c r="E353" s="19">
        <f t="shared" si="51"/>
        <v>56.899999999999864</v>
      </c>
      <c r="F353" s="19">
        <f t="shared" si="52"/>
        <v>29.099999999999859</v>
      </c>
      <c r="G353" s="54">
        <f t="shared" si="49"/>
        <v>3.9482632061735954</v>
      </c>
      <c r="H353" s="87">
        <f t="shared" si="48"/>
        <v>3.9482632061735954</v>
      </c>
      <c r="I353">
        <f t="shared" si="53"/>
        <v>693.46406631512048</v>
      </c>
      <c r="J353">
        <f t="shared" si="45"/>
        <v>76.73203315756021</v>
      </c>
      <c r="K353">
        <f t="shared" si="50"/>
        <v>76.73203315756021</v>
      </c>
      <c r="L353" s="60">
        <f t="shared" si="46"/>
        <v>87.635067500631024</v>
      </c>
      <c r="M353">
        <f t="shared" si="47"/>
        <v>41.055758566526123</v>
      </c>
    </row>
    <row r="354" spans="2:13" x14ac:dyDescent="0.3">
      <c r="C354" s="16">
        <v>45036</v>
      </c>
      <c r="D354" s="57">
        <v>2.0979166666667002</v>
      </c>
      <c r="E354" s="19">
        <f t="shared" si="51"/>
        <v>56.983333333333192</v>
      </c>
      <c r="F354" s="19">
        <f t="shared" si="52"/>
        <v>29.183333333333191</v>
      </c>
      <c r="G354" s="54">
        <f t="shared" si="49"/>
        <v>3.958146212799913</v>
      </c>
      <c r="H354" s="87">
        <f t="shared" si="48"/>
        <v>3.958146212799913</v>
      </c>
      <c r="I354">
        <f t="shared" si="53"/>
        <v>694.12375735058708</v>
      </c>
      <c r="J354">
        <f t="shared" si="45"/>
        <v>77.061878675293542</v>
      </c>
      <c r="K354">
        <f t="shared" si="50"/>
        <v>77.061878675293542</v>
      </c>
      <c r="L354" s="60">
        <f t="shared" si="46"/>
        <v>87.928135673947224</v>
      </c>
      <c r="M354">
        <f t="shared" si="47"/>
        <v>41.11948461265721</v>
      </c>
    </row>
    <row r="355" spans="2:13" x14ac:dyDescent="0.3">
      <c r="C355" s="16">
        <v>45036</v>
      </c>
      <c r="D355" s="57">
        <v>2.1013888888889198</v>
      </c>
      <c r="E355" s="19">
        <f t="shared" si="51"/>
        <v>57.066666666666521</v>
      </c>
      <c r="F355" s="19">
        <f t="shared" si="52"/>
        <v>29.266666666666524</v>
      </c>
      <c r="G355" s="54">
        <f t="shared" si="49"/>
        <v>3.9680539578529457</v>
      </c>
      <c r="H355" s="87">
        <f t="shared" si="48"/>
        <v>3.9680539578529457</v>
      </c>
      <c r="I355">
        <f t="shared" si="53"/>
        <v>694.78509967689592</v>
      </c>
      <c r="J355">
        <f t="shared" si="45"/>
        <v>77.392549838447948</v>
      </c>
      <c r="K355">
        <f t="shared" si="50"/>
        <v>77.392549838447948</v>
      </c>
      <c r="L355" s="60">
        <f t="shared" si="46"/>
        <v>88.221378812751482</v>
      </c>
      <c r="M355">
        <f t="shared" si="47"/>
        <v>41.183248704061647</v>
      </c>
    </row>
    <row r="356" spans="2:13" x14ac:dyDescent="0.3">
      <c r="C356" s="16">
        <v>45036</v>
      </c>
      <c r="D356" s="57">
        <v>2.1048611111111399</v>
      </c>
      <c r="E356" s="19">
        <f t="shared" si="51"/>
        <v>57.149999999999856</v>
      </c>
      <c r="F356" s="19">
        <f t="shared" si="52"/>
        <v>29.349999999999856</v>
      </c>
      <c r="G356" s="54">
        <f t="shared" si="49"/>
        <v>3.9779865032561319</v>
      </c>
      <c r="H356" s="87">
        <f t="shared" si="48"/>
        <v>3.9779865032561319</v>
      </c>
      <c r="I356">
        <f t="shared" si="53"/>
        <v>695.4480974274386</v>
      </c>
      <c r="J356">
        <f t="shared" si="45"/>
        <v>77.724048713719299</v>
      </c>
      <c r="K356">
        <f t="shared" si="50"/>
        <v>77.724048713719299</v>
      </c>
      <c r="L356" s="60">
        <f t="shared" si="46"/>
        <v>88.514796156572118</v>
      </c>
      <c r="M356">
        <f t="shared" si="47"/>
        <v>41.247050675379093</v>
      </c>
    </row>
    <row r="357" spans="2:13" x14ac:dyDescent="0.3">
      <c r="C357" s="16">
        <v>45036</v>
      </c>
      <c r="D357" s="57">
        <v>2.1083333333333698</v>
      </c>
      <c r="E357" s="19">
        <f t="shared" si="51"/>
        <v>57.233333333333192</v>
      </c>
      <c r="F357" s="19">
        <f t="shared" si="52"/>
        <v>29.433333333333188</v>
      </c>
      <c r="G357" s="54">
        <f t="shared" si="49"/>
        <v>3.9879439110879118</v>
      </c>
      <c r="H357" s="87">
        <f t="shared" si="48"/>
        <v>3.9879439110879118</v>
      </c>
      <c r="I357">
        <f t="shared" si="53"/>
        <v>696.11275474595323</v>
      </c>
      <c r="J357">
        <f t="shared" si="45"/>
        <v>78.056377372976627</v>
      </c>
      <c r="K357">
        <f t="shared" si="50"/>
        <v>78.056377372976627</v>
      </c>
      <c r="L357" s="60">
        <f t="shared" si="46"/>
        <v>88.80838694294421</v>
      </c>
      <c r="M357">
        <f t="shared" si="47"/>
        <v>41.310890360815783</v>
      </c>
    </row>
    <row r="358" spans="2:13" x14ac:dyDescent="0.3">
      <c r="C358" s="16">
        <v>45036</v>
      </c>
      <c r="D358" s="57">
        <v>2.1118055555555899</v>
      </c>
      <c r="E358" s="19">
        <f t="shared" si="51"/>
        <v>57.316666666666521</v>
      </c>
      <c r="F358" s="19">
        <f t="shared" si="52"/>
        <v>29.51666666666652</v>
      </c>
      <c r="G358" s="54">
        <f t="shared" si="49"/>
        <v>3.997926243582119</v>
      </c>
      <c r="H358" s="87">
        <f t="shared" si="48"/>
        <v>3.997926243582119</v>
      </c>
      <c r="I358">
        <f t="shared" si="53"/>
        <v>696.77907578655027</v>
      </c>
      <c r="J358">
        <f t="shared" si="45"/>
        <v>78.389537893275133</v>
      </c>
      <c r="K358">
        <f t="shared" si="50"/>
        <v>78.389537893275133</v>
      </c>
      <c r="L358" s="60">
        <f t="shared" si="46"/>
        <v>89.102150407416488</v>
      </c>
      <c r="M358">
        <f t="shared" si="47"/>
        <v>41.374767594146036</v>
      </c>
    </row>
    <row r="359" spans="2:13" x14ac:dyDescent="0.3">
      <c r="C359" s="16">
        <v>45036</v>
      </c>
      <c r="D359" s="57">
        <v>2.11527777777781</v>
      </c>
      <c r="E359" s="19">
        <f t="shared" si="51"/>
        <v>57.399999999999849</v>
      </c>
      <c r="F359" s="19">
        <f t="shared" si="52"/>
        <v>29.599999999999852</v>
      </c>
      <c r="G359" s="54">
        <f t="shared" si="49"/>
        <v>4.0079335631283621</v>
      </c>
      <c r="H359" s="87">
        <f t="shared" si="48"/>
        <v>4.0079335631283621</v>
      </c>
      <c r="I359">
        <f t="shared" si="53"/>
        <v>697.44706471373831</v>
      </c>
      <c r="J359">
        <f t="shared" si="45"/>
        <v>78.723532356869157</v>
      </c>
      <c r="K359">
        <f t="shared" si="50"/>
        <v>78.723532356869157</v>
      </c>
      <c r="L359" s="60">
        <f t="shared" si="46"/>
        <v>89.396085783558362</v>
      </c>
      <c r="M359">
        <f t="shared" si="47"/>
        <v>41.438682208713772</v>
      </c>
    </row>
    <row r="360" spans="2:13" x14ac:dyDescent="0.3">
      <c r="C360" s="16">
        <v>45036</v>
      </c>
      <c r="D360" s="57">
        <v>2.1187500000000301</v>
      </c>
      <c r="E360" s="19">
        <f t="shared" si="51"/>
        <v>57.483333333333185</v>
      </c>
      <c r="F360" s="19">
        <f t="shared" si="52"/>
        <v>29.683333333333184</v>
      </c>
      <c r="G360" s="54">
        <f t="shared" si="49"/>
        <v>4.0179659322724204</v>
      </c>
      <c r="H360" s="87">
        <f t="shared" si="48"/>
        <v>4.0179659322724204</v>
      </c>
      <c r="I360">
        <f t="shared" si="53"/>
        <v>698.11672570245037</v>
      </c>
      <c r="J360">
        <f t="shared" si="45"/>
        <v>79.058362851225198</v>
      </c>
      <c r="K360">
        <f t="shared" si="50"/>
        <v>79.058362851225198</v>
      </c>
      <c r="L360" s="60">
        <f t="shared" si="46"/>
        <v>89.690192302966821</v>
      </c>
      <c r="M360">
        <f t="shared" si="47"/>
        <v>41.502634037434035</v>
      </c>
    </row>
    <row r="361" spans="2:13" x14ac:dyDescent="0.3">
      <c r="C361" s="16">
        <v>45036</v>
      </c>
      <c r="D361" s="57">
        <v>2.12222222222226</v>
      </c>
      <c r="E361" s="19">
        <f t="shared" si="51"/>
        <v>57.566666666666521</v>
      </c>
      <c r="F361" s="19">
        <f t="shared" si="52"/>
        <v>29.766666666666517</v>
      </c>
      <c r="G361" s="54">
        <f t="shared" si="49"/>
        <v>4.0280234137166353</v>
      </c>
      <c r="H361" s="87">
        <f t="shared" si="48"/>
        <v>4.0280234137166353</v>
      </c>
      <c r="I361">
        <f t="shared" si="53"/>
        <v>698.78806293806986</v>
      </c>
      <c r="J361">
        <f t="shared" si="45"/>
        <v>79.394031469034914</v>
      </c>
      <c r="K361">
        <f t="shared" si="50"/>
        <v>79.394031469034914</v>
      </c>
      <c r="L361" s="60">
        <f t="shared" si="46"/>
        <v>89.984469195273533</v>
      </c>
      <c r="M361">
        <f t="shared" si="47"/>
        <v>41.566622912794507</v>
      </c>
    </row>
    <row r="362" spans="2:13" x14ac:dyDescent="0.3">
      <c r="C362" s="16">
        <v>45036</v>
      </c>
      <c r="D362" s="57">
        <v>2.1256944444444801</v>
      </c>
      <c r="E362" s="19">
        <f t="shared" si="51"/>
        <v>57.649999999999849</v>
      </c>
      <c r="F362" s="19">
        <f t="shared" si="52"/>
        <v>29.849999999999849</v>
      </c>
      <c r="G362" s="54">
        <f t="shared" si="49"/>
        <v>4.0381060703202989</v>
      </c>
      <c r="H362" s="87">
        <f t="shared" si="48"/>
        <v>4.0381060703202989</v>
      </c>
      <c r="I362">
        <f t="shared" si="53"/>
        <v>699.46108061645657</v>
      </c>
      <c r="J362">
        <f t="shared" ref="J362:J425" si="54">J361+G362*5/60</f>
        <v>79.730540308228271</v>
      </c>
      <c r="K362">
        <f t="shared" si="50"/>
        <v>79.730540308228271</v>
      </c>
      <c r="L362" s="60">
        <f t="shared" ref="L362:L425" si="55">((L361*I361/1000)+(G362*$T$7/1000*5/60))/(I362/1000)</f>
        <v>90.278915688151969</v>
      </c>
      <c r="M362">
        <f t="shared" ref="M362:M425" si="56">(M361*I361+G362*$T$7*$T$6*(5/60))/I362</f>
        <v>41.630648666857077</v>
      </c>
    </row>
    <row r="363" spans="2:13" x14ac:dyDescent="0.3">
      <c r="C363" s="16">
        <v>45036</v>
      </c>
      <c r="D363" s="57">
        <v>2.1291666666667002</v>
      </c>
      <c r="E363" s="19">
        <f t="shared" si="51"/>
        <v>57.733333333333178</v>
      </c>
      <c r="F363" s="19">
        <f t="shared" si="52"/>
        <v>29.933333333333181</v>
      </c>
      <c r="G363" s="54">
        <f t="shared" si="49"/>
        <v>4.0482139651000457</v>
      </c>
      <c r="H363" s="87">
        <f t="shared" si="48"/>
        <v>4.0482139651000457</v>
      </c>
      <c r="I363">
        <f t="shared" si="53"/>
        <v>700.13578294397325</v>
      </c>
      <c r="J363">
        <f t="shared" si="54"/>
        <v>80.067891471986613</v>
      </c>
      <c r="K363">
        <f t="shared" si="50"/>
        <v>80.067891471986613</v>
      </c>
      <c r="L363" s="60">
        <f t="shared" si="55"/>
        <v>90.573531007324462</v>
      </c>
      <c r="M363">
        <f t="shared" si="56"/>
        <v>41.694711131259368</v>
      </c>
    </row>
    <row r="364" spans="2:13" x14ac:dyDescent="0.3">
      <c r="B364" s="61"/>
      <c r="C364" s="16">
        <v>45036</v>
      </c>
      <c r="D364" s="57">
        <v>2.1326388888889198</v>
      </c>
      <c r="E364" s="19">
        <f t="shared" si="51"/>
        <v>57.816666666666514</v>
      </c>
      <c r="F364" s="19">
        <f t="shared" si="52"/>
        <v>30.016666666666513</v>
      </c>
      <c r="G364" s="54">
        <f t="shared" si="49"/>
        <v>4.0583471612302526</v>
      </c>
      <c r="H364" s="87">
        <f t="shared" si="48"/>
        <v>4.0583471612302526</v>
      </c>
      <c r="I364">
        <f t="shared" si="53"/>
        <v>700.81217413751165</v>
      </c>
      <c r="J364">
        <f t="shared" si="54"/>
        <v>80.406087068755795</v>
      </c>
      <c r="K364">
        <f t="shared" si="50"/>
        <v>80.406087068755795</v>
      </c>
      <c r="L364" s="60">
        <f t="shared" si="55"/>
        <v>90.868314376569458</v>
      </c>
      <c r="M364">
        <f t="shared" si="56"/>
        <v>41.758810137216308</v>
      </c>
    </row>
    <row r="365" spans="2:13" x14ac:dyDescent="0.3">
      <c r="C365" s="16">
        <v>45036</v>
      </c>
      <c r="D365" s="57">
        <v>2.1361111111111502</v>
      </c>
      <c r="E365" s="19">
        <f t="shared" si="51"/>
        <v>57.899999999999849</v>
      </c>
      <c r="F365" s="19">
        <f t="shared" si="52"/>
        <v>30.099999999999845</v>
      </c>
      <c r="G365" s="54">
        <f t="shared" si="49"/>
        <v>4.0685057220434286</v>
      </c>
      <c r="H365" s="87">
        <f t="shared" si="48"/>
        <v>4.0685057220434286</v>
      </c>
      <c r="I365">
        <f t="shared" si="53"/>
        <v>701.49025842451886</v>
      </c>
      <c r="J365">
        <f t="shared" si="54"/>
        <v>80.745129212259414</v>
      </c>
      <c r="K365">
        <f t="shared" si="50"/>
        <v>80.745129212259414</v>
      </c>
      <c r="L365" s="60">
        <f t="shared" si="55"/>
        <v>91.163265017728719</v>
      </c>
      <c r="M365">
        <f t="shared" si="56"/>
        <v>41.822945515521717</v>
      </c>
    </row>
    <row r="366" spans="2:13" x14ac:dyDescent="0.3">
      <c r="C366" s="16">
        <v>45036</v>
      </c>
      <c r="D366" s="57">
        <v>2.1395833333333698</v>
      </c>
      <c r="E366" s="19">
        <f t="shared" si="51"/>
        <v>57.983333333333178</v>
      </c>
      <c r="F366" s="19">
        <f t="shared" si="52"/>
        <v>30.183333333333177</v>
      </c>
      <c r="G366" s="54">
        <f t="shared" si="49"/>
        <v>4.0786897110306102</v>
      </c>
      <c r="H366" s="87">
        <f t="shared" si="48"/>
        <v>4.0786897110306102</v>
      </c>
      <c r="I366">
        <f t="shared" si="53"/>
        <v>702.17004004302396</v>
      </c>
      <c r="J366">
        <f t="shared" si="54"/>
        <v>81.085020021511966</v>
      </c>
      <c r="K366">
        <f t="shared" si="50"/>
        <v>81.085020021511966</v>
      </c>
      <c r="L366" s="60">
        <f t="shared" si="55"/>
        <v>91.45838215071457</v>
      </c>
      <c r="M366">
        <f t="shared" si="56"/>
        <v>41.887117096549865</v>
      </c>
    </row>
    <row r="367" spans="2:13" x14ac:dyDescent="0.3">
      <c r="C367" s="16">
        <v>45036</v>
      </c>
      <c r="D367" s="57">
        <v>2.1430555555555899</v>
      </c>
      <c r="E367" s="19">
        <f t="shared" si="51"/>
        <v>58.066666666666507</v>
      </c>
      <c r="F367" s="19">
        <f t="shared" si="52"/>
        <v>30.266666666666509</v>
      </c>
      <c r="G367" s="54">
        <f t="shared" si="49"/>
        <v>4.0888991918417634</v>
      </c>
      <c r="H367" s="87">
        <f t="shared" si="48"/>
        <v>4.0888991918417634</v>
      </c>
      <c r="I367">
        <f t="shared" si="53"/>
        <v>702.85152324166427</v>
      </c>
      <c r="J367">
        <f t="shared" si="54"/>
        <v>81.42576162083212</v>
      </c>
      <c r="K367">
        <f t="shared" si="50"/>
        <v>81.42576162083212</v>
      </c>
      <c r="L367" s="60">
        <f t="shared" si="55"/>
        <v>91.75366499351729</v>
      </c>
      <c r="M367">
        <f t="shared" si="56"/>
        <v>41.951324710257083</v>
      </c>
    </row>
    <row r="368" spans="2:13" x14ac:dyDescent="0.3">
      <c r="B368" s="61"/>
      <c r="C368" s="16">
        <v>45036</v>
      </c>
      <c r="D368" s="57">
        <v>2.14652777777781</v>
      </c>
      <c r="E368" s="19">
        <f t="shared" si="51"/>
        <v>58.149999999999842</v>
      </c>
      <c r="F368" s="19">
        <f t="shared" si="52"/>
        <v>30.349999999999842</v>
      </c>
      <c r="G368" s="54">
        <f t="shared" si="49"/>
        <v>4.0991342282861751</v>
      </c>
      <c r="H368" s="87">
        <f t="shared" si="48"/>
        <v>4.0991342282861751</v>
      </c>
      <c r="I368">
        <f t="shared" si="53"/>
        <v>703.53471227971193</v>
      </c>
      <c r="J368">
        <f t="shared" si="54"/>
        <v>81.767356139855963</v>
      </c>
      <c r="K368">
        <f t="shared" si="50"/>
        <v>81.767356139855963</v>
      </c>
      <c r="L368" s="60">
        <f t="shared" si="55"/>
        <v>92.049112762212445</v>
      </c>
      <c r="M368">
        <f t="shared" si="56"/>
        <v>42.015568186183351</v>
      </c>
    </row>
    <row r="369" spans="3:13" x14ac:dyDescent="0.3">
      <c r="C369" s="16">
        <v>45036</v>
      </c>
      <c r="D369" s="57">
        <v>2.1500000000000301</v>
      </c>
      <c r="E369" s="19">
        <f t="shared" si="51"/>
        <v>58.233333333333178</v>
      </c>
      <c r="F369" s="19">
        <f t="shared" si="52"/>
        <v>30.433333333333174</v>
      </c>
      <c r="G369" s="54">
        <f t="shared" si="49"/>
        <v>4.1093948843328585</v>
      </c>
      <c r="H369" s="87">
        <f t="shared" si="48"/>
        <v>4.1093948843328585</v>
      </c>
      <c r="I369">
        <f t="shared" si="53"/>
        <v>704.21961142710074</v>
      </c>
      <c r="J369">
        <f t="shared" si="54"/>
        <v>82.109805713550372</v>
      </c>
      <c r="K369">
        <f t="shared" si="50"/>
        <v>82.109805713550372</v>
      </c>
      <c r="L369" s="60">
        <f t="shared" si="55"/>
        <v>92.344724670968247</v>
      </c>
      <c r="M369">
        <f t="shared" si="56"/>
        <v>42.079847353453914</v>
      </c>
    </row>
    <row r="370" spans="3:13" x14ac:dyDescent="0.3">
      <c r="C370" s="16">
        <v>45036</v>
      </c>
      <c r="D370" s="57">
        <v>2.15347222222226</v>
      </c>
      <c r="E370" s="19">
        <f t="shared" si="51"/>
        <v>58.316666666666507</v>
      </c>
      <c r="F370" s="19">
        <f t="shared" si="52"/>
        <v>30.516666666666506</v>
      </c>
      <c r="G370" s="54">
        <f t="shared" si="49"/>
        <v>4.1196812241109448</v>
      </c>
      <c r="H370" s="87">
        <f t="shared" si="48"/>
        <v>4.1196812241109448</v>
      </c>
      <c r="I370">
        <f t="shared" si="53"/>
        <v>704.90622496445258</v>
      </c>
      <c r="J370">
        <f t="shared" si="54"/>
        <v>82.453112482226288</v>
      </c>
      <c r="K370">
        <f t="shared" si="50"/>
        <v>82.453112482226288</v>
      </c>
      <c r="L370" s="60">
        <f t="shared" si="55"/>
        <v>92.640499932053103</v>
      </c>
      <c r="M370">
        <f t="shared" si="56"/>
        <v>42.144162040780927</v>
      </c>
    </row>
    <row r="371" spans="3:13" x14ac:dyDescent="0.3">
      <c r="C371" s="16">
        <v>45036</v>
      </c>
      <c r="D371" s="57">
        <v>2.1569444444444801</v>
      </c>
      <c r="E371" s="19">
        <f t="shared" si="51"/>
        <v>58.399999999999835</v>
      </c>
      <c r="F371" s="19">
        <f t="shared" si="52"/>
        <v>30.599999999999838</v>
      </c>
      <c r="G371" s="54">
        <f t="shared" si="49"/>
        <v>4.1299933119100922</v>
      </c>
      <c r="H371" s="87">
        <f t="shared" si="48"/>
        <v>4.1299933119100922</v>
      </c>
      <c r="I371">
        <f t="shared" si="53"/>
        <v>705.59455718310426</v>
      </c>
      <c r="J371">
        <f t="shared" si="54"/>
        <v>82.797278591552129</v>
      </c>
      <c r="K371">
        <f t="shared" si="50"/>
        <v>82.797278591552129</v>
      </c>
      <c r="L371" s="60">
        <f t="shared" si="55"/>
        <v>92.936437755843087</v>
      </c>
      <c r="M371">
        <f t="shared" si="56"/>
        <v>42.208512076465041</v>
      </c>
    </row>
    <row r="372" spans="3:13" x14ac:dyDescent="0.3">
      <c r="C372" s="16">
        <v>45036</v>
      </c>
      <c r="D372" s="57">
        <v>2.1604166666667002</v>
      </c>
      <c r="E372" s="19">
        <f t="shared" si="51"/>
        <v>58.483333333333171</v>
      </c>
      <c r="F372" s="19">
        <f t="shared" si="52"/>
        <v>30.68333333333317</v>
      </c>
      <c r="G372" s="54">
        <f t="shared" si="49"/>
        <v>4.1403312121808833</v>
      </c>
      <c r="H372" s="87">
        <f t="shared" si="48"/>
        <v>4.1403312121808833</v>
      </c>
      <c r="I372">
        <f t="shared" si="53"/>
        <v>706.28461238513444</v>
      </c>
      <c r="J372">
        <f t="shared" si="54"/>
        <v>83.142306192567204</v>
      </c>
      <c r="K372">
        <f t="shared" si="50"/>
        <v>83.142306192567204</v>
      </c>
      <c r="L372" s="60">
        <f t="shared" si="55"/>
        <v>93.232537350829489</v>
      </c>
      <c r="M372">
        <f t="shared" si="56"/>
        <v>42.272897288397083</v>
      </c>
    </row>
    <row r="373" spans="3:13" x14ac:dyDescent="0.3">
      <c r="C373" s="16">
        <v>45036</v>
      </c>
      <c r="D373" s="57">
        <v>2.1638888888889198</v>
      </c>
      <c r="E373" s="19">
        <f t="shared" si="51"/>
        <v>58.566666666666507</v>
      </c>
      <c r="F373" s="19">
        <f t="shared" si="52"/>
        <v>30.766666666666502</v>
      </c>
      <c r="G373" s="54">
        <f t="shared" si="49"/>
        <v>4.1506949895352285</v>
      </c>
      <c r="H373" s="87">
        <f t="shared" si="48"/>
        <v>4.1506949895352285</v>
      </c>
      <c r="I373">
        <f t="shared" si="53"/>
        <v>706.9763948833903</v>
      </c>
      <c r="J373">
        <f t="shared" si="54"/>
        <v>83.488197441695135</v>
      </c>
      <c r="K373">
        <f t="shared" si="50"/>
        <v>83.488197441695135</v>
      </c>
      <c r="L373" s="60">
        <f t="shared" si="55"/>
        <v>93.528797923626399</v>
      </c>
      <c r="M373">
        <f t="shared" si="56"/>
        <v>42.337317504059698</v>
      </c>
    </row>
    <row r="374" spans="3:13" x14ac:dyDescent="0.3">
      <c r="C374" s="16">
        <v>45036</v>
      </c>
      <c r="D374" s="57">
        <v>2.1673611111111502</v>
      </c>
      <c r="E374" s="19">
        <f t="shared" si="51"/>
        <v>58.649999999999835</v>
      </c>
      <c r="F374" s="19">
        <f t="shared" si="52"/>
        <v>30.849999999999834</v>
      </c>
      <c r="G374" s="54">
        <f t="shared" si="49"/>
        <v>4.1610847087467686</v>
      </c>
      <c r="H374" s="87">
        <f t="shared" si="48"/>
        <v>4.1610847087467686</v>
      </c>
      <c r="I374">
        <f t="shared" si="53"/>
        <v>707.66990900151472</v>
      </c>
      <c r="J374">
        <f t="shared" si="54"/>
        <v>83.834954500757362</v>
      </c>
      <c r="K374">
        <f t="shared" si="50"/>
        <v>83.834954500757362</v>
      </c>
      <c r="L374" s="60">
        <f t="shared" si="55"/>
        <v>93.825218678978302</v>
      </c>
      <c r="M374">
        <f t="shared" si="56"/>
        <v>42.401772550528996</v>
      </c>
    </row>
    <row r="375" spans="3:13" x14ac:dyDescent="0.3">
      <c r="C375" s="16">
        <v>45036</v>
      </c>
      <c r="D375" s="57">
        <v>2.1708333333333698</v>
      </c>
      <c r="E375" s="19">
        <f t="shared" si="51"/>
        <v>58.733333333333164</v>
      </c>
      <c r="F375" s="19">
        <f t="shared" si="52"/>
        <v>30.933333333333167</v>
      </c>
      <c r="G375" s="54">
        <f t="shared" si="49"/>
        <v>4.1715004347512847</v>
      </c>
      <c r="H375" s="87">
        <f t="shared" si="48"/>
        <v>4.1715004347512847</v>
      </c>
      <c r="I375">
        <f t="shared" si="53"/>
        <v>708.36515907397325</v>
      </c>
      <c r="J375">
        <f t="shared" si="54"/>
        <v>84.182579536986637</v>
      </c>
      <c r="K375">
        <f t="shared" si="50"/>
        <v>84.182579536986637</v>
      </c>
      <c r="L375" s="60">
        <f t="shared" si="55"/>
        <v>94.121798819767875</v>
      </c>
      <c r="M375">
        <f t="shared" si="56"/>
        <v>42.466262254476241</v>
      </c>
    </row>
    <row r="376" spans="3:13" x14ac:dyDescent="0.3">
      <c r="C376" s="16">
        <v>45036</v>
      </c>
      <c r="D376" s="57">
        <v>2.1743055555555899</v>
      </c>
      <c r="E376" s="19">
        <f t="shared" si="51"/>
        <v>58.816666666666499</v>
      </c>
      <c r="F376" s="19">
        <f t="shared" si="52"/>
        <v>31.016666666666499</v>
      </c>
      <c r="G376" s="54">
        <f t="shared" si="49"/>
        <v>4.1819422326470965</v>
      </c>
      <c r="H376" s="87">
        <f t="shared" si="48"/>
        <v>4.1819422326470965</v>
      </c>
      <c r="I376">
        <f t="shared" si="53"/>
        <v>709.06214944608109</v>
      </c>
      <c r="J376">
        <f t="shared" si="54"/>
        <v>84.531074723040561</v>
      </c>
      <c r="K376">
        <f t="shared" si="50"/>
        <v>84.531074723040561</v>
      </c>
      <c r="L376" s="60">
        <f t="shared" si="55"/>
        <v>94.418537547023618</v>
      </c>
      <c r="M376">
        <f t="shared" si="56"/>
        <v>42.530786442169521</v>
      </c>
    </row>
    <row r="377" spans="3:13" x14ac:dyDescent="0.3">
      <c r="C377" s="16">
        <v>45036</v>
      </c>
      <c r="D377" s="57">
        <v>2.17777777777781</v>
      </c>
      <c r="E377" s="19">
        <f t="shared" si="51"/>
        <v>58.899999999999835</v>
      </c>
      <c r="F377" s="19">
        <f t="shared" si="52"/>
        <v>31.099999999999831</v>
      </c>
      <c r="G377" s="54">
        <f t="shared" si="49"/>
        <v>4.1924101676954759</v>
      </c>
      <c r="H377" s="87">
        <f t="shared" si="48"/>
        <v>4.1924101676954759</v>
      </c>
      <c r="I377">
        <f t="shared" si="53"/>
        <v>709.76088447403038</v>
      </c>
      <c r="J377">
        <f t="shared" si="54"/>
        <v>84.880442237015188</v>
      </c>
      <c r="K377">
        <f t="shared" si="50"/>
        <v>84.880442237015188</v>
      </c>
      <c r="L377" s="60">
        <f t="shared" si="55"/>
        <v>94.715434059927674</v>
      </c>
      <c r="M377">
        <f t="shared" si="56"/>
        <v>42.595344939475439</v>
      </c>
    </row>
    <row r="378" spans="3:13" x14ac:dyDescent="0.3">
      <c r="C378" s="16">
        <v>45036</v>
      </c>
      <c r="D378" s="57">
        <v>2.1812500000000399</v>
      </c>
      <c r="E378" s="19">
        <f t="shared" si="51"/>
        <v>58.983333333333164</v>
      </c>
      <c r="F378" s="19">
        <f t="shared" si="52"/>
        <v>31.183333333333163</v>
      </c>
      <c r="G378" s="54">
        <f t="shared" si="49"/>
        <v>4.2029043053210504</v>
      </c>
      <c r="H378" s="87">
        <f t="shared" si="48"/>
        <v>4.2029043053210504</v>
      </c>
      <c r="I378">
        <f t="shared" si="53"/>
        <v>710.46136852491725</v>
      </c>
      <c r="J378">
        <f t="shared" si="54"/>
        <v>85.23068426245861</v>
      </c>
      <c r="K378">
        <f t="shared" si="50"/>
        <v>85.23068426245861</v>
      </c>
      <c r="L378" s="60">
        <f t="shared" si="55"/>
        <v>95.012487555823668</v>
      </c>
      <c r="M378">
        <f t="shared" si="56"/>
        <v>42.659937571860823</v>
      </c>
    </row>
    <row r="379" spans="3:13" x14ac:dyDescent="0.3">
      <c r="C379" s="16">
        <v>45036</v>
      </c>
      <c r="D379" s="57">
        <v>2.18472222222226</v>
      </c>
      <c r="E379" s="19">
        <f t="shared" si="51"/>
        <v>59.066666666666492</v>
      </c>
      <c r="F379" s="19">
        <f t="shared" si="52"/>
        <v>31.266666666666495</v>
      </c>
      <c r="G379" s="54">
        <f t="shared" si="49"/>
        <v>4.2134247111122143</v>
      </c>
      <c r="H379" s="87">
        <f t="shared" si="48"/>
        <v>4.2134247111122143</v>
      </c>
      <c r="I379">
        <f t="shared" si="53"/>
        <v>711.1636059767693</v>
      </c>
      <c r="J379">
        <f t="shared" si="54"/>
        <v>85.581802988384624</v>
      </c>
      <c r="K379">
        <f t="shared" si="50"/>
        <v>85.581802988384624</v>
      </c>
      <c r="L379" s="60">
        <f t="shared" si="55"/>
        <v>95.309697230224501</v>
      </c>
      <c r="M379">
        <f t="shared" si="56"/>
        <v>42.72456416439443</v>
      </c>
    </row>
    <row r="380" spans="3:13" x14ac:dyDescent="0.3">
      <c r="C380" s="16">
        <v>45036</v>
      </c>
      <c r="D380" s="57">
        <v>2.1881944444444801</v>
      </c>
      <c r="E380" s="19">
        <f t="shared" si="51"/>
        <v>59.149999999999828</v>
      </c>
      <c r="F380" s="19">
        <f t="shared" si="52"/>
        <v>31.349999999999827</v>
      </c>
      <c r="G380" s="54">
        <f t="shared" si="49"/>
        <v>4.223971450821538</v>
      </c>
      <c r="H380" s="87">
        <f t="shared" si="48"/>
        <v>4.223971450821538</v>
      </c>
      <c r="I380">
        <f t="shared" si="53"/>
        <v>711.86760121857287</v>
      </c>
      <c r="J380">
        <f t="shared" si="54"/>
        <v>85.933800609286422</v>
      </c>
      <c r="K380">
        <f t="shared" si="50"/>
        <v>85.933800609286422</v>
      </c>
      <c r="L380" s="60">
        <f t="shared" si="55"/>
        <v>95.607062276820315</v>
      </c>
      <c r="M380">
        <f t="shared" si="56"/>
        <v>42.789224541748652</v>
      </c>
    </row>
    <row r="381" spans="3:13" x14ac:dyDescent="0.3">
      <c r="C381" s="16">
        <v>45036</v>
      </c>
      <c r="D381" s="57">
        <v>2.1916666666667002</v>
      </c>
      <c r="E381" s="19">
        <f t="shared" si="51"/>
        <v>59.233333333333164</v>
      </c>
      <c r="F381" s="19">
        <f t="shared" si="52"/>
        <v>31.433333333333159</v>
      </c>
      <c r="G381" s="54">
        <f t="shared" si="49"/>
        <v>4.2345445903661796</v>
      </c>
      <c r="H381" s="87">
        <f t="shared" si="48"/>
        <v>4.2345445903661796</v>
      </c>
      <c r="I381">
        <f t="shared" si="53"/>
        <v>712.57335865030052</v>
      </c>
      <c r="J381">
        <f t="shared" si="54"/>
        <v>86.286679325150274</v>
      </c>
      <c r="K381">
        <f t="shared" si="50"/>
        <v>86.286679325150274</v>
      </c>
      <c r="L381" s="60">
        <f t="shared" si="55"/>
        <v>95.904581887486401</v>
      </c>
      <c r="M381">
        <f t="shared" si="56"/>
        <v>42.85391852820127</v>
      </c>
    </row>
    <row r="382" spans="3:13" x14ac:dyDescent="0.3">
      <c r="C382" s="16">
        <v>45036</v>
      </c>
      <c r="D382" s="57">
        <v>2.1951388888889198</v>
      </c>
      <c r="E382" s="19">
        <f t="shared" si="51"/>
        <v>59.316666666666492</v>
      </c>
      <c r="F382" s="19">
        <f t="shared" si="52"/>
        <v>31.516666666666492</v>
      </c>
      <c r="G382" s="54">
        <f t="shared" si="49"/>
        <v>4.2451441958282947</v>
      </c>
      <c r="H382" s="87">
        <f t="shared" si="48"/>
        <v>4.2451441958282947</v>
      </c>
      <c r="I382">
        <f t="shared" si="53"/>
        <v>713.28088268293857</v>
      </c>
      <c r="J382">
        <f t="shared" si="54"/>
        <v>86.640441341469298</v>
      </c>
      <c r="K382">
        <f t="shared" si="50"/>
        <v>86.640441341469298</v>
      </c>
      <c r="L382" s="60">
        <f t="shared" si="55"/>
        <v>96.202255252291209</v>
      </c>
      <c r="M382">
        <f t="shared" si="56"/>
        <v>42.91864594763716</v>
      </c>
    </row>
    <row r="383" spans="3:13" x14ac:dyDescent="0.3">
      <c r="C383" s="16">
        <v>45036</v>
      </c>
      <c r="D383" s="57">
        <v>2.1986111111111502</v>
      </c>
      <c r="E383" s="19">
        <f t="shared" si="51"/>
        <v>59.399999999999821</v>
      </c>
      <c r="F383" s="19">
        <f t="shared" si="52"/>
        <v>31.599999999999824</v>
      </c>
      <c r="G383" s="54">
        <f t="shared" si="49"/>
        <v>4.2557703334554535</v>
      </c>
      <c r="H383" s="87">
        <f t="shared" si="48"/>
        <v>4.2557703334554535</v>
      </c>
      <c r="I383">
        <f t="shared" si="53"/>
        <v>713.99017773851449</v>
      </c>
      <c r="J383">
        <f t="shared" si="54"/>
        <v>86.995088869257259</v>
      </c>
      <c r="K383">
        <f t="shared" si="50"/>
        <v>86.995088869257259</v>
      </c>
      <c r="L383" s="60">
        <f t="shared" si="55"/>
        <v>96.500081559504409</v>
      </c>
      <c r="M383">
        <f t="shared" si="56"/>
        <v>42.983406623550074</v>
      </c>
    </row>
    <row r="384" spans="3:13" x14ac:dyDescent="0.3">
      <c r="C384" s="16">
        <v>45036</v>
      </c>
      <c r="D384" s="57">
        <v>2.2020833333333698</v>
      </c>
      <c r="E384" s="19">
        <f t="shared" si="51"/>
        <v>59.483333333333157</v>
      </c>
      <c r="F384" s="19">
        <f t="shared" si="52"/>
        <v>31.683333333333156</v>
      </c>
      <c r="G384" s="54">
        <f t="shared" si="49"/>
        <v>4.2664230696610499</v>
      </c>
      <c r="H384" s="87">
        <f t="shared" si="48"/>
        <v>4.2664230696610499</v>
      </c>
      <c r="I384">
        <f t="shared" si="53"/>
        <v>714.70124825012465</v>
      </c>
      <c r="J384">
        <f t="shared" si="54"/>
        <v>87.350624125062353</v>
      </c>
      <c r="K384">
        <f t="shared" si="50"/>
        <v>87.350624125062353</v>
      </c>
      <c r="L384" s="60">
        <f t="shared" si="55"/>
        <v>96.798059995604973</v>
      </c>
      <c r="M384">
        <f t="shared" si="56"/>
        <v>43.048200379044388</v>
      </c>
    </row>
    <row r="385" spans="2:13" x14ac:dyDescent="0.3">
      <c r="C385" s="16">
        <v>45036</v>
      </c>
      <c r="D385" s="57">
        <v>2.2055555555555899</v>
      </c>
      <c r="E385" s="19">
        <f t="shared" si="51"/>
        <v>59.566666666666492</v>
      </c>
      <c r="F385" s="19">
        <f t="shared" si="52"/>
        <v>31.766666666666488</v>
      </c>
      <c r="G385" s="54">
        <f t="shared" si="49"/>
        <v>4.277102471024719</v>
      </c>
      <c r="H385" s="87">
        <f t="shared" si="48"/>
        <v>4.277102471024719</v>
      </c>
      <c r="I385">
        <f t="shared" si="53"/>
        <v>715.41409866196216</v>
      </c>
      <c r="J385">
        <f t="shared" si="54"/>
        <v>87.707049330981079</v>
      </c>
      <c r="K385">
        <f t="shared" si="50"/>
        <v>87.707049330981079</v>
      </c>
      <c r="L385" s="60">
        <f t="shared" si="55"/>
        <v>97.096189745289252</v>
      </c>
      <c r="M385">
        <f t="shared" si="56"/>
        <v>43.113027036836847</v>
      </c>
    </row>
    <row r="386" spans="2:13" x14ac:dyDescent="0.3">
      <c r="C386" s="16">
        <v>45036</v>
      </c>
      <c r="D386" s="57">
        <v>2.20902777777781</v>
      </c>
      <c r="E386" s="19">
        <f t="shared" si="51"/>
        <v>59.649999999999821</v>
      </c>
      <c r="F386" s="19">
        <f t="shared" si="52"/>
        <v>31.84999999999982</v>
      </c>
      <c r="G386" s="54">
        <f t="shared" si="49"/>
        <v>4.2878086042927555</v>
      </c>
      <c r="H386" s="87">
        <f t="shared" si="48"/>
        <v>4.2878086042927555</v>
      </c>
      <c r="I386">
        <f t="shared" si="53"/>
        <v>716.12873342934427</v>
      </c>
      <c r="J386">
        <f t="shared" si="54"/>
        <v>88.064366714672147</v>
      </c>
      <c r="K386">
        <f t="shared" si="50"/>
        <v>88.064366714672147</v>
      </c>
      <c r="L386" s="60">
        <f t="shared" si="55"/>
        <v>97.394469991479198</v>
      </c>
      <c r="M386">
        <f t="shared" si="56"/>
        <v>43.177886419258378</v>
      </c>
    </row>
    <row r="387" spans="2:13" x14ac:dyDescent="0.3">
      <c r="C387" s="16">
        <v>45036</v>
      </c>
      <c r="D387" s="57">
        <v>2.2125000000000399</v>
      </c>
      <c r="E387" s="19">
        <f t="shared" si="51"/>
        <v>59.73333333333315</v>
      </c>
      <c r="F387" s="19">
        <f t="shared" si="52"/>
        <v>31.933333333333152</v>
      </c>
      <c r="G387" s="54">
        <f t="shared" si="49"/>
        <v>4.2985415363785258</v>
      </c>
      <c r="H387" s="87">
        <f t="shared" si="48"/>
        <v>4.2985415363785258</v>
      </c>
      <c r="I387">
        <f t="shared" si="53"/>
        <v>716.84515701874068</v>
      </c>
      <c r="J387">
        <f t="shared" si="54"/>
        <v>88.422578509370354</v>
      </c>
      <c r="K387">
        <f t="shared" si="50"/>
        <v>88.422578509370354</v>
      </c>
      <c r="L387" s="60">
        <f t="shared" si="55"/>
        <v>97.692899915330585</v>
      </c>
      <c r="M387">
        <f t="shared" si="56"/>
        <v>43.242778348255833</v>
      </c>
    </row>
    <row r="388" spans="2:13" x14ac:dyDescent="0.3">
      <c r="B388" s="61"/>
      <c r="C388" s="16">
        <v>45036</v>
      </c>
      <c r="D388" s="57">
        <v>2.21597222222226</v>
      </c>
      <c r="E388" s="19">
        <f t="shared" si="51"/>
        <v>59.816666666666492</v>
      </c>
      <c r="F388" s="19">
        <f t="shared" si="52"/>
        <v>32.016666666666488</v>
      </c>
      <c r="G388" s="54">
        <f t="shared" si="49"/>
        <v>4.3093013343628925</v>
      </c>
      <c r="H388" s="87">
        <f t="shared" ref="H388:H451" si="57">G388</f>
        <v>4.3093013343628925</v>
      </c>
      <c r="I388">
        <f t="shared" si="53"/>
        <v>717.56337390780118</v>
      </c>
      <c r="J388">
        <f t="shared" si="54"/>
        <v>88.781686953900589</v>
      </c>
      <c r="K388">
        <f t="shared" si="50"/>
        <v>88.781686953900589</v>
      </c>
      <c r="L388" s="60">
        <f t="shared" si="55"/>
        <v>97.991478696241145</v>
      </c>
      <c r="M388">
        <f t="shared" si="56"/>
        <v>43.307702645393832</v>
      </c>
    </row>
    <row r="389" spans="2:13" x14ac:dyDescent="0.3">
      <c r="C389" s="16">
        <v>45036</v>
      </c>
      <c r="D389" s="57">
        <v>2.2194444444444801</v>
      </c>
      <c r="E389" s="19">
        <f t="shared" si="51"/>
        <v>59.899999999999821</v>
      </c>
      <c r="F389" s="19">
        <f t="shared" si="52"/>
        <v>32.099999999999824</v>
      </c>
      <c r="G389" s="54">
        <f t="shared" ref="G389:G452" si="58">$G$4*EXP($T$1*F389)</f>
        <v>4.3200880654946259</v>
      </c>
      <c r="H389" s="87">
        <f t="shared" si="57"/>
        <v>4.3200880654946259</v>
      </c>
      <c r="I389">
        <f t="shared" si="53"/>
        <v>718.28338858538359</v>
      </c>
      <c r="J389">
        <f t="shared" si="54"/>
        <v>89.14169429269181</v>
      </c>
      <c r="K389">
        <f t="shared" ref="K389:K452" si="59">J389</f>
        <v>89.14169429269181</v>
      </c>
      <c r="L389" s="60">
        <f t="shared" si="55"/>
        <v>98.290205511859043</v>
      </c>
      <c r="M389">
        <f t="shared" si="56"/>
        <v>43.372659131856523</v>
      </c>
    </row>
    <row r="390" spans="2:13" x14ac:dyDescent="0.3">
      <c r="C390" s="16">
        <v>45036</v>
      </c>
      <c r="D390" s="57">
        <v>2.2229166666667002</v>
      </c>
      <c r="E390" s="19">
        <f t="shared" ref="E390:E453" si="60">$E$3+F390</f>
        <v>59.983333333333164</v>
      </c>
      <c r="F390" s="19">
        <f t="shared" ref="F390:F453" si="61">F389+5/60</f>
        <v>32.183333333333159</v>
      </c>
      <c r="G390" s="54">
        <f t="shared" si="58"/>
        <v>4.3309017971908315</v>
      </c>
      <c r="H390" s="87">
        <f t="shared" si="57"/>
        <v>4.3309017971908315</v>
      </c>
      <c r="I390">
        <f t="shared" ref="I390:I453" si="62">I389+(G390+H390)*5/60</f>
        <v>719.00520555158209</v>
      </c>
      <c r="J390">
        <f t="shared" si="54"/>
        <v>89.502602775791047</v>
      </c>
      <c r="K390">
        <f t="shared" si="59"/>
        <v>89.502602775791047</v>
      </c>
      <c r="L390" s="60">
        <f t="shared" si="55"/>
        <v>98.58907953809107</v>
      </c>
      <c r="M390">
        <f t="shared" si="56"/>
        <v>43.437647628449419</v>
      </c>
    </row>
    <row r="391" spans="2:13" x14ac:dyDescent="0.3">
      <c r="C391" s="16">
        <v>45036</v>
      </c>
      <c r="D391" s="57">
        <v>2.2263888888889301</v>
      </c>
      <c r="E391" s="19">
        <f t="shared" si="60"/>
        <v>60.066666666666492</v>
      </c>
      <c r="F391" s="19">
        <f t="shared" si="61"/>
        <v>32.266666666666495</v>
      </c>
      <c r="G391" s="54">
        <f t="shared" si="58"/>
        <v>4.341742597037368</v>
      </c>
      <c r="H391" s="87">
        <f t="shared" si="57"/>
        <v>4.341742597037368</v>
      </c>
      <c r="I391">
        <f t="shared" si="62"/>
        <v>719.72882931775496</v>
      </c>
      <c r="J391">
        <f t="shared" si="54"/>
        <v>89.864414658877493</v>
      </c>
      <c r="K391">
        <f t="shared" si="59"/>
        <v>89.864414658877493</v>
      </c>
      <c r="L391" s="60">
        <f t="shared" si="55"/>
        <v>98.888099949111151</v>
      </c>
      <c r="M391">
        <f t="shared" si="56"/>
        <v>43.502667955601225</v>
      </c>
    </row>
    <row r="392" spans="2:13" x14ac:dyDescent="0.3">
      <c r="C392" s="16">
        <v>45036</v>
      </c>
      <c r="D392" s="57">
        <v>2.2298611111111502</v>
      </c>
      <c r="E392" s="19">
        <f t="shared" si="60"/>
        <v>60.149999999999835</v>
      </c>
      <c r="F392" s="19">
        <f t="shared" si="61"/>
        <v>32.349999999999831</v>
      </c>
      <c r="G392" s="54">
        <f t="shared" si="58"/>
        <v>4.352610532789269</v>
      </c>
      <c r="H392" s="87">
        <f t="shared" si="57"/>
        <v>4.352610532789269</v>
      </c>
      <c r="I392">
        <f t="shared" si="62"/>
        <v>720.45426440655319</v>
      </c>
      <c r="J392">
        <f t="shared" si="54"/>
        <v>90.227132203276597</v>
      </c>
      <c r="K392">
        <f t="shared" si="59"/>
        <v>90.227132203276597</v>
      </c>
      <c r="L392" s="60">
        <f t="shared" si="55"/>
        <v>99.18726591736862</v>
      </c>
      <c r="M392">
        <f t="shared" si="56"/>
        <v>43.567719933365659</v>
      </c>
    </row>
    <row r="393" spans="2:13" x14ac:dyDescent="0.3">
      <c r="C393" s="16">
        <v>45036</v>
      </c>
      <c r="D393" s="57">
        <v>2.2333333333333698</v>
      </c>
      <c r="E393" s="19">
        <f t="shared" si="60"/>
        <v>60.233333333333164</v>
      </c>
      <c r="F393" s="19">
        <f t="shared" si="61"/>
        <v>32.433333333333167</v>
      </c>
      <c r="G393" s="54">
        <f t="shared" si="58"/>
        <v>4.3635056723711685</v>
      </c>
      <c r="H393" s="87">
        <f t="shared" si="57"/>
        <v>4.3635056723711685</v>
      </c>
      <c r="I393">
        <f t="shared" si="62"/>
        <v>721.18151535194841</v>
      </c>
      <c r="J393">
        <f t="shared" si="54"/>
        <v>90.590757675974189</v>
      </c>
      <c r="K393">
        <f t="shared" si="59"/>
        <v>90.590757675974189</v>
      </c>
      <c r="L393" s="60">
        <f t="shared" si="55"/>
        <v>99.486576613596867</v>
      </c>
      <c r="M393">
        <f t="shared" si="56"/>
        <v>43.632803381423287</v>
      </c>
    </row>
    <row r="394" spans="2:13" x14ac:dyDescent="0.3">
      <c r="C394" s="16">
        <v>45036</v>
      </c>
      <c r="D394" s="57">
        <v>2.2368055555555899</v>
      </c>
      <c r="E394" s="19">
        <f t="shared" si="60"/>
        <v>60.316666666666507</v>
      </c>
      <c r="F394" s="19">
        <f t="shared" si="61"/>
        <v>32.516666666666502</v>
      </c>
      <c r="G394" s="54">
        <f t="shared" si="58"/>
        <v>4.3744280838777252</v>
      </c>
      <c r="H394" s="87">
        <f t="shared" si="57"/>
        <v>4.3744280838777252</v>
      </c>
      <c r="I394">
        <f t="shared" si="62"/>
        <v>721.91058669926133</v>
      </c>
      <c r="J394">
        <f t="shared" si="54"/>
        <v>90.955293349630665</v>
      </c>
      <c r="K394">
        <f t="shared" si="59"/>
        <v>90.955293349630665</v>
      </c>
      <c r="L394" s="60">
        <f t="shared" si="55"/>
        <v>99.78603120682169</v>
      </c>
      <c r="M394">
        <f t="shared" si="56"/>
        <v>43.69791811908339</v>
      </c>
    </row>
    <row r="395" spans="2:13" x14ac:dyDescent="0.3">
      <c r="C395" s="16">
        <v>45036</v>
      </c>
      <c r="D395" s="57">
        <v>2.2402777777778198</v>
      </c>
      <c r="E395" s="19">
        <f t="shared" si="60"/>
        <v>60.399999999999835</v>
      </c>
      <c r="F395" s="19">
        <f t="shared" si="61"/>
        <v>32.599999999999838</v>
      </c>
      <c r="G395" s="54">
        <f t="shared" si="58"/>
        <v>4.3853778355740447</v>
      </c>
      <c r="H395" s="87">
        <f t="shared" si="57"/>
        <v>4.3853778355740447</v>
      </c>
      <c r="I395">
        <f t="shared" si="62"/>
        <v>722.64148300519037</v>
      </c>
      <c r="J395">
        <f t="shared" si="54"/>
        <v>91.320741502595169</v>
      </c>
      <c r="K395">
        <f t="shared" si="59"/>
        <v>91.320741502595169</v>
      </c>
      <c r="L395" s="60">
        <f t="shared" si="55"/>
        <v>100.08562886436988</v>
      </c>
      <c r="M395">
        <f t="shared" si="56"/>
        <v>43.763063965285809</v>
      </c>
    </row>
    <row r="396" spans="2:13" x14ac:dyDescent="0.3">
      <c r="C396" s="16">
        <v>45036</v>
      </c>
      <c r="D396" s="57">
        <v>2.2437500000000399</v>
      </c>
      <c r="E396" s="19">
        <f t="shared" si="60"/>
        <v>60.483333333333178</v>
      </c>
      <c r="F396" s="19">
        <f t="shared" si="61"/>
        <v>32.683333333333174</v>
      </c>
      <c r="G396" s="54">
        <f t="shared" si="58"/>
        <v>4.3963549958961128</v>
      </c>
      <c r="H396" s="87">
        <f t="shared" si="57"/>
        <v>4.3963549958961128</v>
      </c>
      <c r="I396">
        <f t="shared" si="62"/>
        <v>723.37420883783977</v>
      </c>
      <c r="J396">
        <f t="shared" si="54"/>
        <v>91.687104418919844</v>
      </c>
      <c r="K396">
        <f t="shared" si="59"/>
        <v>91.687104418919844</v>
      </c>
      <c r="L396" s="60">
        <f t="shared" si="55"/>
        <v>100.38536875187791</v>
      </c>
      <c r="M396">
        <f t="shared" si="56"/>
        <v>43.82824073860283</v>
      </c>
    </row>
    <row r="397" spans="2:13" x14ac:dyDescent="0.3">
      <c r="C397" s="16">
        <v>45036</v>
      </c>
      <c r="D397" s="57">
        <v>2.24722222222226</v>
      </c>
      <c r="E397" s="19">
        <f t="shared" si="60"/>
        <v>60.566666666666507</v>
      </c>
      <c r="F397" s="19">
        <f t="shared" si="61"/>
        <v>32.766666666666509</v>
      </c>
      <c r="G397" s="54">
        <f t="shared" si="58"/>
        <v>4.4073596334512146</v>
      </c>
      <c r="H397" s="87">
        <f t="shared" si="57"/>
        <v>4.4073596334512146</v>
      </c>
      <c r="I397">
        <f t="shared" si="62"/>
        <v>724.10876877674832</v>
      </c>
      <c r="J397">
        <f t="shared" si="54"/>
        <v>92.054384388374118</v>
      </c>
      <c r="K397">
        <f t="shared" si="59"/>
        <v>92.054384388374118</v>
      </c>
      <c r="L397" s="60">
        <f t="shared" si="55"/>
        <v>100.68525003330046</v>
      </c>
      <c r="M397">
        <f t="shared" si="56"/>
        <v>43.893448257241047</v>
      </c>
    </row>
    <row r="398" spans="2:13" x14ac:dyDescent="0.3">
      <c r="C398" s="16">
        <v>45036</v>
      </c>
      <c r="D398" s="57">
        <v>2.2506944444444801</v>
      </c>
      <c r="E398" s="19">
        <f t="shared" si="60"/>
        <v>60.649999999999849</v>
      </c>
      <c r="F398" s="19">
        <f t="shared" si="61"/>
        <v>32.849999999999845</v>
      </c>
      <c r="G398" s="54">
        <f t="shared" si="58"/>
        <v>4.4183918170183736</v>
      </c>
      <c r="H398" s="87">
        <f t="shared" si="57"/>
        <v>4.4183918170183736</v>
      </c>
      <c r="I398">
        <f t="shared" si="62"/>
        <v>724.84516741291804</v>
      </c>
      <c r="J398">
        <f t="shared" si="54"/>
        <v>92.42258370645898</v>
      </c>
      <c r="K398">
        <f t="shared" si="59"/>
        <v>92.42258370645898</v>
      </c>
      <c r="L398" s="60">
        <f t="shared" si="55"/>
        <v>100.98527187091921</v>
      </c>
      <c r="M398">
        <f t="shared" si="56"/>
        <v>43.958686339043254</v>
      </c>
    </row>
    <row r="399" spans="2:13" x14ac:dyDescent="0.3">
      <c r="C399" s="16">
        <v>45036</v>
      </c>
      <c r="D399" s="57">
        <v>2.2541666666667002</v>
      </c>
      <c r="E399" s="19">
        <f t="shared" si="60"/>
        <v>60.733333333333178</v>
      </c>
      <c r="F399" s="19">
        <f t="shared" si="61"/>
        <v>32.933333333333181</v>
      </c>
      <c r="G399" s="54">
        <f t="shared" si="58"/>
        <v>4.4294516155487731</v>
      </c>
      <c r="H399" s="87">
        <f t="shared" si="57"/>
        <v>4.4294516155487731</v>
      </c>
      <c r="I399">
        <f t="shared" si="62"/>
        <v>725.58340934884279</v>
      </c>
      <c r="J399">
        <f t="shared" si="54"/>
        <v>92.791704674421382</v>
      </c>
      <c r="K399">
        <f t="shared" si="59"/>
        <v>92.791704674421382</v>
      </c>
      <c r="L399" s="60">
        <f t="shared" si="55"/>
        <v>101.2854334253514</v>
      </c>
      <c r="M399">
        <f t="shared" si="56"/>
        <v>44.023954801490341</v>
      </c>
    </row>
    <row r="400" spans="2:13" x14ac:dyDescent="0.3">
      <c r="C400" s="16">
        <v>45036</v>
      </c>
      <c r="D400" s="57">
        <v>2.2576388888889301</v>
      </c>
      <c r="E400" s="19">
        <f t="shared" si="60"/>
        <v>60.816666666666521</v>
      </c>
      <c r="F400" s="19">
        <f t="shared" si="61"/>
        <v>33.016666666666517</v>
      </c>
      <c r="G400" s="54">
        <f t="shared" si="58"/>
        <v>4.4405390981661865</v>
      </c>
      <c r="H400" s="87">
        <f t="shared" si="57"/>
        <v>4.4405390981661865</v>
      </c>
      <c r="I400">
        <f t="shared" si="62"/>
        <v>726.32349919853721</v>
      </c>
      <c r="J400">
        <f t="shared" si="54"/>
        <v>93.16174959926856</v>
      </c>
      <c r="K400">
        <f t="shared" si="59"/>
        <v>93.16174959926856</v>
      </c>
      <c r="L400" s="60">
        <f t="shared" si="55"/>
        <v>101.58573385555866</v>
      </c>
      <c r="M400">
        <f t="shared" si="56"/>
        <v>44.089253461703187</v>
      </c>
    </row>
    <row r="401" spans="1:13" x14ac:dyDescent="0.3">
      <c r="C401" s="16">
        <v>45036</v>
      </c>
      <c r="D401" s="57">
        <v>2.2611111111111502</v>
      </c>
      <c r="E401" s="19">
        <f t="shared" si="60"/>
        <v>60.899999999999849</v>
      </c>
      <c r="F401" s="19">
        <f t="shared" si="61"/>
        <v>33.099999999999852</v>
      </c>
      <c r="G401" s="54">
        <f t="shared" si="58"/>
        <v>4.4516543341674186</v>
      </c>
      <c r="H401" s="87">
        <f t="shared" si="57"/>
        <v>4.4516543341674186</v>
      </c>
      <c r="I401">
        <f t="shared" si="62"/>
        <v>727.06544158756515</v>
      </c>
      <c r="J401">
        <f t="shared" si="54"/>
        <v>93.532720793782516</v>
      </c>
      <c r="K401">
        <f t="shared" si="59"/>
        <v>93.532720793782516</v>
      </c>
      <c r="L401" s="60">
        <f t="shared" si="55"/>
        <v>101.8861723188559</v>
      </c>
      <c r="M401">
        <f t="shared" si="56"/>
        <v>44.154582136444603</v>
      </c>
    </row>
    <row r="402" spans="1:13" x14ac:dyDescent="0.3">
      <c r="A402" s="61" t="s">
        <v>169</v>
      </c>
      <c r="B402" s="61" t="s">
        <v>76</v>
      </c>
      <c r="C402" s="16">
        <v>45036</v>
      </c>
      <c r="D402" s="57">
        <v>2.2645833333333698</v>
      </c>
      <c r="E402" s="19">
        <f t="shared" si="60"/>
        <v>60.983333333333192</v>
      </c>
      <c r="F402" s="19">
        <f t="shared" si="61"/>
        <v>33.183333333333188</v>
      </c>
      <c r="G402" s="54">
        <f t="shared" si="58"/>
        <v>4.4627973930227309</v>
      </c>
      <c r="H402" s="87">
        <f t="shared" si="57"/>
        <v>4.4627973930227309</v>
      </c>
      <c r="I402">
        <f t="shared" si="62"/>
        <v>727.80924115306891</v>
      </c>
      <c r="J402">
        <f t="shared" si="54"/>
        <v>93.904620576534413</v>
      </c>
      <c r="K402">
        <f t="shared" si="59"/>
        <v>93.904620576534413</v>
      </c>
      <c r="L402" s="60">
        <f t="shared" si="55"/>
        <v>102.18674797092005</v>
      </c>
      <c r="M402">
        <f t="shared" si="56"/>
        <v>44.219940642121216</v>
      </c>
    </row>
    <row r="403" spans="1:13" x14ac:dyDescent="0.3">
      <c r="C403" s="16">
        <v>45036</v>
      </c>
      <c r="D403" s="57">
        <v>2.2680555555555899</v>
      </c>
      <c r="E403" s="19">
        <f t="shared" si="60"/>
        <v>61.066666666666521</v>
      </c>
      <c r="F403" s="19">
        <f t="shared" si="61"/>
        <v>33.266666666666524</v>
      </c>
      <c r="G403" s="54">
        <f t="shared" si="58"/>
        <v>4.473968344376277</v>
      </c>
      <c r="H403" s="87">
        <f t="shared" si="57"/>
        <v>4.473968344376277</v>
      </c>
      <c r="I403">
        <f t="shared" si="62"/>
        <v>728.55490254379833</v>
      </c>
      <c r="J403">
        <f t="shared" si="54"/>
        <v>94.277451271899096</v>
      </c>
      <c r="K403">
        <f t="shared" si="59"/>
        <v>94.277451271899096</v>
      </c>
      <c r="L403" s="60">
        <f t="shared" si="55"/>
        <v>102.48745996579891</v>
      </c>
      <c r="M403">
        <f t="shared" si="56"/>
        <v>44.285328794785428</v>
      </c>
    </row>
    <row r="404" spans="1:13" x14ac:dyDescent="0.3">
      <c r="C404" s="16">
        <v>45036</v>
      </c>
      <c r="D404" s="57">
        <v>2.2715277777778198</v>
      </c>
      <c r="E404" s="19">
        <f t="shared" si="60"/>
        <v>61.149999999999864</v>
      </c>
      <c r="F404" s="19">
        <f t="shared" si="61"/>
        <v>33.349999999999859</v>
      </c>
      <c r="G404" s="54">
        <f t="shared" si="58"/>
        <v>4.4851672580465385</v>
      </c>
      <c r="H404" s="87">
        <f t="shared" si="57"/>
        <v>4.4851672580465385</v>
      </c>
      <c r="I404">
        <f t="shared" si="62"/>
        <v>729.30243042013944</v>
      </c>
      <c r="J404">
        <f t="shared" si="54"/>
        <v>94.651215210069637</v>
      </c>
      <c r="K404">
        <f t="shared" si="59"/>
        <v>94.651215210069637</v>
      </c>
      <c r="L404" s="60">
        <f t="shared" si="55"/>
        <v>102.78830745592019</v>
      </c>
      <c r="M404">
        <f t="shared" si="56"/>
        <v>44.350746410137354</v>
      </c>
    </row>
    <row r="405" spans="1:13" x14ac:dyDescent="0.3">
      <c r="C405" s="16">
        <v>45036</v>
      </c>
      <c r="D405" s="57">
        <v>2.2750000000000399</v>
      </c>
      <c r="E405" s="19">
        <f t="shared" si="60"/>
        <v>61.233333333333192</v>
      </c>
      <c r="F405" s="19">
        <f t="shared" si="61"/>
        <v>33.433333333333195</v>
      </c>
      <c r="G405" s="54">
        <f t="shared" si="58"/>
        <v>4.4963942040267639</v>
      </c>
      <c r="H405" s="87">
        <f t="shared" si="57"/>
        <v>4.4963942040267639</v>
      </c>
      <c r="I405">
        <f t="shared" si="62"/>
        <v>730.0518294541439</v>
      </c>
      <c r="J405">
        <f t="shared" si="54"/>
        <v>95.025914727071864</v>
      </c>
      <c r="K405">
        <f t="shared" si="59"/>
        <v>95.025914727071864</v>
      </c>
      <c r="L405" s="60">
        <f t="shared" si="55"/>
        <v>103.08928959210036</v>
      </c>
      <c r="M405">
        <f t="shared" si="56"/>
        <v>44.416193303526754</v>
      </c>
    </row>
    <row r="406" spans="1:13" x14ac:dyDescent="0.3">
      <c r="C406" s="16">
        <v>45036</v>
      </c>
      <c r="D406" s="57">
        <v>2.27847222222226</v>
      </c>
      <c r="E406" s="19">
        <f t="shared" si="60"/>
        <v>61.316666666666535</v>
      </c>
      <c r="F406" s="19">
        <f t="shared" si="61"/>
        <v>33.516666666666531</v>
      </c>
      <c r="G406" s="54">
        <f t="shared" si="58"/>
        <v>4.5076492524854004</v>
      </c>
      <c r="H406" s="87">
        <f t="shared" si="57"/>
        <v>4.5076492524854004</v>
      </c>
      <c r="I406">
        <f t="shared" si="62"/>
        <v>730.8031043295581</v>
      </c>
      <c r="J406">
        <f t="shared" si="54"/>
        <v>95.401552164778977</v>
      </c>
      <c r="K406">
        <f t="shared" si="59"/>
        <v>95.401552164778977</v>
      </c>
      <c r="L406" s="60">
        <f t="shared" si="55"/>
        <v>103.39040552355372</v>
      </c>
      <c r="M406">
        <f t="shared" si="56"/>
        <v>44.481669289954993</v>
      </c>
    </row>
    <row r="407" spans="1:13" x14ac:dyDescent="0.3">
      <c r="C407" s="16">
        <v>45036</v>
      </c>
      <c r="D407" s="57">
        <v>2.2819444444444801</v>
      </c>
      <c r="E407" s="19">
        <f t="shared" si="60"/>
        <v>61.399999999999864</v>
      </c>
      <c r="F407" s="19">
        <f t="shared" si="61"/>
        <v>33.599999999999866</v>
      </c>
      <c r="G407" s="54">
        <f t="shared" si="58"/>
        <v>4.5189324737665384</v>
      </c>
      <c r="H407" s="87">
        <f t="shared" si="57"/>
        <v>4.5189324737665384</v>
      </c>
      <c r="I407">
        <f t="shared" si="62"/>
        <v>731.5562597418525</v>
      </c>
      <c r="J407">
        <f t="shared" si="54"/>
        <v>95.778129870926193</v>
      </c>
      <c r="K407">
        <f t="shared" si="59"/>
        <v>95.778129870926193</v>
      </c>
      <c r="L407" s="60">
        <f t="shared" si="55"/>
        <v>103.69165439790139</v>
      </c>
      <c r="M407">
        <f t="shared" si="56"/>
        <v>44.547174184077036</v>
      </c>
    </row>
    <row r="408" spans="1:13" x14ac:dyDescent="0.3">
      <c r="C408" s="16">
        <v>45036</v>
      </c>
      <c r="D408" s="57">
        <v>2.28541666666671</v>
      </c>
      <c r="E408" s="19">
        <f t="shared" si="60"/>
        <v>61.483333333333206</v>
      </c>
      <c r="F408" s="19">
        <f t="shared" si="61"/>
        <v>33.683333333333202</v>
      </c>
      <c r="G408" s="54">
        <f t="shared" si="58"/>
        <v>4.5302439383903472</v>
      </c>
      <c r="H408" s="87">
        <f t="shared" si="57"/>
        <v>4.5302439383903472</v>
      </c>
      <c r="I408">
        <f t="shared" si="62"/>
        <v>732.31130039825086</v>
      </c>
      <c r="J408">
        <f t="shared" si="54"/>
        <v>96.15565019912539</v>
      </c>
      <c r="K408">
        <f t="shared" si="59"/>
        <v>96.15565019912539</v>
      </c>
      <c r="L408" s="60">
        <f t="shared" si="55"/>
        <v>103.9930353611804</v>
      </c>
      <c r="M408">
        <f t="shared" si="56"/>
        <v>44.612707800203374</v>
      </c>
    </row>
    <row r="409" spans="1:13" x14ac:dyDescent="0.3">
      <c r="C409" s="16">
        <v>45036</v>
      </c>
      <c r="D409" s="57">
        <v>2.2888888888889301</v>
      </c>
      <c r="E409" s="19">
        <f t="shared" si="60"/>
        <v>61.566666666666535</v>
      </c>
      <c r="F409" s="19">
        <f t="shared" si="61"/>
        <v>33.766666666666538</v>
      </c>
      <c r="G409" s="54">
        <f t="shared" si="58"/>
        <v>4.5415837170535189</v>
      </c>
      <c r="H409" s="87">
        <f t="shared" si="57"/>
        <v>4.5415837170535189</v>
      </c>
      <c r="I409">
        <f t="shared" si="62"/>
        <v>733.06823101775979</v>
      </c>
      <c r="J409">
        <f t="shared" si="54"/>
        <v>96.53411550887985</v>
      </c>
      <c r="K409">
        <f t="shared" si="59"/>
        <v>96.53411550887985</v>
      </c>
      <c r="L409" s="60">
        <f t="shared" si="55"/>
        <v>104.29454755785291</v>
      </c>
      <c r="M409">
        <f t="shared" si="56"/>
        <v>44.678269952302053</v>
      </c>
    </row>
    <row r="410" spans="1:13" x14ac:dyDescent="0.3">
      <c r="C410" s="16">
        <v>45036</v>
      </c>
      <c r="D410" s="57">
        <v>2.2923611111111502</v>
      </c>
      <c r="E410" s="19">
        <f t="shared" si="60"/>
        <v>61.649999999999878</v>
      </c>
      <c r="F410" s="19">
        <f t="shared" si="61"/>
        <v>33.849999999999874</v>
      </c>
      <c r="G410" s="54">
        <f t="shared" si="58"/>
        <v>4.5529518806297045</v>
      </c>
      <c r="H410" s="87">
        <f t="shared" si="57"/>
        <v>4.5529518806297045</v>
      </c>
      <c r="I410">
        <f t="shared" si="62"/>
        <v>733.82705633119804</v>
      </c>
      <c r="J410">
        <f t="shared" si="54"/>
        <v>96.91352816559899</v>
      </c>
      <c r="K410">
        <f t="shared" si="59"/>
        <v>96.91352816559899</v>
      </c>
      <c r="L410" s="60">
        <f t="shared" si="55"/>
        <v>104.59619013081519</v>
      </c>
      <c r="M410">
        <f t="shared" si="56"/>
        <v>44.743860454000625</v>
      </c>
    </row>
    <row r="411" spans="1:13" x14ac:dyDescent="0.3">
      <c r="C411" s="16">
        <v>45036</v>
      </c>
      <c r="D411" s="57">
        <v>2.2958333333333698</v>
      </c>
      <c r="E411" s="19">
        <f t="shared" si="60"/>
        <v>61.733333333333206</v>
      </c>
      <c r="F411" s="19">
        <f t="shared" si="61"/>
        <v>33.933333333333209</v>
      </c>
      <c r="G411" s="54">
        <f t="shared" si="58"/>
        <v>4.5643485001699657</v>
      </c>
      <c r="H411" s="87">
        <f t="shared" si="57"/>
        <v>4.5643485001699657</v>
      </c>
      <c r="I411">
        <f t="shared" si="62"/>
        <v>734.58778108122635</v>
      </c>
      <c r="J411">
        <f t="shared" si="54"/>
        <v>97.293890540613148</v>
      </c>
      <c r="K411">
        <f t="shared" si="59"/>
        <v>97.293890540613148</v>
      </c>
      <c r="L411" s="60">
        <f t="shared" si="55"/>
        <v>104.89796222140694</v>
      </c>
      <c r="M411">
        <f t="shared" si="56"/>
        <v>44.809479118588193</v>
      </c>
    </row>
    <row r="412" spans="1:13" x14ac:dyDescent="0.3">
      <c r="C412" s="16">
        <v>45036</v>
      </c>
      <c r="D412" s="57">
        <v>2.2993055555555899</v>
      </c>
      <c r="E412" s="19">
        <f t="shared" si="60"/>
        <v>61.816666666666549</v>
      </c>
      <c r="F412" s="19">
        <f t="shared" si="61"/>
        <v>34.016666666666545</v>
      </c>
      <c r="G412" s="54">
        <f t="shared" si="58"/>
        <v>4.5757736469032118</v>
      </c>
      <c r="H412" s="87">
        <f t="shared" si="57"/>
        <v>4.5757736469032118</v>
      </c>
      <c r="I412">
        <f t="shared" si="62"/>
        <v>735.35041002237688</v>
      </c>
      <c r="J412">
        <f t="shared" si="54"/>
        <v>97.67520501118841</v>
      </c>
      <c r="K412">
        <f t="shared" si="59"/>
        <v>97.67520501118841</v>
      </c>
      <c r="L412" s="60">
        <f t="shared" si="55"/>
        <v>105.19986296942054</v>
      </c>
      <c r="M412">
        <f t="shared" si="56"/>
        <v>44.875125759017372</v>
      </c>
    </row>
    <row r="413" spans="1:13" x14ac:dyDescent="0.3">
      <c r="C413" s="16">
        <v>45036</v>
      </c>
      <c r="D413" s="57">
        <v>2.3027777777778198</v>
      </c>
      <c r="E413" s="19">
        <f t="shared" si="60"/>
        <v>61.899999999999878</v>
      </c>
      <c r="F413" s="19">
        <f t="shared" si="61"/>
        <v>34.099999999999881</v>
      </c>
      <c r="G413" s="54">
        <f t="shared" si="58"/>
        <v>4.5872273922366444</v>
      </c>
      <c r="H413" s="87">
        <f t="shared" si="57"/>
        <v>4.5872273922366444</v>
      </c>
      <c r="I413">
        <f t="shared" si="62"/>
        <v>736.11494792108294</v>
      </c>
      <c r="J413">
        <f t="shared" si="54"/>
        <v>98.057473960541458</v>
      </c>
      <c r="K413">
        <f t="shared" si="59"/>
        <v>98.057473960541458</v>
      </c>
      <c r="L413" s="60">
        <f t="shared" si="55"/>
        <v>105.50189151311022</v>
      </c>
      <c r="M413">
        <f t="shared" si="56"/>
        <v>44.940800187906341</v>
      </c>
    </row>
    <row r="414" spans="1:13" x14ac:dyDescent="0.3">
      <c r="C414" s="16">
        <v>45036</v>
      </c>
      <c r="D414" s="57">
        <v>2.3062500000000399</v>
      </c>
      <c r="E414" s="19">
        <f t="shared" si="60"/>
        <v>61.983333333333221</v>
      </c>
      <c r="F414" s="19">
        <f t="shared" si="61"/>
        <v>34.183333333333216</v>
      </c>
      <c r="G414" s="54">
        <f t="shared" si="58"/>
        <v>4.5987098077562125</v>
      </c>
      <c r="H414" s="87">
        <f t="shared" si="57"/>
        <v>4.5987098077562125</v>
      </c>
      <c r="I414">
        <f t="shared" si="62"/>
        <v>736.88139955570898</v>
      </c>
      <c r="J414">
        <f t="shared" si="54"/>
        <v>98.440699777854476</v>
      </c>
      <c r="K414">
        <f t="shared" si="59"/>
        <v>98.440699777854476</v>
      </c>
      <c r="L414" s="60">
        <f t="shared" si="55"/>
        <v>105.80404698920151</v>
      </c>
      <c r="M414">
        <f t="shared" si="56"/>
        <v>45.006502217540849</v>
      </c>
    </row>
    <row r="415" spans="1:13" x14ac:dyDescent="0.3">
      <c r="C415" s="16">
        <v>45036</v>
      </c>
      <c r="D415" s="57">
        <v>2.30972222222226</v>
      </c>
      <c r="E415" s="19">
        <f t="shared" si="60"/>
        <v>62.066666666666549</v>
      </c>
      <c r="F415" s="19">
        <f t="shared" si="61"/>
        <v>34.266666666666552</v>
      </c>
      <c r="G415" s="54">
        <f t="shared" si="58"/>
        <v>4.6102209652270476</v>
      </c>
      <c r="H415" s="87">
        <f t="shared" si="57"/>
        <v>4.6102209652270476</v>
      </c>
      <c r="I415">
        <f t="shared" si="62"/>
        <v>737.64976971658018</v>
      </c>
      <c r="J415">
        <f t="shared" si="54"/>
        <v>98.824884858290062</v>
      </c>
      <c r="K415">
        <f t="shared" si="59"/>
        <v>98.824884858290062</v>
      </c>
      <c r="L415" s="60">
        <f t="shared" si="55"/>
        <v>106.10632853290041</v>
      </c>
      <c r="M415">
        <f t="shared" si="56"/>
        <v>45.072231659876266</v>
      </c>
    </row>
    <row r="416" spans="1:13" x14ac:dyDescent="0.3">
      <c r="C416" s="16">
        <v>45036</v>
      </c>
      <c r="D416" s="57">
        <v>2.3131944444444801</v>
      </c>
      <c r="E416" s="19">
        <f t="shared" si="60"/>
        <v>62.149999999999892</v>
      </c>
      <c r="F416" s="19">
        <f t="shared" si="61"/>
        <v>34.349999999999888</v>
      </c>
      <c r="G416" s="54">
        <f t="shared" si="58"/>
        <v>4.6217609365939234</v>
      </c>
      <c r="H416" s="87">
        <f t="shared" si="57"/>
        <v>4.6217609365939234</v>
      </c>
      <c r="I416">
        <f t="shared" si="62"/>
        <v>738.42006320601251</v>
      </c>
      <c r="J416">
        <f t="shared" si="54"/>
        <v>99.210031603006229</v>
      </c>
      <c r="K416">
        <f t="shared" si="59"/>
        <v>99.210031603006229</v>
      </c>
      <c r="L416" s="60">
        <f t="shared" si="55"/>
        <v>106.40873527790299</v>
      </c>
      <c r="M416">
        <f t="shared" si="56"/>
        <v>45.137988326539599</v>
      </c>
    </row>
    <row r="417" spans="3:13" x14ac:dyDescent="0.3">
      <c r="C417" s="16">
        <v>45036</v>
      </c>
      <c r="D417" s="57">
        <v>2.31666666666671</v>
      </c>
      <c r="E417" s="19">
        <f t="shared" si="60"/>
        <v>62.233333333333221</v>
      </c>
      <c r="F417" s="19">
        <f t="shared" si="61"/>
        <v>34.433333333333223</v>
      </c>
      <c r="G417" s="54">
        <f t="shared" si="58"/>
        <v>4.6333297939816962</v>
      </c>
      <c r="H417" s="87">
        <f t="shared" si="57"/>
        <v>4.6333297939816962</v>
      </c>
      <c r="I417">
        <f t="shared" si="62"/>
        <v>739.19228483834274</v>
      </c>
      <c r="J417">
        <f t="shared" si="54"/>
        <v>99.596142419171372</v>
      </c>
      <c r="K417">
        <f t="shared" si="59"/>
        <v>99.596142419171372</v>
      </c>
      <c r="L417" s="60">
        <f t="shared" si="55"/>
        <v>106.71126635640468</v>
      </c>
      <c r="M417">
        <f t="shared" si="56"/>
        <v>45.203772028831587</v>
      </c>
    </row>
    <row r="418" spans="3:13" x14ac:dyDescent="0.3">
      <c r="C418" s="16">
        <v>45036</v>
      </c>
      <c r="D418" s="57">
        <v>2.3201388888889301</v>
      </c>
      <c r="E418" s="19">
        <f t="shared" si="60"/>
        <v>62.316666666666563</v>
      </c>
      <c r="F418" s="19">
        <f t="shared" si="61"/>
        <v>34.516666666666559</v>
      </c>
      <c r="G418" s="54">
        <f t="shared" si="58"/>
        <v>4.6449276096957659</v>
      </c>
      <c r="H418" s="87">
        <f t="shared" si="57"/>
        <v>4.6449276096957659</v>
      </c>
      <c r="I418">
        <f t="shared" si="62"/>
        <v>739.96643943995866</v>
      </c>
      <c r="J418">
        <f t="shared" si="54"/>
        <v>99.983219719979346</v>
      </c>
      <c r="K418">
        <f t="shared" si="59"/>
        <v>99.983219719979346</v>
      </c>
      <c r="L418" s="60">
        <f t="shared" si="55"/>
        <v>107.01392089910983</v>
      </c>
      <c r="M418">
        <f t="shared" si="56"/>
        <v>45.269582577728691</v>
      </c>
    </row>
    <row r="419" spans="3:13" x14ac:dyDescent="0.3">
      <c r="C419" s="16">
        <v>45036</v>
      </c>
      <c r="D419" s="57">
        <v>2.3236111111111502</v>
      </c>
      <c r="E419" s="19">
        <f t="shared" si="60"/>
        <v>62.399999999999892</v>
      </c>
      <c r="F419" s="19">
        <f t="shared" si="61"/>
        <v>34.599999999999895</v>
      </c>
      <c r="G419" s="54">
        <f t="shared" si="58"/>
        <v>4.6565544562225147</v>
      </c>
      <c r="H419" s="87">
        <f t="shared" si="57"/>
        <v>4.6565544562225147</v>
      </c>
      <c r="I419">
        <f t="shared" si="62"/>
        <v>740.74253184932911</v>
      </c>
      <c r="J419">
        <f t="shared" si="54"/>
        <v>100.37126592466456</v>
      </c>
      <c r="K419">
        <f t="shared" si="59"/>
        <v>100.37126592466456</v>
      </c>
      <c r="L419" s="60">
        <f t="shared" si="55"/>
        <v>107.31669803524105</v>
      </c>
      <c r="M419">
        <f t="shared" si="56"/>
        <v>45.335419783885214</v>
      </c>
    </row>
    <row r="420" spans="3:13" x14ac:dyDescent="0.3">
      <c r="C420" s="16">
        <v>45036</v>
      </c>
      <c r="D420" s="57">
        <v>2.3270833333333698</v>
      </c>
      <c r="E420" s="19">
        <f t="shared" si="60"/>
        <v>62.483333333333235</v>
      </c>
      <c r="F420" s="19">
        <f t="shared" si="61"/>
        <v>34.683333333333231</v>
      </c>
      <c r="G420" s="54">
        <f t="shared" si="58"/>
        <v>4.6682104062297745</v>
      </c>
      <c r="H420" s="87">
        <f t="shared" si="57"/>
        <v>4.6682104062297745</v>
      </c>
      <c r="I420">
        <f t="shared" si="62"/>
        <v>741.5205669170341</v>
      </c>
      <c r="J420">
        <f t="shared" si="54"/>
        <v>100.76028345851704</v>
      </c>
      <c r="K420">
        <f t="shared" si="59"/>
        <v>100.76028345851704</v>
      </c>
      <c r="L420" s="60">
        <f t="shared" si="55"/>
        <v>107.61959689254891</v>
      </c>
      <c r="M420">
        <f t="shared" si="56"/>
        <v>45.40128345763538</v>
      </c>
    </row>
    <row r="421" spans="3:13" x14ac:dyDescent="0.3">
      <c r="C421" s="16">
        <v>45036</v>
      </c>
      <c r="D421" s="57">
        <v>2.3305555555556001</v>
      </c>
      <c r="E421" s="19">
        <f t="shared" si="60"/>
        <v>62.566666666666563</v>
      </c>
      <c r="F421" s="19">
        <f t="shared" si="61"/>
        <v>34.766666666666566</v>
      </c>
      <c r="G421" s="54">
        <f t="shared" si="58"/>
        <v>4.6798955325672686</v>
      </c>
      <c r="H421" s="87">
        <f t="shared" si="57"/>
        <v>4.6798955325672686</v>
      </c>
      <c r="I421">
        <f t="shared" si="62"/>
        <v>742.30054950579529</v>
      </c>
      <c r="J421">
        <f t="shared" si="54"/>
        <v>101.15027475289764</v>
      </c>
      <c r="K421">
        <f t="shared" si="59"/>
        <v>101.15027475289764</v>
      </c>
      <c r="L421" s="60">
        <f t="shared" si="55"/>
        <v>107.92261659732148</v>
      </c>
      <c r="M421">
        <f t="shared" si="56"/>
        <v>45.467173408995365</v>
      </c>
    </row>
    <row r="422" spans="3:13" x14ac:dyDescent="0.3">
      <c r="C422" s="16">
        <v>45036</v>
      </c>
      <c r="D422" s="57">
        <v>2.3340277777778198</v>
      </c>
      <c r="E422" s="19">
        <f t="shared" si="60"/>
        <v>62.649999999999906</v>
      </c>
      <c r="F422" s="19">
        <f t="shared" si="61"/>
        <v>34.849999999999902</v>
      </c>
      <c r="G422" s="54">
        <f t="shared" si="58"/>
        <v>4.6916099082670746</v>
      </c>
      <c r="H422" s="87">
        <f t="shared" si="57"/>
        <v>4.6916099082670746</v>
      </c>
      <c r="I422">
        <f t="shared" si="62"/>
        <v>743.08248449050643</v>
      </c>
      <c r="J422">
        <f t="shared" si="54"/>
        <v>101.54124224525323</v>
      </c>
      <c r="K422">
        <f t="shared" si="59"/>
        <v>101.54124224525323</v>
      </c>
      <c r="L422" s="60">
        <f t="shared" si="55"/>
        <v>108.22575627439387</v>
      </c>
      <c r="M422">
        <f t="shared" si="56"/>
        <v>45.533089447665446</v>
      </c>
    </row>
    <row r="423" spans="3:13" x14ac:dyDescent="0.3">
      <c r="C423" s="16">
        <v>45036</v>
      </c>
      <c r="D423" s="57">
        <v>2.3375000000000399</v>
      </c>
      <c r="E423" s="19">
        <f t="shared" si="60"/>
        <v>62.733333333333235</v>
      </c>
      <c r="F423" s="19">
        <f t="shared" si="61"/>
        <v>34.933333333333238</v>
      </c>
      <c r="G423" s="54">
        <f t="shared" si="58"/>
        <v>4.7033536065440806</v>
      </c>
      <c r="H423" s="87">
        <f t="shared" si="57"/>
        <v>4.7033536065440806</v>
      </c>
      <c r="I423">
        <f t="shared" si="62"/>
        <v>743.86637675826375</v>
      </c>
      <c r="J423">
        <f t="shared" si="54"/>
        <v>101.93318837913191</v>
      </c>
      <c r="K423">
        <f t="shared" si="59"/>
        <v>101.93318837913191</v>
      </c>
      <c r="L423" s="60">
        <f t="shared" si="55"/>
        <v>108.52901504715804</v>
      </c>
      <c r="M423">
        <f t="shared" si="56"/>
        <v>45.599031383032056</v>
      </c>
    </row>
    <row r="424" spans="3:13" x14ac:dyDescent="0.3">
      <c r="C424" s="16">
        <v>45036</v>
      </c>
      <c r="D424" s="57">
        <v>2.34097222222226</v>
      </c>
      <c r="E424" s="19">
        <f t="shared" si="60"/>
        <v>62.816666666666578</v>
      </c>
      <c r="F424" s="19">
        <f t="shared" si="61"/>
        <v>35.016666666666573</v>
      </c>
      <c r="G424" s="54">
        <f t="shared" si="58"/>
        <v>4.7151267007964366</v>
      </c>
      <c r="H424" s="87">
        <f t="shared" si="57"/>
        <v>4.7151267007964366</v>
      </c>
      <c r="I424">
        <f t="shared" si="62"/>
        <v>744.65223120839653</v>
      </c>
      <c r="J424">
        <f t="shared" si="54"/>
        <v>102.32611560419828</v>
      </c>
      <c r="K424">
        <f t="shared" si="59"/>
        <v>102.32611560419828</v>
      </c>
      <c r="L424" s="60">
        <f t="shared" si="55"/>
        <v>108.83239203757226</v>
      </c>
      <c r="M424">
        <f t="shared" si="56"/>
        <v>45.664999024169902</v>
      </c>
    </row>
    <row r="425" spans="3:13" x14ac:dyDescent="0.3">
      <c r="C425" s="16">
        <v>45036</v>
      </c>
      <c r="D425" s="57">
        <v>2.3444444444444801</v>
      </c>
      <c r="E425" s="19">
        <f t="shared" si="60"/>
        <v>62.899999999999906</v>
      </c>
      <c r="F425" s="19">
        <f t="shared" si="61"/>
        <v>35.099999999999909</v>
      </c>
      <c r="G425" s="54">
        <f t="shared" si="58"/>
        <v>4.7269292646060226</v>
      </c>
      <c r="H425" s="87">
        <f t="shared" si="57"/>
        <v>4.7269292646060226</v>
      </c>
      <c r="I425">
        <f t="shared" si="62"/>
        <v>745.44005275249754</v>
      </c>
      <c r="J425">
        <f t="shared" si="54"/>
        <v>102.72002637624878</v>
      </c>
      <c r="K425">
        <f t="shared" si="59"/>
        <v>102.72002637624878</v>
      </c>
      <c r="L425" s="60">
        <f t="shared" si="55"/>
        <v>109.13588636617102</v>
      </c>
      <c r="M425">
        <f t="shared" si="56"/>
        <v>45.730992179844101</v>
      </c>
    </row>
    <row r="426" spans="3:13" x14ac:dyDescent="0.3">
      <c r="C426" s="16">
        <v>45036</v>
      </c>
      <c r="D426" s="57">
        <v>2.34791666666671</v>
      </c>
      <c r="E426" s="19">
        <f t="shared" si="60"/>
        <v>62.983333333333249</v>
      </c>
      <c r="F426" s="19">
        <f t="shared" si="61"/>
        <v>35.183333333333245</v>
      </c>
      <c r="G426" s="54">
        <f t="shared" si="58"/>
        <v>4.7387613717388986</v>
      </c>
      <c r="H426" s="87">
        <f t="shared" si="57"/>
        <v>4.7387613717388986</v>
      </c>
      <c r="I426">
        <f t="shared" si="62"/>
        <v>746.22984631445399</v>
      </c>
      <c r="J426">
        <f t="shared" ref="J426:J482" si="63">J425+G426*5/60</f>
        <v>103.11492315722703</v>
      </c>
      <c r="K426">
        <f t="shared" si="59"/>
        <v>103.11492315722703</v>
      </c>
      <c r="L426" s="60">
        <f t="shared" ref="L426:L482" si="64">((L425*I425/1000)+(G426*$T$7/1000*5/60))/(I426/1000)</f>
        <v>109.43949715207476</v>
      </c>
      <c r="M426">
        <f t="shared" ref="M426:M482" si="65">(M425*I425+G426*$T$7*$T$6*(5/60))/I426</f>
        <v>45.797010658512278</v>
      </c>
    </row>
    <row r="427" spans="3:13" x14ac:dyDescent="0.3">
      <c r="C427" s="16">
        <v>45036</v>
      </c>
      <c r="D427" s="57">
        <v>2.3513888888889301</v>
      </c>
      <c r="E427" s="19">
        <f t="shared" si="60"/>
        <v>63.066666666666578</v>
      </c>
      <c r="F427" s="19">
        <f t="shared" si="61"/>
        <v>35.26666666666658</v>
      </c>
      <c r="G427" s="54">
        <f t="shared" si="58"/>
        <v>4.750623096145774</v>
      </c>
      <c r="H427" s="87">
        <f t="shared" si="57"/>
        <v>4.750623096145774</v>
      </c>
      <c r="I427">
        <f t="shared" si="62"/>
        <v>747.02161683047825</v>
      </c>
      <c r="J427">
        <f t="shared" si="63"/>
        <v>103.51080841523917</v>
      </c>
      <c r="K427">
        <f t="shared" si="59"/>
        <v>103.51080841523917</v>
      </c>
      <c r="L427" s="60">
        <f t="shared" si="64"/>
        <v>109.74322351299956</v>
      </c>
      <c r="M427">
        <f t="shared" si="65"/>
        <v>45.863054268326714</v>
      </c>
    </row>
    <row r="428" spans="3:13" x14ac:dyDescent="0.3">
      <c r="C428" s="16">
        <v>45036</v>
      </c>
      <c r="D428" s="57">
        <v>2.3548611111111502</v>
      </c>
      <c r="E428" s="19">
        <f t="shared" si="60"/>
        <v>63.14999999999992</v>
      </c>
      <c r="F428" s="19">
        <f t="shared" si="61"/>
        <v>35.349999999999916</v>
      </c>
      <c r="G428" s="54">
        <f t="shared" si="58"/>
        <v>4.7625145119624648</v>
      </c>
      <c r="H428" s="87">
        <f t="shared" si="57"/>
        <v>4.7625145119624648</v>
      </c>
      <c r="I428">
        <f t="shared" si="62"/>
        <v>747.81536924913871</v>
      </c>
      <c r="J428">
        <f t="shared" si="63"/>
        <v>103.90768462456937</v>
      </c>
      <c r="K428">
        <f t="shared" si="59"/>
        <v>103.90768462456937</v>
      </c>
      <c r="L428" s="60">
        <f t="shared" si="64"/>
        <v>110.04706456526709</v>
      </c>
      <c r="M428">
        <f t="shared" si="65"/>
        <v>45.929122817136438</v>
      </c>
    </row>
    <row r="429" spans="3:13" x14ac:dyDescent="0.3">
      <c r="C429" s="16">
        <v>45036</v>
      </c>
      <c r="D429" s="57">
        <v>2.3583333333333698</v>
      </c>
      <c r="E429" s="19">
        <f t="shared" si="60"/>
        <v>63.233333333333249</v>
      </c>
      <c r="F429" s="19">
        <f t="shared" si="61"/>
        <v>35.433333333333252</v>
      </c>
      <c r="G429" s="54">
        <f t="shared" si="58"/>
        <v>4.774435693510358</v>
      </c>
      <c r="H429" s="87">
        <f t="shared" si="57"/>
        <v>4.774435693510358</v>
      </c>
      <c r="I429">
        <f t="shared" si="62"/>
        <v>748.61110853139041</v>
      </c>
      <c r="J429">
        <f t="shared" si="63"/>
        <v>104.30555426569524</v>
      </c>
      <c r="K429">
        <f t="shared" si="59"/>
        <v>104.30555426569524</v>
      </c>
      <c r="L429" s="60">
        <f t="shared" si="64"/>
        <v>110.35101942381439</v>
      </c>
      <c r="M429">
        <f t="shared" si="65"/>
        <v>45.995216112489452</v>
      </c>
    </row>
    <row r="430" spans="3:13" x14ac:dyDescent="0.3">
      <c r="C430" s="16">
        <v>45036</v>
      </c>
      <c r="D430" s="57">
        <v>2.3618055555556001</v>
      </c>
      <c r="E430" s="19">
        <f t="shared" si="60"/>
        <v>63.316666666666592</v>
      </c>
      <c r="F430" s="19">
        <f t="shared" si="61"/>
        <v>35.516666666666588</v>
      </c>
      <c r="G430" s="54">
        <f t="shared" si="58"/>
        <v>4.786386715296878</v>
      </c>
      <c r="H430" s="87">
        <f t="shared" si="57"/>
        <v>4.786386715296878</v>
      </c>
      <c r="I430">
        <f t="shared" si="62"/>
        <v>749.40883965060652</v>
      </c>
      <c r="J430">
        <f t="shared" si="63"/>
        <v>104.7044198253033</v>
      </c>
      <c r="K430">
        <f t="shared" si="59"/>
        <v>104.7044198253033</v>
      </c>
      <c r="L430" s="60">
        <f t="shared" si="64"/>
        <v>110.65508720220384</v>
      </c>
      <c r="M430">
        <f t="shared" si="65"/>
        <v>46.061333961634801</v>
      </c>
    </row>
    <row r="431" spans="3:13" x14ac:dyDescent="0.3">
      <c r="C431" s="16">
        <v>45036</v>
      </c>
      <c r="D431" s="57">
        <v>2.3652777777778198</v>
      </c>
      <c r="E431" s="19">
        <f t="shared" si="60"/>
        <v>63.39999999999992</v>
      </c>
      <c r="F431" s="19">
        <f t="shared" si="61"/>
        <v>35.599999999999923</v>
      </c>
      <c r="G431" s="54">
        <f t="shared" si="58"/>
        <v>4.7983676520159477</v>
      </c>
      <c r="H431" s="87">
        <f t="shared" si="57"/>
        <v>4.7983676520159477</v>
      </c>
      <c r="I431">
        <f t="shared" si="62"/>
        <v>750.20856759260914</v>
      </c>
      <c r="J431">
        <f t="shared" si="63"/>
        <v>105.10428379630463</v>
      </c>
      <c r="K431">
        <f t="shared" si="59"/>
        <v>105.10428379630463</v>
      </c>
      <c r="L431" s="60">
        <f t="shared" si="64"/>
        <v>110.95926701263311</v>
      </c>
      <c r="M431">
        <f t="shared" si="65"/>
        <v>46.127476171524812</v>
      </c>
    </row>
    <row r="432" spans="3:13" x14ac:dyDescent="0.3">
      <c r="C432" s="16">
        <v>45036</v>
      </c>
      <c r="D432" s="57">
        <v>2.3687500000000399</v>
      </c>
      <c r="E432" s="19">
        <f t="shared" si="60"/>
        <v>63.483333333333263</v>
      </c>
      <c r="F432" s="19">
        <f t="shared" si="61"/>
        <v>35.683333333333259</v>
      </c>
      <c r="G432" s="54">
        <f t="shared" si="58"/>
        <v>4.8103785785484643</v>
      </c>
      <c r="H432" s="87">
        <f t="shared" si="57"/>
        <v>4.8103785785484643</v>
      </c>
      <c r="I432">
        <f t="shared" si="62"/>
        <v>751.01029735570057</v>
      </c>
      <c r="J432">
        <f t="shared" si="63"/>
        <v>105.50514867785033</v>
      </c>
      <c r="K432">
        <f t="shared" si="59"/>
        <v>105.50514867785033</v>
      </c>
      <c r="L432" s="60">
        <f t="shared" si="64"/>
        <v>111.26355796594494</v>
      </c>
      <c r="M432">
        <f t="shared" si="65"/>
        <v>46.193642548817166</v>
      </c>
    </row>
    <row r="433" spans="3:13" x14ac:dyDescent="0.3">
      <c r="C433" s="16">
        <v>45036</v>
      </c>
      <c r="D433" s="57">
        <v>2.37222222222226</v>
      </c>
      <c r="E433" s="19">
        <f t="shared" si="60"/>
        <v>63.566666666666592</v>
      </c>
      <c r="F433" s="19">
        <f t="shared" si="61"/>
        <v>35.766666666666595</v>
      </c>
      <c r="G433" s="54">
        <f t="shared" si="58"/>
        <v>4.8224195699627543</v>
      </c>
      <c r="H433" s="87">
        <f t="shared" si="57"/>
        <v>4.8224195699627543</v>
      </c>
      <c r="I433">
        <f t="shared" si="62"/>
        <v>751.81403395069435</v>
      </c>
      <c r="J433">
        <f t="shared" si="63"/>
        <v>105.90701697534722</v>
      </c>
      <c r="K433">
        <f t="shared" si="59"/>
        <v>105.90701697534722</v>
      </c>
      <c r="L433" s="60">
        <f t="shared" si="64"/>
        <v>111.56795917163741</v>
      </c>
      <c r="M433">
        <f t="shared" si="65"/>
        <v>46.259832899877175</v>
      </c>
    </row>
    <row r="434" spans="3:13" x14ac:dyDescent="0.3">
      <c r="C434" s="16">
        <v>45036</v>
      </c>
      <c r="D434" s="57">
        <v>2.3756944444444899</v>
      </c>
      <c r="E434" s="19">
        <f t="shared" si="60"/>
        <v>63.649999999999935</v>
      </c>
      <c r="F434" s="19">
        <f t="shared" si="61"/>
        <v>35.84999999999993</v>
      </c>
      <c r="G434" s="54">
        <f t="shared" si="58"/>
        <v>4.8344907015150547</v>
      </c>
      <c r="H434" s="87">
        <f t="shared" si="57"/>
        <v>4.8344907015150547</v>
      </c>
      <c r="I434">
        <f t="shared" si="62"/>
        <v>752.61978240094686</v>
      </c>
      <c r="J434">
        <f t="shared" si="63"/>
        <v>106.30989120047347</v>
      </c>
      <c r="K434">
        <f t="shared" si="59"/>
        <v>106.30989120047347</v>
      </c>
      <c r="L434" s="60">
        <f t="shared" si="64"/>
        <v>111.87246973787379</v>
      </c>
      <c r="M434">
        <f t="shared" si="65"/>
        <v>46.326047030779911</v>
      </c>
    </row>
    <row r="435" spans="3:13" x14ac:dyDescent="0.3">
      <c r="C435" s="16">
        <v>45036</v>
      </c>
      <c r="D435" s="57">
        <v>2.37916666666671</v>
      </c>
      <c r="E435" s="19">
        <f t="shared" si="60"/>
        <v>63.733333333333263</v>
      </c>
      <c r="F435" s="19">
        <f t="shared" si="61"/>
        <v>35.933333333333266</v>
      </c>
      <c r="G435" s="54">
        <f t="shared" si="58"/>
        <v>4.8465920486499767</v>
      </c>
      <c r="H435" s="87">
        <f t="shared" si="57"/>
        <v>4.8465920486499767</v>
      </c>
      <c r="I435">
        <f t="shared" si="62"/>
        <v>753.42754774238847</v>
      </c>
      <c r="J435">
        <f t="shared" si="63"/>
        <v>106.71377387119431</v>
      </c>
      <c r="K435">
        <f t="shared" si="59"/>
        <v>106.71377387119431</v>
      </c>
      <c r="L435" s="60">
        <f t="shared" si="64"/>
        <v>112.17708877149272</v>
      </c>
      <c r="M435">
        <f t="shared" si="65"/>
        <v>46.392284747312381</v>
      </c>
    </row>
    <row r="436" spans="3:13" x14ac:dyDescent="0.3">
      <c r="C436" s="16">
        <v>45036</v>
      </c>
      <c r="D436" s="57">
        <v>2.3826388888889301</v>
      </c>
      <c r="E436" s="19">
        <f t="shared" si="60"/>
        <v>63.816666666666606</v>
      </c>
      <c r="F436" s="19">
        <f t="shared" si="61"/>
        <v>36.016666666666602</v>
      </c>
      <c r="G436" s="54">
        <f t="shared" si="58"/>
        <v>4.85872368700098</v>
      </c>
      <c r="H436" s="87">
        <f t="shared" si="57"/>
        <v>4.85872368700098</v>
      </c>
      <c r="I436">
        <f t="shared" si="62"/>
        <v>754.23733502355526</v>
      </c>
      <c r="J436">
        <f t="shared" si="63"/>
        <v>107.11866751177772</v>
      </c>
      <c r="K436">
        <f t="shared" si="59"/>
        <v>107.11866751177772</v>
      </c>
      <c r="L436" s="60">
        <f t="shared" si="64"/>
        <v>112.48181537801824</v>
      </c>
      <c r="M436">
        <f t="shared" si="65"/>
        <v>46.458545854975767</v>
      </c>
    </row>
    <row r="437" spans="3:13" x14ac:dyDescent="0.3">
      <c r="C437" s="16">
        <v>45036</v>
      </c>
      <c r="D437" s="57">
        <v>2.3861111111111502</v>
      </c>
      <c r="E437" s="19">
        <f t="shared" si="60"/>
        <v>63.899999999999935</v>
      </c>
      <c r="F437" s="19">
        <f t="shared" si="61"/>
        <v>36.099999999999937</v>
      </c>
      <c r="G437" s="54">
        <f t="shared" si="58"/>
        <v>4.8708856923908437</v>
      </c>
      <c r="H437" s="87">
        <f t="shared" si="57"/>
        <v>4.8708856923908437</v>
      </c>
      <c r="I437">
        <f t="shared" si="62"/>
        <v>755.0491493056204</v>
      </c>
      <c r="J437">
        <f t="shared" si="63"/>
        <v>107.52457465281029</v>
      </c>
      <c r="K437">
        <f t="shared" si="59"/>
        <v>107.52457465281029</v>
      </c>
      <c r="L437" s="60">
        <f t="shared" si="64"/>
        <v>112.78664866167</v>
      </c>
      <c r="M437">
        <f t="shared" si="65"/>
        <v>46.524830158987605</v>
      </c>
    </row>
    <row r="438" spans="3:13" x14ac:dyDescent="0.3">
      <c r="C438" s="16">
        <v>45036</v>
      </c>
      <c r="D438" s="57">
        <v>2.3895833333333698</v>
      </c>
      <c r="E438" s="19">
        <f t="shared" si="60"/>
        <v>63.983333333333277</v>
      </c>
      <c r="F438" s="19">
        <f t="shared" si="61"/>
        <v>36.183333333333273</v>
      </c>
      <c r="G438" s="54">
        <f t="shared" si="58"/>
        <v>4.8830781408321391</v>
      </c>
      <c r="H438" s="87">
        <f t="shared" si="57"/>
        <v>4.8830781408321391</v>
      </c>
      <c r="I438">
        <f t="shared" si="62"/>
        <v>755.86299566242576</v>
      </c>
      <c r="J438">
        <f t="shared" si="63"/>
        <v>107.93149783121297</v>
      </c>
      <c r="K438">
        <f t="shared" si="59"/>
        <v>107.93149783121297</v>
      </c>
      <c r="L438" s="60">
        <f t="shared" si="64"/>
        <v>113.09158772537339</v>
      </c>
      <c r="M438">
        <f t="shared" si="65"/>
        <v>46.591137464284003</v>
      </c>
    </row>
    <row r="439" spans="3:13" x14ac:dyDescent="0.3">
      <c r="C439" s="16">
        <v>45036</v>
      </c>
      <c r="D439" s="57">
        <v>2.3930555555556001</v>
      </c>
      <c r="E439" s="19">
        <f t="shared" si="60"/>
        <v>64.066666666666606</v>
      </c>
      <c r="F439" s="19">
        <f t="shared" si="61"/>
        <v>36.266666666666609</v>
      </c>
      <c r="G439" s="54">
        <f t="shared" si="58"/>
        <v>4.8953011085277121</v>
      </c>
      <c r="H439" s="87">
        <f t="shared" si="57"/>
        <v>4.8953011085277121</v>
      </c>
      <c r="I439">
        <f t="shared" si="62"/>
        <v>756.67887918051372</v>
      </c>
      <c r="J439">
        <f t="shared" si="63"/>
        <v>108.33943959025694</v>
      </c>
      <c r="K439">
        <f t="shared" si="59"/>
        <v>108.33943959025694</v>
      </c>
      <c r="L439" s="60">
        <f t="shared" si="64"/>
        <v>113.39663167076972</v>
      </c>
      <c r="M439">
        <f t="shared" si="65"/>
        <v>46.657467575521849</v>
      </c>
    </row>
    <row r="440" spans="3:13" x14ac:dyDescent="0.3">
      <c r="C440" s="16">
        <v>45036</v>
      </c>
      <c r="D440" s="57">
        <v>2.3965277777778198</v>
      </c>
      <c r="E440" s="19">
        <f t="shared" si="60"/>
        <v>64.149999999999949</v>
      </c>
      <c r="F440" s="19">
        <f t="shared" si="61"/>
        <v>36.349999999999945</v>
      </c>
      <c r="G440" s="54">
        <f t="shared" si="58"/>
        <v>4.9075546718711465</v>
      </c>
      <c r="H440" s="87">
        <f t="shared" si="57"/>
        <v>4.9075546718711465</v>
      </c>
      <c r="I440">
        <f t="shared" si="62"/>
        <v>757.49680495915891</v>
      </c>
      <c r="J440">
        <f t="shared" si="63"/>
        <v>108.74840247957954</v>
      </c>
      <c r="K440">
        <f t="shared" si="59"/>
        <v>108.74840247957954</v>
      </c>
      <c r="L440" s="60">
        <f t="shared" si="64"/>
        <v>113.70177959822652</v>
      </c>
      <c r="M440">
        <f t="shared" si="65"/>
        <v>46.723820297081062</v>
      </c>
    </row>
    <row r="441" spans="3:13" x14ac:dyDescent="0.3">
      <c r="C441" s="16">
        <v>45036</v>
      </c>
      <c r="D441" s="57">
        <v>2.4000000000000399</v>
      </c>
      <c r="E441" s="19">
        <f t="shared" si="60"/>
        <v>64.233333333333277</v>
      </c>
      <c r="F441" s="19">
        <f t="shared" si="61"/>
        <v>36.43333333333328</v>
      </c>
      <c r="G441" s="54">
        <f t="shared" si="58"/>
        <v>4.9198389074472564</v>
      </c>
      <c r="H441" s="87">
        <f t="shared" si="57"/>
        <v>4.9198389074472564</v>
      </c>
      <c r="I441">
        <f t="shared" si="62"/>
        <v>758.31677811040015</v>
      </c>
      <c r="J441">
        <f t="shared" si="63"/>
        <v>109.15838905520015</v>
      </c>
      <c r="K441">
        <f t="shared" si="59"/>
        <v>109.15838905520015</v>
      </c>
      <c r="L441" s="60">
        <f t="shared" si="64"/>
        <v>114.00703060684778</v>
      </c>
      <c r="M441">
        <f t="shared" si="65"/>
        <v>46.790195433066813</v>
      </c>
    </row>
    <row r="442" spans="3:13" x14ac:dyDescent="0.3">
      <c r="C442" s="16">
        <v>45036</v>
      </c>
      <c r="D442" s="57">
        <v>2.40347222222226</v>
      </c>
      <c r="E442" s="19">
        <f t="shared" si="60"/>
        <v>64.31666666666662</v>
      </c>
      <c r="F442" s="19">
        <f t="shared" si="61"/>
        <v>36.516666666666616</v>
      </c>
      <c r="G442" s="54">
        <f t="shared" si="58"/>
        <v>4.9321538920325514</v>
      </c>
      <c r="H442" s="87">
        <f t="shared" si="57"/>
        <v>4.9321538920325514</v>
      </c>
      <c r="I442">
        <f t="shared" si="62"/>
        <v>759.13880375907229</v>
      </c>
      <c r="J442">
        <f t="shared" si="63"/>
        <v>109.56940187953619</v>
      </c>
      <c r="K442">
        <f t="shared" si="59"/>
        <v>109.56940187953619</v>
      </c>
      <c r="L442" s="60">
        <f t="shared" si="64"/>
        <v>114.31238379448425</v>
      </c>
      <c r="M442">
        <f t="shared" si="65"/>
        <v>46.856592787311769</v>
      </c>
    </row>
    <row r="443" spans="3:13" x14ac:dyDescent="0.3">
      <c r="C443" s="16">
        <v>45036</v>
      </c>
      <c r="D443" s="57">
        <v>2.4069444444444899</v>
      </c>
      <c r="E443" s="19">
        <f t="shared" si="60"/>
        <v>64.399999999999949</v>
      </c>
      <c r="F443" s="19">
        <f t="shared" si="61"/>
        <v>36.599999999999952</v>
      </c>
      <c r="G443" s="54">
        <f t="shared" si="58"/>
        <v>4.9444997025957296</v>
      </c>
      <c r="H443" s="87">
        <f t="shared" si="57"/>
        <v>4.9444997025957296</v>
      </c>
      <c r="I443">
        <f t="shared" si="62"/>
        <v>759.96288704283825</v>
      </c>
      <c r="J443">
        <f t="shared" si="63"/>
        <v>109.98144352141917</v>
      </c>
      <c r="K443">
        <f t="shared" si="59"/>
        <v>109.98144352141917</v>
      </c>
      <c r="L443" s="60">
        <f t="shared" si="64"/>
        <v>114.61783825774381</v>
      </c>
      <c r="M443">
        <f t="shared" si="65"/>
        <v>46.923012163378317</v>
      </c>
    </row>
    <row r="444" spans="3:13" x14ac:dyDescent="0.3">
      <c r="C444" s="16">
        <v>45036</v>
      </c>
      <c r="D444" s="57">
        <v>2.41041666666671</v>
      </c>
      <c r="E444" s="19">
        <f t="shared" si="60"/>
        <v>64.483333333333292</v>
      </c>
      <c r="F444" s="19">
        <f t="shared" si="61"/>
        <v>36.683333333333287</v>
      </c>
      <c r="G444" s="54">
        <f t="shared" si="58"/>
        <v>4.956876416298142</v>
      </c>
      <c r="H444" s="87">
        <f t="shared" si="57"/>
        <v>4.956876416298142</v>
      </c>
      <c r="I444">
        <f t="shared" si="62"/>
        <v>760.78903311222132</v>
      </c>
      <c r="J444">
        <f t="shared" si="63"/>
        <v>110.39451655611067</v>
      </c>
      <c r="K444">
        <f t="shared" si="59"/>
        <v>110.39451655611067</v>
      </c>
      <c r="L444" s="60">
        <f t="shared" si="64"/>
        <v>114.92339309200173</v>
      </c>
      <c r="M444">
        <f t="shared" si="65"/>
        <v>46.989453364560852</v>
      </c>
    </row>
    <row r="445" spans="3:13" x14ac:dyDescent="0.3">
      <c r="C445" s="16">
        <v>45036</v>
      </c>
      <c r="D445" s="57">
        <v>2.4138888888889301</v>
      </c>
      <c r="E445" s="19">
        <f t="shared" si="60"/>
        <v>64.56666666666662</v>
      </c>
      <c r="F445" s="19">
        <f t="shared" si="61"/>
        <v>36.766666666666623</v>
      </c>
      <c r="G445" s="54">
        <f t="shared" si="58"/>
        <v>4.9692841104942929</v>
      </c>
      <c r="H445" s="87">
        <f t="shared" si="57"/>
        <v>4.9692841104942929</v>
      </c>
      <c r="I445">
        <f t="shared" si="62"/>
        <v>761.617247130637</v>
      </c>
      <c r="J445">
        <f t="shared" si="63"/>
        <v>110.80862356531853</v>
      </c>
      <c r="K445">
        <f t="shared" si="59"/>
        <v>110.80862356531853</v>
      </c>
      <c r="L445" s="60">
        <f t="shared" si="64"/>
        <v>115.22904739141127</v>
      </c>
      <c r="M445">
        <f t="shared" si="65"/>
        <v>47.05591619388801</v>
      </c>
    </row>
    <row r="446" spans="3:13" x14ac:dyDescent="0.3">
      <c r="C446" s="16">
        <v>45036</v>
      </c>
      <c r="D446" s="57">
        <v>2.4173611111111502</v>
      </c>
      <c r="E446" s="19">
        <f t="shared" si="60"/>
        <v>64.649999999999963</v>
      </c>
      <c r="F446" s="19">
        <f t="shared" si="61"/>
        <v>36.849999999999959</v>
      </c>
      <c r="G446" s="54">
        <f t="shared" si="58"/>
        <v>4.9817228627323109</v>
      </c>
      <c r="H446" s="87">
        <f t="shared" si="57"/>
        <v>4.9817228627323109</v>
      </c>
      <c r="I446">
        <f t="shared" si="62"/>
        <v>762.44753427442572</v>
      </c>
      <c r="J446">
        <f t="shared" si="63"/>
        <v>111.22376713721289</v>
      </c>
      <c r="K446">
        <f t="shared" si="59"/>
        <v>111.22376713721289</v>
      </c>
      <c r="L446" s="60">
        <f t="shared" si="64"/>
        <v>115.5348002489139</v>
      </c>
      <c r="M446">
        <f t="shared" si="65"/>
        <v>47.122400454124971</v>
      </c>
    </row>
    <row r="447" spans="3:13" x14ac:dyDescent="0.3">
      <c r="C447" s="16">
        <v>45036</v>
      </c>
      <c r="D447" s="57">
        <v>2.42083333333338</v>
      </c>
      <c r="E447" s="19">
        <f t="shared" si="60"/>
        <v>64.733333333333292</v>
      </c>
      <c r="F447" s="19">
        <f t="shared" si="61"/>
        <v>36.933333333333294</v>
      </c>
      <c r="G447" s="54">
        <f t="shared" si="58"/>
        <v>4.9941927507544364</v>
      </c>
      <c r="H447" s="87">
        <f t="shared" si="57"/>
        <v>4.9941927507544364</v>
      </c>
      <c r="I447">
        <f t="shared" si="62"/>
        <v>763.27989973288481</v>
      </c>
      <c r="J447">
        <f t="shared" si="63"/>
        <v>111.63994986644242</v>
      </c>
      <c r="K447">
        <f t="shared" si="59"/>
        <v>111.63994986644242</v>
      </c>
      <c r="L447" s="60">
        <f t="shared" si="64"/>
        <v>115.84065075624984</v>
      </c>
      <c r="M447">
        <f t="shared" si="65"/>
        <v>47.18890594777568</v>
      </c>
    </row>
    <row r="448" spans="3:13" x14ac:dyDescent="0.3">
      <c r="C448" s="16">
        <v>45036</v>
      </c>
      <c r="D448" s="57">
        <v>2.4243055555556001</v>
      </c>
      <c r="E448" s="19">
        <f t="shared" si="60"/>
        <v>64.816666666666634</v>
      </c>
      <c r="F448" s="19">
        <f t="shared" si="61"/>
        <v>37.01666666666663</v>
      </c>
      <c r="G448" s="54">
        <f t="shared" si="58"/>
        <v>5.0066938524975129</v>
      </c>
      <c r="H448" s="87">
        <f t="shared" si="57"/>
        <v>5.0066938524975129</v>
      </c>
      <c r="I448">
        <f t="shared" si="62"/>
        <v>764.11434870830112</v>
      </c>
      <c r="J448">
        <f t="shared" si="63"/>
        <v>112.05717435415055</v>
      </c>
      <c r="K448">
        <f t="shared" si="59"/>
        <v>112.05717435415055</v>
      </c>
      <c r="L448" s="60">
        <f t="shared" si="64"/>
        <v>116.14659800396862</v>
      </c>
      <c r="M448">
        <f t="shared" si="65"/>
        <v>47.255432477085193</v>
      </c>
    </row>
    <row r="449" spans="1:13" x14ac:dyDescent="0.3">
      <c r="C449" s="16">
        <v>45036</v>
      </c>
      <c r="D449" s="57">
        <v>2.4277777777778198</v>
      </c>
      <c r="E449" s="19">
        <f t="shared" si="60"/>
        <v>64.899999999999963</v>
      </c>
      <c r="F449" s="19">
        <f t="shared" si="61"/>
        <v>37.099999999999966</v>
      </c>
      <c r="G449" s="54">
        <f t="shared" si="58"/>
        <v>5.0192262460934636</v>
      </c>
      <c r="H449" s="87">
        <f t="shared" si="57"/>
        <v>5.0192262460934636</v>
      </c>
      <c r="I449">
        <f t="shared" si="62"/>
        <v>764.9508864159834</v>
      </c>
      <c r="J449">
        <f t="shared" si="63"/>
        <v>112.47544320799167</v>
      </c>
      <c r="K449">
        <f t="shared" si="59"/>
        <v>112.47544320799167</v>
      </c>
      <c r="L449" s="60">
        <f t="shared" si="64"/>
        <v>116.45264108143951</v>
      </c>
      <c r="M449">
        <f t="shared" si="65"/>
        <v>47.321979844041913</v>
      </c>
    </row>
    <row r="450" spans="1:13" x14ac:dyDescent="0.3">
      <c r="C450" s="16">
        <v>45036</v>
      </c>
      <c r="D450" s="57">
        <v>2.4312500000000399</v>
      </c>
      <c r="E450" s="19">
        <f t="shared" si="60"/>
        <v>64.983333333333306</v>
      </c>
      <c r="F450" s="19">
        <f t="shared" si="61"/>
        <v>37.183333333333302</v>
      </c>
      <c r="G450" s="54">
        <f t="shared" si="58"/>
        <v>5.0317900098697921</v>
      </c>
      <c r="H450" s="87">
        <f t="shared" si="57"/>
        <v>5.0317900098697921</v>
      </c>
      <c r="I450">
        <f t="shared" si="62"/>
        <v>765.78951808429508</v>
      </c>
      <c r="J450">
        <f t="shared" si="63"/>
        <v>112.89475904214748</v>
      </c>
      <c r="K450">
        <f t="shared" si="59"/>
        <v>112.89475904214748</v>
      </c>
      <c r="L450" s="60">
        <f t="shared" si="64"/>
        <v>116.75877907686213</v>
      </c>
      <c r="M450">
        <f t="shared" si="65"/>
        <v>47.388547850379915</v>
      </c>
    </row>
    <row r="451" spans="1:13" x14ac:dyDescent="0.3">
      <c r="C451" s="16">
        <v>45036</v>
      </c>
      <c r="D451" s="57">
        <v>2.4347222222222702</v>
      </c>
      <c r="E451" s="19">
        <f t="shared" si="60"/>
        <v>65.066666666666634</v>
      </c>
      <c r="F451" s="19">
        <f t="shared" si="61"/>
        <v>37.266666666666637</v>
      </c>
      <c r="G451" s="54">
        <f t="shared" si="58"/>
        <v>5.0443852223500611</v>
      </c>
      <c r="H451" s="87">
        <f t="shared" si="57"/>
        <v>5.0443852223500611</v>
      </c>
      <c r="I451">
        <f t="shared" si="62"/>
        <v>766.63024895468675</v>
      </c>
      <c r="J451">
        <f t="shared" si="63"/>
        <v>113.31512447734332</v>
      </c>
      <c r="K451">
        <f t="shared" si="59"/>
        <v>113.31512447734332</v>
      </c>
      <c r="L451" s="60">
        <f t="shared" si="64"/>
        <v>117.06501107727699</v>
      </c>
      <c r="M451">
        <f t="shared" si="65"/>
        <v>47.455136297581241</v>
      </c>
    </row>
    <row r="452" spans="1:13" x14ac:dyDescent="0.3">
      <c r="C452" s="16">
        <v>45036</v>
      </c>
      <c r="D452" s="57">
        <v>2.4381944444444899</v>
      </c>
      <c r="E452" s="19">
        <f t="shared" si="60"/>
        <v>65.149999999999977</v>
      </c>
      <c r="F452" s="19">
        <f t="shared" si="61"/>
        <v>37.349999999999973</v>
      </c>
      <c r="G452" s="54">
        <f t="shared" si="58"/>
        <v>5.057011962254391</v>
      </c>
      <c r="H452" s="87">
        <f t="shared" ref="H452:H482" si="66">G452</f>
        <v>5.057011962254391</v>
      </c>
      <c r="I452">
        <f t="shared" si="62"/>
        <v>767.47308428172914</v>
      </c>
      <c r="J452">
        <f t="shared" si="63"/>
        <v>113.73654214086451</v>
      </c>
      <c r="K452">
        <f t="shared" si="59"/>
        <v>113.73654214086451</v>
      </c>
      <c r="L452" s="60">
        <f t="shared" si="64"/>
        <v>117.37133616857618</v>
      </c>
      <c r="M452">
        <f t="shared" si="65"/>
        <v>47.521744986878176</v>
      </c>
    </row>
    <row r="453" spans="1:13" x14ac:dyDescent="0.3">
      <c r="C453" s="16">
        <v>45036</v>
      </c>
      <c r="D453" s="57">
        <v>2.44166666666671</v>
      </c>
      <c r="E453" s="19">
        <f t="shared" si="60"/>
        <v>65.233333333333306</v>
      </c>
      <c r="F453" s="19">
        <f t="shared" si="61"/>
        <v>37.433333333333309</v>
      </c>
      <c r="G453" s="54">
        <f t="shared" ref="G453:G482" si="67">$G$4*EXP($T$1*F453)</f>
        <v>5.0696703084999459</v>
      </c>
      <c r="H453" s="87">
        <f t="shared" si="66"/>
        <v>5.0696703084999459</v>
      </c>
      <c r="I453">
        <f t="shared" si="62"/>
        <v>768.31802933314577</v>
      </c>
      <c r="J453">
        <f t="shared" si="63"/>
        <v>114.15901466657284</v>
      </c>
      <c r="K453">
        <f t="shared" ref="K453:K482" si="68">J453</f>
        <v>114.15901466657284</v>
      </c>
      <c r="L453" s="60">
        <f t="shared" si="64"/>
        <v>117.67775343551385</v>
      </c>
      <c r="M453">
        <f t="shared" si="65"/>
        <v>47.588373719255621</v>
      </c>
    </row>
    <row r="454" spans="1:13" x14ac:dyDescent="0.3">
      <c r="C454" s="16">
        <v>45036</v>
      </c>
      <c r="D454" s="57">
        <v>2.4451388888889301</v>
      </c>
      <c r="E454" s="19">
        <f t="shared" ref="E454:E482" si="69">$E$3+F454</f>
        <v>65.316666666666649</v>
      </c>
      <c r="F454" s="19">
        <f t="shared" ref="F454:F482" si="70">F453+5/60</f>
        <v>37.516666666666644</v>
      </c>
      <c r="G454" s="54">
        <f t="shared" si="67"/>
        <v>5.0823603402014328</v>
      </c>
      <c r="H454" s="87">
        <f t="shared" si="66"/>
        <v>5.0823603402014328</v>
      </c>
      <c r="I454">
        <f t="shared" ref="I454:I482" si="71">I453+(G454+H454)*5/60</f>
        <v>769.165089389846</v>
      </c>
      <c r="J454">
        <f t="shared" si="63"/>
        <v>114.58254469492296</v>
      </c>
      <c r="K454">
        <f t="shared" si="68"/>
        <v>114.58254469492296</v>
      </c>
      <c r="L454" s="60">
        <f t="shared" si="64"/>
        <v>117.98426196171707</v>
      </c>
      <c r="M454">
        <f t="shared" si="65"/>
        <v>47.655022295453371</v>
      </c>
    </row>
    <row r="455" spans="1:13" x14ac:dyDescent="0.3">
      <c r="C455" s="16">
        <v>45036</v>
      </c>
      <c r="D455" s="57">
        <v>2.4486111111111502</v>
      </c>
      <c r="E455" s="19">
        <f t="shared" si="69"/>
        <v>65.399999999999977</v>
      </c>
      <c r="F455" s="19">
        <f t="shared" si="70"/>
        <v>37.59999999999998</v>
      </c>
      <c r="G455" s="54">
        <f t="shared" si="67"/>
        <v>5.0950821366715893</v>
      </c>
      <c r="H455" s="87">
        <f t="shared" si="66"/>
        <v>5.0950821366715893</v>
      </c>
      <c r="I455">
        <f t="shared" si="71"/>
        <v>770.0142697459579</v>
      </c>
      <c r="J455">
        <f t="shared" si="63"/>
        <v>115.00713487297892</v>
      </c>
      <c r="K455">
        <f t="shared" si="68"/>
        <v>115.00713487297892</v>
      </c>
      <c r="L455" s="60">
        <f t="shared" si="64"/>
        <v>118.29086082969643</v>
      </c>
      <c r="M455">
        <f t="shared" si="65"/>
        <v>47.721690515968433</v>
      </c>
    </row>
    <row r="456" spans="1:13" x14ac:dyDescent="0.3">
      <c r="C456" s="16">
        <v>45036</v>
      </c>
      <c r="D456" s="57">
        <v>2.45208333333338</v>
      </c>
      <c r="E456" s="19">
        <f t="shared" si="69"/>
        <v>65.48333333333332</v>
      </c>
      <c r="F456" s="19">
        <f t="shared" si="70"/>
        <v>37.683333333333316</v>
      </c>
      <c r="G456" s="54">
        <f t="shared" si="67"/>
        <v>5.1078357774216858</v>
      </c>
      <c r="H456" s="87">
        <f t="shared" si="66"/>
        <v>5.1078357774216858</v>
      </c>
      <c r="I456">
        <f t="shared" si="71"/>
        <v>770.86557570886157</v>
      </c>
      <c r="J456">
        <f t="shared" si="63"/>
        <v>115.43278785443073</v>
      </c>
      <c r="K456">
        <f t="shared" si="68"/>
        <v>115.43278785443073</v>
      </c>
      <c r="L456" s="60">
        <f t="shared" si="64"/>
        <v>118.5975491208568</v>
      </c>
      <c r="M456">
        <f t="shared" si="65"/>
        <v>47.788378181057418</v>
      </c>
    </row>
    <row r="457" spans="1:13" x14ac:dyDescent="0.3">
      <c r="C457" s="16">
        <v>45036</v>
      </c>
      <c r="D457" s="57">
        <v>2.4555555555556001</v>
      </c>
      <c r="E457" s="19">
        <f t="shared" si="69"/>
        <v>65.566666666666649</v>
      </c>
      <c r="F457" s="19">
        <f t="shared" si="70"/>
        <v>37.766666666666652</v>
      </c>
      <c r="G457" s="54">
        <f t="shared" si="67"/>
        <v>5.1206213421620177</v>
      </c>
      <c r="H457" s="87">
        <f t="shared" si="66"/>
        <v>5.1206213421620177</v>
      </c>
      <c r="I457">
        <f t="shared" si="71"/>
        <v>771.71901259922186</v>
      </c>
      <c r="J457">
        <f t="shared" si="63"/>
        <v>115.8595062996109</v>
      </c>
      <c r="K457">
        <f t="shared" si="68"/>
        <v>115.8595062996109</v>
      </c>
      <c r="L457" s="60">
        <f t="shared" si="64"/>
        <v>118.90432591550808</v>
      </c>
      <c r="M457">
        <f t="shared" si="65"/>
        <v>47.855085090738818</v>
      </c>
    </row>
    <row r="458" spans="1:13" x14ac:dyDescent="0.3">
      <c r="C458" s="16">
        <v>45036</v>
      </c>
      <c r="D458" s="57">
        <v>2.4590277777778198</v>
      </c>
      <c r="E458" s="19">
        <f t="shared" si="69"/>
        <v>65.649999999999991</v>
      </c>
      <c r="F458" s="19">
        <f t="shared" si="70"/>
        <v>37.849999999999987</v>
      </c>
      <c r="G458" s="54">
        <f t="shared" si="67"/>
        <v>5.1334389108024068</v>
      </c>
      <c r="H458" s="87">
        <f t="shared" si="66"/>
        <v>5.1334389108024068</v>
      </c>
      <c r="I458">
        <f t="shared" si="71"/>
        <v>772.57458575102225</v>
      </c>
      <c r="J458">
        <f t="shared" si="63"/>
        <v>116.2872928755111</v>
      </c>
      <c r="K458">
        <f t="shared" si="68"/>
        <v>116.2872928755111</v>
      </c>
      <c r="L458" s="60">
        <f t="shared" si="64"/>
        <v>119.21119029287595</v>
      </c>
      <c r="M458">
        <f t="shared" si="65"/>
        <v>47.921811044795362</v>
      </c>
    </row>
    <row r="459" spans="1:13" x14ac:dyDescent="0.3">
      <c r="C459" s="16">
        <v>45036</v>
      </c>
      <c r="D459" s="57">
        <v>2.4625000000000399</v>
      </c>
      <c r="E459" s="19">
        <f t="shared" si="69"/>
        <v>65.73333333333332</v>
      </c>
      <c r="F459" s="19">
        <f t="shared" si="70"/>
        <v>37.933333333333323</v>
      </c>
      <c r="G459" s="54">
        <f t="shared" si="67"/>
        <v>5.1462885634526998</v>
      </c>
      <c r="H459" s="87">
        <f t="shared" si="66"/>
        <v>5.1462885634526998</v>
      </c>
      <c r="I459">
        <f t="shared" si="71"/>
        <v>773.43230051159776</v>
      </c>
      <c r="J459">
        <f t="shared" si="63"/>
        <v>116.71615025579882</v>
      </c>
      <c r="K459">
        <f t="shared" si="68"/>
        <v>116.71615025579882</v>
      </c>
      <c r="L459" s="60">
        <f t="shared" si="64"/>
        <v>119.51814133111276</v>
      </c>
      <c r="M459">
        <f t="shared" si="65"/>
        <v>47.9885558427764</v>
      </c>
    </row>
    <row r="460" spans="1:13" x14ac:dyDescent="0.3">
      <c r="C460" s="16">
        <v>45036</v>
      </c>
      <c r="D460" s="57">
        <v>2.4659722222222702</v>
      </c>
      <c r="E460" s="19">
        <f t="shared" si="69"/>
        <v>65.816666666666663</v>
      </c>
      <c r="F460" s="19">
        <f t="shared" si="70"/>
        <v>38.016666666666659</v>
      </c>
      <c r="G460" s="54">
        <f t="shared" si="67"/>
        <v>5.1591703804232658</v>
      </c>
      <c r="H460" s="87">
        <f t="shared" si="66"/>
        <v>5.1591703804232658</v>
      </c>
      <c r="I460">
        <f t="shared" si="71"/>
        <v>774.29216224166828</v>
      </c>
      <c r="J460">
        <f t="shared" si="63"/>
        <v>117.1460811208341</v>
      </c>
      <c r="K460">
        <f t="shared" si="68"/>
        <v>117.1460811208341</v>
      </c>
      <c r="L460" s="60">
        <f t="shared" si="64"/>
        <v>119.82517810730829</v>
      </c>
      <c r="M460">
        <f t="shared" si="65"/>
        <v>48.055319284000255</v>
      </c>
    </row>
    <row r="461" spans="1:13" x14ac:dyDescent="0.3">
      <c r="C461" s="16">
        <v>45036</v>
      </c>
      <c r="D461" s="57">
        <v>2.4694444444444899</v>
      </c>
      <c r="E461" s="19">
        <f t="shared" si="69"/>
        <v>65.899999999999991</v>
      </c>
      <c r="F461" s="19">
        <f t="shared" si="70"/>
        <v>38.099999999999994</v>
      </c>
      <c r="G461" s="54">
        <f t="shared" si="67"/>
        <v>5.172084442225505</v>
      </c>
      <c r="H461" s="87">
        <f t="shared" si="66"/>
        <v>5.172084442225505</v>
      </c>
      <c r="I461">
        <f t="shared" si="71"/>
        <v>775.15417631537252</v>
      </c>
      <c r="J461">
        <f t="shared" si="63"/>
        <v>117.57708815768622</v>
      </c>
      <c r="K461">
        <f t="shared" si="68"/>
        <v>117.57708815768622</v>
      </c>
      <c r="L461" s="71">
        <f t="shared" si="64"/>
        <v>120.13229969750068</v>
      </c>
      <c r="M461">
        <f t="shared" si="65"/>
        <v>48.122101167556536</v>
      </c>
    </row>
    <row r="462" spans="1:13" x14ac:dyDescent="0.3">
      <c r="C462" s="16">
        <v>45036</v>
      </c>
      <c r="D462" s="57">
        <v>2.47291666666671</v>
      </c>
      <c r="E462" s="19">
        <f t="shared" si="69"/>
        <v>65.983333333333334</v>
      </c>
      <c r="F462" s="19">
        <f t="shared" si="70"/>
        <v>38.18333333333333</v>
      </c>
      <c r="G462" s="54">
        <f t="shared" si="67"/>
        <v>5.1850308295723435</v>
      </c>
      <c r="H462" s="87">
        <f t="shared" si="66"/>
        <v>5.1850308295723435</v>
      </c>
      <c r="I462">
        <f t="shared" si="71"/>
        <v>776.0183481203012</v>
      </c>
      <c r="J462">
        <f t="shared" si="63"/>
        <v>118.00917406015058</v>
      </c>
      <c r="K462">
        <f t="shared" si="68"/>
        <v>118.00917406015058</v>
      </c>
      <c r="L462" s="60">
        <f t="shared" si="64"/>
        <v>120.43950517668736</v>
      </c>
      <c r="M462">
        <f t="shared" si="65"/>
        <v>48.188901292308572</v>
      </c>
    </row>
    <row r="463" spans="1:13" x14ac:dyDescent="0.3">
      <c r="C463" s="16">
        <v>45036</v>
      </c>
      <c r="D463" s="57">
        <v>2.4763888888889301</v>
      </c>
      <c r="E463" s="19">
        <f t="shared" si="69"/>
        <v>66.066666666666663</v>
      </c>
      <c r="F463" s="19">
        <f t="shared" si="70"/>
        <v>38.266666666666666</v>
      </c>
      <c r="G463" s="54">
        <f t="shared" si="67"/>
        <v>5.1980096233787441</v>
      </c>
      <c r="H463" s="87">
        <f t="shared" si="66"/>
        <v>5.1980096233787441</v>
      </c>
      <c r="I463">
        <f t="shared" si="71"/>
        <v>776.88468305753099</v>
      </c>
      <c r="J463">
        <f t="shared" si="63"/>
        <v>118.44234152876548</v>
      </c>
      <c r="K463">
        <f t="shared" si="68"/>
        <v>118.44234152876548</v>
      </c>
      <c r="L463" s="60">
        <f t="shared" si="64"/>
        <v>120.74679361883584</v>
      </c>
      <c r="M463">
        <f t="shared" si="65"/>
        <v>48.255719456895747</v>
      </c>
    </row>
    <row r="464" spans="1:13" x14ac:dyDescent="0.3">
      <c r="A464" s="61"/>
      <c r="B464" s="61"/>
      <c r="C464" s="16">
        <v>45036</v>
      </c>
      <c r="D464" s="57">
        <v>2.4798611111111599</v>
      </c>
      <c r="E464" s="19">
        <f t="shared" si="69"/>
        <v>66.150000000000006</v>
      </c>
      <c r="F464" s="19">
        <f t="shared" si="70"/>
        <v>38.35</v>
      </c>
      <c r="G464" s="54">
        <f t="shared" si="67"/>
        <v>5.2110209047622131</v>
      </c>
      <c r="H464" s="87">
        <f t="shared" si="66"/>
        <v>5.2110209047622131</v>
      </c>
      <c r="I464">
        <f t="shared" si="71"/>
        <v>777.75318654165801</v>
      </c>
      <c r="J464">
        <f t="shared" si="63"/>
        <v>118.87659327082901</v>
      </c>
      <c r="K464">
        <f t="shared" si="68"/>
        <v>118.87659327082901</v>
      </c>
      <c r="L464" s="60">
        <f t="shared" si="64"/>
        <v>121.05416409689478</v>
      </c>
      <c r="M464">
        <f t="shared" si="65"/>
        <v>48.322555459735895</v>
      </c>
    </row>
    <row r="465" spans="1:13" x14ac:dyDescent="0.3">
      <c r="C465" s="16">
        <v>45036</v>
      </c>
      <c r="D465" s="57">
        <v>2.48333333333338</v>
      </c>
      <c r="E465" s="19">
        <f t="shared" si="69"/>
        <v>66.233333333333334</v>
      </c>
      <c r="F465" s="19">
        <f t="shared" si="70"/>
        <v>38.433333333333337</v>
      </c>
      <c r="G465" s="54">
        <f t="shared" si="67"/>
        <v>5.2240647550432984</v>
      </c>
      <c r="H465" s="87">
        <f t="shared" si="66"/>
        <v>5.2240647550432984</v>
      </c>
      <c r="I465">
        <f t="shared" si="71"/>
        <v>778.62386400083187</v>
      </c>
      <c r="J465">
        <f t="shared" si="63"/>
        <v>119.31193200041595</v>
      </c>
      <c r="K465">
        <f t="shared" si="68"/>
        <v>119.31193200041595</v>
      </c>
      <c r="L465" s="60">
        <f t="shared" si="64"/>
        <v>121.36161568280497</v>
      </c>
      <c r="M465">
        <f t="shared" si="65"/>
        <v>48.389409099027695</v>
      </c>
    </row>
    <row r="466" spans="1:13" x14ac:dyDescent="0.3">
      <c r="C466" s="16">
        <v>45036</v>
      </c>
      <c r="D466" s="57">
        <v>2.4868055555556001</v>
      </c>
      <c r="E466" s="19">
        <f t="shared" si="69"/>
        <v>66.316666666666677</v>
      </c>
      <c r="F466" s="19">
        <f t="shared" si="70"/>
        <v>38.516666666666673</v>
      </c>
      <c r="G466" s="54">
        <f t="shared" si="67"/>
        <v>5.237141255746109</v>
      </c>
      <c r="H466" s="87">
        <f t="shared" si="66"/>
        <v>5.237141255746109</v>
      </c>
      <c r="I466">
        <f t="shared" si="71"/>
        <v>779.4967208767896</v>
      </c>
      <c r="J466">
        <f t="shared" si="63"/>
        <v>119.7483604383948</v>
      </c>
      <c r="K466">
        <f t="shared" si="68"/>
        <v>119.7483604383948</v>
      </c>
      <c r="L466" s="60">
        <f t="shared" si="64"/>
        <v>121.66914744751021</v>
      </c>
      <c r="M466">
        <f t="shared" si="65"/>
        <v>48.45628017275304</v>
      </c>
    </row>
    <row r="467" spans="1:13" x14ac:dyDescent="0.3">
      <c r="C467" s="16">
        <v>45036</v>
      </c>
      <c r="D467" s="57">
        <v>2.4902777777778198</v>
      </c>
      <c r="E467" s="19">
        <f t="shared" si="69"/>
        <v>66.400000000000006</v>
      </c>
      <c r="F467" s="19">
        <f t="shared" si="70"/>
        <v>38.600000000000009</v>
      </c>
      <c r="G467" s="54">
        <f t="shared" si="67"/>
        <v>5.250250488598815</v>
      </c>
      <c r="H467" s="87">
        <f t="shared" si="66"/>
        <v>5.250250488598815</v>
      </c>
      <c r="I467">
        <f t="shared" si="71"/>
        <v>780.37176262488936</v>
      </c>
      <c r="J467">
        <f t="shared" si="63"/>
        <v>120.18588131244469</v>
      </c>
      <c r="K467">
        <f t="shared" si="68"/>
        <v>120.18588131244469</v>
      </c>
      <c r="L467" s="60">
        <f t="shared" si="64"/>
        <v>121.97675846096847</v>
      </c>
      <c r="M467">
        <f t="shared" si="65"/>
        <v>48.523168478679466</v>
      </c>
    </row>
    <row r="468" spans="1:13" x14ac:dyDescent="0.3">
      <c r="C468" s="16">
        <v>45036</v>
      </c>
      <c r="D468" s="57">
        <v>2.4937500000000399</v>
      </c>
      <c r="E468" s="19">
        <f t="shared" si="69"/>
        <v>66.483333333333348</v>
      </c>
      <c r="F468" s="19">
        <f t="shared" si="70"/>
        <v>38.683333333333344</v>
      </c>
      <c r="G468" s="54">
        <f t="shared" si="67"/>
        <v>5.2633925355341669</v>
      </c>
      <c r="H468" s="87">
        <f t="shared" si="66"/>
        <v>5.2633925355341669</v>
      </c>
      <c r="I468">
        <f t="shared" si="71"/>
        <v>781.24899471414506</v>
      </c>
      <c r="J468">
        <f t="shared" si="63"/>
        <v>120.62449735707254</v>
      </c>
      <c r="K468">
        <f t="shared" si="68"/>
        <v>120.62449735707254</v>
      </c>
      <c r="L468" s="60">
        <f t="shared" si="64"/>
        <v>122.28444779216288</v>
      </c>
      <c r="M468">
        <f t="shared" si="65"/>
        <v>48.590073814362512</v>
      </c>
    </row>
    <row r="469" spans="1:13" x14ac:dyDescent="0.3">
      <c r="C469" s="16">
        <v>45036</v>
      </c>
      <c r="D469" s="57">
        <v>2.4972222222222702</v>
      </c>
      <c r="E469" s="19">
        <f t="shared" si="69"/>
        <v>66.566666666666677</v>
      </c>
      <c r="F469" s="19">
        <f t="shared" si="70"/>
        <v>38.76666666666668</v>
      </c>
      <c r="G469" s="54">
        <f t="shared" si="67"/>
        <v>5.2765674786899979</v>
      </c>
      <c r="H469" s="87">
        <f t="shared" si="66"/>
        <v>5.2765674786899979</v>
      </c>
      <c r="I469">
        <f t="shared" si="71"/>
        <v>782.12842262726008</v>
      </c>
      <c r="J469">
        <f t="shared" si="63"/>
        <v>121.06421131363004</v>
      </c>
      <c r="K469">
        <f t="shared" si="68"/>
        <v>121.06421131363004</v>
      </c>
      <c r="L469" s="60">
        <f t="shared" si="64"/>
        <v>122.59221450911285</v>
      </c>
      <c r="M469">
        <f t="shared" si="65"/>
        <v>48.656995977148185</v>
      </c>
    </row>
    <row r="470" spans="1:13" x14ac:dyDescent="0.3">
      <c r="C470" s="16">
        <v>45036</v>
      </c>
      <c r="D470" s="57">
        <v>2.5006944444444899</v>
      </c>
      <c r="E470" s="19">
        <f t="shared" si="69"/>
        <v>66.65000000000002</v>
      </c>
      <c r="F470" s="19">
        <f t="shared" si="70"/>
        <v>38.850000000000016</v>
      </c>
      <c r="G470" s="54">
        <f t="shared" si="67"/>
        <v>5.2897754004097486</v>
      </c>
      <c r="H470" s="87">
        <f t="shared" si="66"/>
        <v>5.2897754004097486</v>
      </c>
      <c r="I470">
        <f t="shared" si="71"/>
        <v>783.01005186066175</v>
      </c>
      <c r="J470">
        <f t="shared" si="63"/>
        <v>121.50502593033085</v>
      </c>
      <c r="K470">
        <f t="shared" si="68"/>
        <v>121.50502593033085</v>
      </c>
      <c r="L470" s="60">
        <f t="shared" si="64"/>
        <v>122.90005767888515</v>
      </c>
      <c r="M470">
        <f t="shared" si="65"/>
        <v>48.723934764175347</v>
      </c>
    </row>
    <row r="471" spans="1:13" x14ac:dyDescent="0.3">
      <c r="C471" s="16">
        <v>45036</v>
      </c>
      <c r="D471" s="57">
        <v>2.50416666666671</v>
      </c>
      <c r="E471" s="19">
        <f t="shared" si="69"/>
        <v>66.733333333333348</v>
      </c>
      <c r="F471" s="19">
        <f t="shared" si="70"/>
        <v>38.933333333333351</v>
      </c>
      <c r="G471" s="54">
        <f t="shared" si="67"/>
        <v>5.3030163832429711</v>
      </c>
      <c r="H471" s="87">
        <f t="shared" si="66"/>
        <v>5.3030163832429711</v>
      </c>
      <c r="I471">
        <f t="shared" si="71"/>
        <v>783.89388792453553</v>
      </c>
      <c r="J471">
        <f t="shared" si="63"/>
        <v>121.94694396226775</v>
      </c>
      <c r="K471">
        <f t="shared" si="68"/>
        <v>121.94694396226775</v>
      </c>
      <c r="L471" s="60">
        <f t="shared" si="64"/>
        <v>123.20797636760506</v>
      </c>
      <c r="M471">
        <f t="shared" si="65"/>
        <v>48.790889972378103</v>
      </c>
    </row>
    <row r="472" spans="1:13" x14ac:dyDescent="0.3">
      <c r="C472" s="16">
        <v>45036</v>
      </c>
      <c r="D472" s="57">
        <v>2.5076388888889301</v>
      </c>
      <c r="E472" s="19">
        <f t="shared" si="69"/>
        <v>66.816666666666691</v>
      </c>
      <c r="F472" s="19">
        <f t="shared" si="70"/>
        <v>39.016666666666687</v>
      </c>
      <c r="G472" s="54">
        <f t="shared" si="67"/>
        <v>5.3162905099458495</v>
      </c>
      <c r="H472" s="87">
        <f t="shared" si="66"/>
        <v>5.3162905099458495</v>
      </c>
      <c r="I472">
        <f t="shared" si="71"/>
        <v>784.77993634285986</v>
      </c>
      <c r="J472">
        <f t="shared" si="63"/>
        <v>122.38996817142991</v>
      </c>
      <c r="K472">
        <f t="shared" si="68"/>
        <v>122.38996817142991</v>
      </c>
      <c r="L472" s="60">
        <f t="shared" si="64"/>
        <v>123.51596964046743</v>
      </c>
      <c r="M472">
        <f t="shared" si="65"/>
        <v>48.857861398488289</v>
      </c>
    </row>
    <row r="473" spans="1:13" x14ac:dyDescent="0.3">
      <c r="C473" s="16">
        <v>45036</v>
      </c>
      <c r="D473" s="57">
        <v>2.5111111111111599</v>
      </c>
      <c r="E473" s="19">
        <f t="shared" si="69"/>
        <v>66.90000000000002</v>
      </c>
      <c r="F473" s="19">
        <f t="shared" si="70"/>
        <v>39.100000000000023</v>
      </c>
      <c r="G473" s="54">
        <f t="shared" si="67"/>
        <v>5.3295978634817223</v>
      </c>
      <c r="H473" s="87">
        <f t="shared" si="66"/>
        <v>5.3295978634817223</v>
      </c>
      <c r="I473">
        <f t="shared" si="71"/>
        <v>785.66820265344018</v>
      </c>
      <c r="J473">
        <f t="shared" si="63"/>
        <v>122.83410132672006</v>
      </c>
      <c r="K473">
        <f t="shared" si="68"/>
        <v>122.83410132672006</v>
      </c>
      <c r="L473" s="60">
        <f t="shared" si="64"/>
        <v>123.82403656174803</v>
      </c>
      <c r="M473">
        <f t="shared" si="65"/>
        <v>48.924848839037857</v>
      </c>
    </row>
    <row r="474" spans="1:13" x14ac:dyDescent="0.3">
      <c r="C474" s="16">
        <v>45036</v>
      </c>
      <c r="D474" s="57">
        <v>2.51458333333338</v>
      </c>
      <c r="E474" s="19">
        <f t="shared" si="69"/>
        <v>66.983333333333363</v>
      </c>
      <c r="F474" s="19">
        <f t="shared" si="70"/>
        <v>39.183333333333358</v>
      </c>
      <c r="G474" s="54">
        <f t="shared" si="67"/>
        <v>5.3429385270215892</v>
      </c>
      <c r="H474" s="87">
        <f t="shared" si="66"/>
        <v>5.3429385270215892</v>
      </c>
      <c r="I474">
        <f t="shared" si="71"/>
        <v>786.55869240794379</v>
      </c>
      <c r="J474">
        <f t="shared" si="63"/>
        <v>123.27934620397185</v>
      </c>
      <c r="K474">
        <f t="shared" si="68"/>
        <v>123.27934620397185</v>
      </c>
      <c r="L474" s="60">
        <f t="shared" si="64"/>
        <v>124.13217619481459</v>
      </c>
      <c r="M474">
        <f t="shared" si="65"/>
        <v>48.991852090361334</v>
      </c>
    </row>
    <row r="475" spans="1:13" x14ac:dyDescent="0.3">
      <c r="A475" s="61" t="s">
        <v>169</v>
      </c>
      <c r="B475" s="61" t="s">
        <v>77</v>
      </c>
      <c r="C475" s="16">
        <v>45036</v>
      </c>
      <c r="D475" s="57">
        <v>2.5180555555556001</v>
      </c>
      <c r="E475" s="19">
        <f t="shared" si="69"/>
        <v>67.066666666666691</v>
      </c>
      <c r="F475" s="19">
        <f t="shared" si="70"/>
        <v>39.266666666666694</v>
      </c>
      <c r="G475" s="54">
        <f t="shared" si="67"/>
        <v>5.3563125839446446</v>
      </c>
      <c r="H475" s="87">
        <f t="shared" si="66"/>
        <v>5.3563125839446446</v>
      </c>
      <c r="I475">
        <f t="shared" si="71"/>
        <v>787.45141117193452</v>
      </c>
      <c r="J475">
        <f t="shared" si="63"/>
        <v>123.72570558596725</v>
      </c>
      <c r="K475">
        <f t="shared" si="68"/>
        <v>123.72570558596725</v>
      </c>
      <c r="L475" s="60">
        <f t="shared" si="64"/>
        <v>124.44038760213816</v>
      </c>
      <c r="M475">
        <f t="shared" si="65"/>
        <v>49.058870948598255</v>
      </c>
    </row>
    <row r="476" spans="1:13" x14ac:dyDescent="0.3">
      <c r="C476" s="16">
        <v>45036</v>
      </c>
      <c r="D476" s="57">
        <v>2.5215277777778198</v>
      </c>
      <c r="E476" s="19">
        <f t="shared" si="69"/>
        <v>67.150000000000034</v>
      </c>
      <c r="F476" s="19">
        <f t="shared" si="70"/>
        <v>39.35000000000003</v>
      </c>
      <c r="G476" s="54">
        <f t="shared" si="67"/>
        <v>5.3697201178387832</v>
      </c>
      <c r="H476" s="87">
        <f t="shared" si="66"/>
        <v>5.3697201178387832</v>
      </c>
      <c r="I476">
        <f t="shared" si="71"/>
        <v>788.3463645249077</v>
      </c>
      <c r="J476">
        <f t="shared" si="63"/>
        <v>124.17318226245381</v>
      </c>
      <c r="K476">
        <f t="shared" si="68"/>
        <v>124.17318226245381</v>
      </c>
      <c r="L476" s="60">
        <f t="shared" si="64"/>
        <v>124.74866984530421</v>
      </c>
      <c r="M476">
        <f t="shared" si="65"/>
        <v>49.125905209695581</v>
      </c>
    </row>
    <row r="477" spans="1:13" x14ac:dyDescent="0.3">
      <c r="C477" s="16">
        <v>45036</v>
      </c>
      <c r="D477" s="57">
        <v>2.5250000000000501</v>
      </c>
      <c r="E477" s="19">
        <f t="shared" si="69"/>
        <v>67.233333333333363</v>
      </c>
      <c r="F477" s="19">
        <f t="shared" si="70"/>
        <v>39.433333333333366</v>
      </c>
      <c r="G477" s="54">
        <f t="shared" si="67"/>
        <v>5.3831612125011397</v>
      </c>
      <c r="H477" s="87">
        <f t="shared" si="66"/>
        <v>5.3831612125011397</v>
      </c>
      <c r="I477">
        <f t="shared" si="71"/>
        <v>789.24355806032452</v>
      </c>
      <c r="J477">
        <f t="shared" si="63"/>
        <v>124.62177903016223</v>
      </c>
      <c r="K477">
        <f t="shared" si="68"/>
        <v>124.62177903016223</v>
      </c>
      <c r="L477" s="60">
        <f t="shared" si="64"/>
        <v>125.05702198502408</v>
      </c>
      <c r="M477">
        <f t="shared" si="65"/>
        <v>49.19295466941022</v>
      </c>
    </row>
    <row r="478" spans="1:13" x14ac:dyDescent="0.3">
      <c r="C478" s="16">
        <v>45036</v>
      </c>
      <c r="D478" s="57">
        <v>2.5284722222222702</v>
      </c>
      <c r="E478" s="19">
        <f t="shared" si="69"/>
        <v>67.316666666666706</v>
      </c>
      <c r="F478" s="19">
        <f t="shared" si="70"/>
        <v>39.516666666666701</v>
      </c>
      <c r="G478" s="54">
        <f t="shared" si="67"/>
        <v>5.3966359519385962</v>
      </c>
      <c r="H478" s="87">
        <f t="shared" si="66"/>
        <v>5.3966359519385962</v>
      </c>
      <c r="I478">
        <f t="shared" si="71"/>
        <v>790.14299738564762</v>
      </c>
      <c r="J478">
        <f t="shared" si="63"/>
        <v>125.07149869282378</v>
      </c>
      <c r="K478">
        <f t="shared" si="68"/>
        <v>125.07149869282378</v>
      </c>
      <c r="L478" s="60">
        <f t="shared" si="64"/>
        <v>125.36544308114608</v>
      </c>
      <c r="M478">
        <f t="shared" si="65"/>
        <v>49.260019123311423</v>
      </c>
    </row>
    <row r="479" spans="1:13" x14ac:dyDescent="0.3">
      <c r="C479" s="16">
        <v>45036</v>
      </c>
      <c r="D479" s="57">
        <v>2.5319444444444899</v>
      </c>
      <c r="E479" s="19">
        <f t="shared" si="69"/>
        <v>67.400000000000034</v>
      </c>
      <c r="F479" s="19">
        <f t="shared" si="70"/>
        <v>39.600000000000037</v>
      </c>
      <c r="G479" s="54">
        <f t="shared" si="67"/>
        <v>5.4101444203683213</v>
      </c>
      <c r="H479" s="87">
        <f t="shared" si="66"/>
        <v>5.4101444203683213</v>
      </c>
      <c r="I479">
        <f t="shared" si="71"/>
        <v>791.04468812237565</v>
      </c>
      <c r="J479">
        <f t="shared" si="63"/>
        <v>125.52234406118781</v>
      </c>
      <c r="K479">
        <f t="shared" si="68"/>
        <v>125.52234406118781</v>
      </c>
      <c r="L479" s="60">
        <f t="shared" si="64"/>
        <v>125.67393219266704</v>
      </c>
      <c r="M479">
        <f t="shared" si="65"/>
        <v>49.327098366783254</v>
      </c>
    </row>
    <row r="480" spans="1:13" x14ac:dyDescent="0.3">
      <c r="C480" s="16">
        <v>45036</v>
      </c>
      <c r="D480" s="57">
        <v>2.53541666666671</v>
      </c>
      <c r="E480" s="19">
        <f t="shared" si="69"/>
        <v>67.483333333333377</v>
      </c>
      <c r="F480" s="19">
        <f t="shared" si="70"/>
        <v>39.683333333333373</v>
      </c>
      <c r="G480" s="54">
        <f t="shared" si="67"/>
        <v>5.4236867022182844</v>
      </c>
      <c r="H480" s="87">
        <f t="shared" si="66"/>
        <v>5.4236867022182844</v>
      </c>
      <c r="I480">
        <f t="shared" si="71"/>
        <v>791.94863590607872</v>
      </c>
      <c r="J480">
        <f t="shared" si="63"/>
        <v>125.97431795303933</v>
      </c>
      <c r="K480">
        <f t="shared" si="68"/>
        <v>125.97431795303933</v>
      </c>
      <c r="L480" s="60">
        <f t="shared" si="64"/>
        <v>125.98248837774338</v>
      </c>
      <c r="M480">
        <f t="shared" si="65"/>
        <v>49.394192195027081</v>
      </c>
    </row>
    <row r="481" spans="2:13" x14ac:dyDescent="0.3">
      <c r="C481" s="16">
        <v>45036</v>
      </c>
      <c r="D481" s="57">
        <v>2.5388888888889301</v>
      </c>
      <c r="E481" s="19">
        <f t="shared" si="69"/>
        <v>67.566666666666706</v>
      </c>
      <c r="F481" s="19">
        <f t="shared" si="70"/>
        <v>39.766666666666708</v>
      </c>
      <c r="G481" s="54">
        <f t="shared" si="67"/>
        <v>5.4372628821277909</v>
      </c>
      <c r="H481" s="87">
        <f t="shared" si="66"/>
        <v>5.4372628821277909</v>
      </c>
      <c r="I481">
        <f t="shared" si="71"/>
        <v>792.85484638643334</v>
      </c>
      <c r="J481">
        <f t="shared" si="63"/>
        <v>126.42742319321665</v>
      </c>
      <c r="K481">
        <f t="shared" si="68"/>
        <v>126.42742319321665</v>
      </c>
      <c r="L481" s="60">
        <f t="shared" si="64"/>
        <v>126.29111069370271</v>
      </c>
      <c r="M481">
        <f t="shared" si="65"/>
        <v>49.461300403064016</v>
      </c>
    </row>
    <row r="482" spans="2:13" x14ac:dyDescent="0.3">
      <c r="C482" s="16">
        <v>45036</v>
      </c>
      <c r="D482" s="57">
        <v>2.5423611111111599</v>
      </c>
      <c r="E482" s="19">
        <f t="shared" si="69"/>
        <v>67.650000000000048</v>
      </c>
      <c r="F482" s="19">
        <f t="shared" si="70"/>
        <v>39.850000000000044</v>
      </c>
      <c r="G482" s="54">
        <f t="shared" si="67"/>
        <v>5.4508730449480103</v>
      </c>
      <c r="H482" s="87">
        <f t="shared" si="66"/>
        <v>5.4508730449480103</v>
      </c>
      <c r="I482">
        <f t="shared" si="71"/>
        <v>793.76332522725795</v>
      </c>
      <c r="J482">
        <f t="shared" si="63"/>
        <v>126.88166261362899</v>
      </c>
      <c r="K482">
        <f t="shared" si="68"/>
        <v>126.88166261362899</v>
      </c>
      <c r="L482" s="60">
        <f t="shared" si="64"/>
        <v>126.59979819705511</v>
      </c>
      <c r="M482">
        <f t="shared" si="65"/>
        <v>49.528422785737426</v>
      </c>
    </row>
    <row r="483" spans="2:13" x14ac:dyDescent="0.3">
      <c r="C483" s="16"/>
      <c r="D483" s="57"/>
      <c r="E483" s="19"/>
      <c r="F483" s="19"/>
      <c r="G483" s="54"/>
      <c r="H483" s="19"/>
      <c r="L483"/>
    </row>
    <row r="484" spans="2:13" x14ac:dyDescent="0.3">
      <c r="C484" s="16"/>
      <c r="D484" s="57"/>
      <c r="E484" s="19"/>
      <c r="F484" s="19"/>
      <c r="G484" s="54"/>
      <c r="H484" s="19"/>
      <c r="L484"/>
    </row>
    <row r="485" spans="2:13" x14ac:dyDescent="0.3">
      <c r="B485" s="61"/>
      <c r="C485" s="16"/>
      <c r="D485" s="57"/>
      <c r="E485" s="19"/>
      <c r="F485" s="19"/>
      <c r="G485" s="54"/>
      <c r="H485" s="19"/>
      <c r="L485"/>
    </row>
    <row r="486" spans="2:13" x14ac:dyDescent="0.3">
      <c r="C486" s="16"/>
      <c r="D486" s="57"/>
      <c r="E486" s="19"/>
      <c r="F486" s="19"/>
      <c r="G486" s="54"/>
      <c r="H486" s="19"/>
      <c r="L486"/>
    </row>
    <row r="487" spans="2:13" x14ac:dyDescent="0.3">
      <c r="C487" s="16"/>
      <c r="D487" s="57"/>
      <c r="E487" s="19"/>
      <c r="F487" s="19"/>
      <c r="G487" s="54"/>
      <c r="H487" s="19"/>
      <c r="L487"/>
    </row>
    <row r="488" spans="2:13" x14ac:dyDescent="0.3">
      <c r="C488" s="16"/>
      <c r="D488" s="57"/>
      <c r="E488" s="19"/>
      <c r="F488" s="19"/>
      <c r="G488" s="54"/>
      <c r="H488" s="19"/>
      <c r="L488"/>
    </row>
    <row r="489" spans="2:13" x14ac:dyDescent="0.3">
      <c r="C489" s="16"/>
      <c r="D489" s="57"/>
      <c r="E489" s="19"/>
      <c r="F489" s="19"/>
      <c r="G489" s="54"/>
      <c r="H489" s="19"/>
      <c r="L489"/>
    </row>
    <row r="490" spans="2:13" x14ac:dyDescent="0.3">
      <c r="C490" s="16"/>
      <c r="D490" s="57"/>
      <c r="E490" s="19"/>
      <c r="F490" s="19"/>
      <c r="G490" s="54"/>
      <c r="H490" s="19"/>
      <c r="L490"/>
    </row>
    <row r="491" spans="2:13" x14ac:dyDescent="0.3">
      <c r="C491" s="16"/>
      <c r="D491" s="57"/>
      <c r="E491" s="19"/>
      <c r="F491" s="19"/>
      <c r="G491" s="54"/>
      <c r="H491" s="19"/>
      <c r="L491"/>
    </row>
    <row r="492" spans="2:13" x14ac:dyDescent="0.3">
      <c r="C492" s="16"/>
      <c r="D492" s="57"/>
      <c r="E492" s="19"/>
      <c r="F492" s="19"/>
      <c r="G492" s="54"/>
      <c r="H492" s="19"/>
      <c r="L492"/>
    </row>
    <row r="493" spans="2:13" x14ac:dyDescent="0.3">
      <c r="C493" s="16"/>
      <c r="D493" s="57"/>
      <c r="E493" s="19"/>
      <c r="F493" s="19"/>
      <c r="G493" s="54"/>
      <c r="H493" s="19"/>
      <c r="L493"/>
    </row>
    <row r="494" spans="2:13" x14ac:dyDescent="0.3">
      <c r="C494" s="16"/>
      <c r="D494" s="57"/>
      <c r="E494" s="19"/>
      <c r="F494" s="19"/>
      <c r="G494" s="54"/>
      <c r="H494" s="19"/>
      <c r="L494"/>
    </row>
    <row r="495" spans="2:13" x14ac:dyDescent="0.3">
      <c r="C495" s="16"/>
      <c r="D495" s="57"/>
      <c r="E495" s="19"/>
      <c r="F495" s="19"/>
      <c r="G495" s="54"/>
      <c r="H495" s="19"/>
      <c r="L495"/>
    </row>
    <row r="496" spans="2:13" x14ac:dyDescent="0.3">
      <c r="C496" s="16"/>
      <c r="D496" s="57"/>
      <c r="E496" s="19"/>
      <c r="F496" s="19"/>
      <c r="G496" s="54"/>
      <c r="H496" s="19"/>
      <c r="L496"/>
    </row>
    <row r="497" spans="3:12" x14ac:dyDescent="0.3">
      <c r="C497" s="16"/>
      <c r="D497" s="57"/>
      <c r="E497" s="19"/>
      <c r="F497" s="19"/>
      <c r="G497" s="54"/>
      <c r="H497" s="19"/>
      <c r="L497"/>
    </row>
    <row r="498" spans="3:12" x14ac:dyDescent="0.3">
      <c r="C498" s="16"/>
      <c r="D498" s="57"/>
      <c r="E498" s="19"/>
      <c r="F498" s="19"/>
      <c r="G498" s="54"/>
      <c r="H498" s="19"/>
      <c r="L498"/>
    </row>
    <row r="499" spans="3:12" x14ac:dyDescent="0.3">
      <c r="C499" s="16"/>
      <c r="D499" s="57"/>
      <c r="E499" s="19"/>
      <c r="F499" s="19"/>
      <c r="G499" s="54"/>
      <c r="H499" s="19"/>
      <c r="L499"/>
    </row>
    <row r="500" spans="3:12" x14ac:dyDescent="0.3">
      <c r="C500" s="16"/>
      <c r="D500" s="57"/>
      <c r="E500" s="19"/>
      <c r="F500" s="19"/>
      <c r="G500" s="54"/>
      <c r="H500" s="19"/>
      <c r="L500"/>
    </row>
    <row r="501" spans="3:12" x14ac:dyDescent="0.3">
      <c r="C501" s="16"/>
      <c r="D501" s="57"/>
      <c r="E501" s="19"/>
      <c r="F501" s="19"/>
      <c r="G501" s="54"/>
      <c r="H501" s="19"/>
      <c r="L501"/>
    </row>
    <row r="502" spans="3:12" x14ac:dyDescent="0.3">
      <c r="C502" s="16"/>
      <c r="D502" s="57"/>
      <c r="E502" s="19"/>
      <c r="F502" s="19"/>
      <c r="G502" s="54"/>
      <c r="H502" s="19"/>
      <c r="L502"/>
    </row>
    <row r="503" spans="3:12" x14ac:dyDescent="0.3">
      <c r="C503" s="16"/>
      <c r="D503" s="57"/>
      <c r="E503" s="19"/>
      <c r="F503" s="19"/>
      <c r="G503" s="54"/>
      <c r="H503" s="19"/>
      <c r="L503"/>
    </row>
    <row r="504" spans="3:12" x14ac:dyDescent="0.3">
      <c r="C504" s="16"/>
      <c r="D504" s="57"/>
      <c r="E504" s="19"/>
      <c r="F504" s="19"/>
      <c r="G504" s="54"/>
      <c r="H504" s="19"/>
      <c r="L504"/>
    </row>
    <row r="505" spans="3:12" x14ac:dyDescent="0.3">
      <c r="C505" s="16"/>
      <c r="D505" s="57"/>
      <c r="E505" s="19"/>
      <c r="F505" s="19"/>
      <c r="G505" s="54"/>
      <c r="H505" s="19"/>
      <c r="L505"/>
    </row>
    <row r="506" spans="3:12" x14ac:dyDescent="0.3">
      <c r="C506" s="16"/>
      <c r="D506" s="57"/>
      <c r="E506" s="19"/>
      <c r="F506" s="19"/>
      <c r="G506" s="54"/>
      <c r="H506" s="19"/>
      <c r="L506"/>
    </row>
    <row r="507" spans="3:12" x14ac:dyDescent="0.3">
      <c r="C507" s="16"/>
      <c r="D507" s="57"/>
      <c r="E507" s="19"/>
      <c r="F507" s="19"/>
      <c r="G507" s="54"/>
      <c r="H507" s="19"/>
      <c r="L507"/>
    </row>
    <row r="508" spans="3:12" x14ac:dyDescent="0.3">
      <c r="C508" s="16"/>
      <c r="D508" s="57"/>
      <c r="E508" s="19"/>
      <c r="F508" s="19"/>
      <c r="G508" s="54"/>
      <c r="H508" s="19"/>
      <c r="L508"/>
    </row>
    <row r="509" spans="3:12" x14ac:dyDescent="0.3">
      <c r="C509" s="16"/>
      <c r="D509" s="57"/>
      <c r="E509" s="19"/>
      <c r="F509" s="19"/>
      <c r="G509" s="54"/>
      <c r="H509" s="19"/>
      <c r="L509"/>
    </row>
    <row r="510" spans="3:12" x14ac:dyDescent="0.3">
      <c r="C510" s="16"/>
      <c r="D510" s="57"/>
      <c r="E510" s="19"/>
      <c r="F510" s="19"/>
      <c r="G510" s="54"/>
      <c r="H510" s="19"/>
      <c r="L510"/>
    </row>
    <row r="511" spans="3:12" x14ac:dyDescent="0.3">
      <c r="C511" s="16"/>
      <c r="D511" s="57"/>
      <c r="E511" s="19"/>
      <c r="F511" s="19"/>
      <c r="G511" s="54"/>
      <c r="H511" s="19"/>
      <c r="L511"/>
    </row>
    <row r="512" spans="3:12" x14ac:dyDescent="0.3">
      <c r="C512" s="16"/>
      <c r="D512" s="57"/>
      <c r="E512" s="19"/>
      <c r="F512" s="19"/>
      <c r="G512" s="54"/>
      <c r="H512" s="19"/>
      <c r="L512"/>
    </row>
    <row r="513" spans="3:12" x14ac:dyDescent="0.3">
      <c r="C513" s="16"/>
      <c r="D513" s="57"/>
      <c r="E513" s="19"/>
      <c r="F513" s="19"/>
      <c r="G513" s="54"/>
      <c r="H513" s="19"/>
      <c r="L513"/>
    </row>
    <row r="514" spans="3:12" x14ac:dyDescent="0.3">
      <c r="C514" s="16"/>
      <c r="D514" s="57"/>
      <c r="E514" s="19"/>
      <c r="F514" s="19"/>
      <c r="G514" s="54"/>
      <c r="H514" s="19"/>
      <c r="L514"/>
    </row>
    <row r="515" spans="3:12" x14ac:dyDescent="0.3">
      <c r="C515" s="16"/>
      <c r="D515" s="57"/>
      <c r="E515" s="19"/>
      <c r="F515" s="19"/>
      <c r="G515" s="54"/>
      <c r="H515" s="19"/>
      <c r="L515"/>
    </row>
    <row r="516" spans="3:12" x14ac:dyDescent="0.3">
      <c r="C516" s="16"/>
      <c r="D516" s="57"/>
      <c r="E516" s="19"/>
      <c r="F516" s="19"/>
      <c r="G516" s="54"/>
      <c r="H516" s="19"/>
      <c r="L516"/>
    </row>
    <row r="517" spans="3:12" x14ac:dyDescent="0.3">
      <c r="C517" s="16"/>
      <c r="D517" s="57"/>
      <c r="E517" s="19"/>
      <c r="F517" s="19"/>
      <c r="G517" s="54"/>
      <c r="H517" s="19"/>
      <c r="L517"/>
    </row>
    <row r="518" spans="3:12" x14ac:dyDescent="0.3">
      <c r="C518" s="16"/>
      <c r="D518" s="57"/>
      <c r="E518" s="19"/>
      <c r="F518" s="19"/>
      <c r="G518" s="54"/>
      <c r="H518" s="19"/>
      <c r="L518"/>
    </row>
    <row r="519" spans="3:12" x14ac:dyDescent="0.3">
      <c r="C519" s="16"/>
      <c r="D519" s="57"/>
      <c r="E519" s="19"/>
      <c r="F519" s="19"/>
      <c r="G519" s="54"/>
      <c r="H519" s="19"/>
      <c r="L519"/>
    </row>
    <row r="520" spans="3:12" x14ac:dyDescent="0.3">
      <c r="C520" s="16"/>
      <c r="D520" s="57"/>
      <c r="E520" s="19"/>
      <c r="F520" s="19"/>
      <c r="G520" s="54"/>
      <c r="H520" s="19"/>
      <c r="L520"/>
    </row>
    <row r="521" spans="3:12" x14ac:dyDescent="0.3">
      <c r="C521" s="16"/>
      <c r="D521" s="57"/>
      <c r="E521" s="19"/>
      <c r="F521" s="19"/>
      <c r="G521" s="54"/>
      <c r="H521" s="19"/>
      <c r="L521"/>
    </row>
    <row r="522" spans="3:12" x14ac:dyDescent="0.3">
      <c r="C522" s="16"/>
      <c r="D522" s="57"/>
      <c r="E522" s="19"/>
      <c r="F522" s="19"/>
      <c r="G522" s="54"/>
      <c r="H522" s="19"/>
      <c r="L522"/>
    </row>
    <row r="523" spans="3:12" x14ac:dyDescent="0.3">
      <c r="C523" s="16"/>
      <c r="D523" s="57"/>
      <c r="E523" s="19"/>
      <c r="F523" s="19"/>
      <c r="G523" s="54"/>
      <c r="H523" s="19"/>
      <c r="L523"/>
    </row>
    <row r="524" spans="3:12" x14ac:dyDescent="0.3">
      <c r="C524" s="16"/>
      <c r="D524" s="57"/>
      <c r="E524" s="19"/>
      <c r="F524" s="19"/>
      <c r="G524" s="54"/>
      <c r="H524" s="19"/>
      <c r="L524"/>
    </row>
    <row r="525" spans="3:12" x14ac:dyDescent="0.3">
      <c r="C525" s="16"/>
      <c r="D525" s="57"/>
      <c r="E525" s="19"/>
      <c r="F525" s="19"/>
      <c r="G525" s="54"/>
      <c r="H525" s="19"/>
      <c r="L525"/>
    </row>
    <row r="526" spans="3:12" x14ac:dyDescent="0.3">
      <c r="C526" s="16"/>
      <c r="D526" s="57"/>
      <c r="E526" s="19"/>
      <c r="F526" s="19"/>
      <c r="G526" s="54"/>
      <c r="H526" s="19"/>
      <c r="L526"/>
    </row>
    <row r="527" spans="3:12" x14ac:dyDescent="0.3">
      <c r="C527" s="16"/>
      <c r="D527" s="57"/>
      <c r="E527" s="19"/>
      <c r="F527" s="19"/>
      <c r="G527" s="54"/>
      <c r="H527" s="19"/>
      <c r="L527"/>
    </row>
    <row r="528" spans="3:12" x14ac:dyDescent="0.3">
      <c r="C528" s="16"/>
      <c r="D528" s="57"/>
      <c r="E528" s="19"/>
      <c r="F528" s="19"/>
      <c r="G528" s="54"/>
      <c r="H528" s="19"/>
      <c r="L528"/>
    </row>
    <row r="529" spans="3:12" x14ac:dyDescent="0.3">
      <c r="C529" s="16"/>
      <c r="D529" s="57"/>
      <c r="E529" s="19"/>
      <c r="F529" s="19"/>
      <c r="G529" s="54"/>
      <c r="H529" s="19"/>
      <c r="L529"/>
    </row>
    <row r="530" spans="3:12" x14ac:dyDescent="0.3">
      <c r="C530" s="16"/>
      <c r="D530" s="57"/>
      <c r="E530" s="19"/>
      <c r="F530" s="19"/>
      <c r="G530" s="54"/>
      <c r="H530" s="19"/>
      <c r="L530"/>
    </row>
    <row r="531" spans="3:12" x14ac:dyDescent="0.3">
      <c r="C531" s="16"/>
      <c r="D531" s="57"/>
      <c r="E531" s="19"/>
      <c r="F531" s="19"/>
      <c r="G531" s="54"/>
      <c r="H531" s="19"/>
      <c r="L531"/>
    </row>
    <row r="532" spans="3:12" x14ac:dyDescent="0.3">
      <c r="C532" s="16"/>
      <c r="D532" s="57"/>
      <c r="E532" s="19"/>
      <c r="F532" s="19"/>
      <c r="G532" s="54"/>
      <c r="H532" s="19"/>
      <c r="L532"/>
    </row>
    <row r="533" spans="3:12" x14ac:dyDescent="0.3">
      <c r="C533" s="16"/>
      <c r="D533" s="57"/>
      <c r="E533" s="19"/>
      <c r="F533" s="19"/>
      <c r="G533" s="54"/>
      <c r="H533" s="19"/>
      <c r="L533"/>
    </row>
    <row r="534" spans="3:12" x14ac:dyDescent="0.3">
      <c r="C534" s="16"/>
      <c r="D534" s="57"/>
      <c r="E534" s="19"/>
      <c r="F534" s="19"/>
      <c r="G534" s="54"/>
      <c r="H534" s="19"/>
      <c r="L534"/>
    </row>
    <row r="535" spans="3:12" x14ac:dyDescent="0.3">
      <c r="C535" s="16"/>
      <c r="D535" s="57"/>
      <c r="E535" s="19"/>
      <c r="F535" s="19"/>
      <c r="G535" s="54"/>
      <c r="H535" s="19"/>
      <c r="L535"/>
    </row>
    <row r="536" spans="3:12" x14ac:dyDescent="0.3">
      <c r="C536" s="16"/>
      <c r="D536" s="57"/>
      <c r="E536" s="19"/>
      <c r="F536" s="19"/>
      <c r="G536" s="54"/>
      <c r="H536" s="19"/>
      <c r="L536"/>
    </row>
    <row r="537" spans="3:12" x14ac:dyDescent="0.3">
      <c r="C537" s="16"/>
      <c r="D537" s="57"/>
      <c r="E537" s="19"/>
      <c r="F537" s="19"/>
      <c r="G537" s="54"/>
      <c r="H537" s="19"/>
      <c r="L537"/>
    </row>
    <row r="538" spans="3:12" x14ac:dyDescent="0.3">
      <c r="C538" s="16"/>
      <c r="D538" s="57"/>
      <c r="E538" s="19"/>
      <c r="F538" s="19"/>
      <c r="G538" s="54"/>
      <c r="H538" s="19"/>
      <c r="L538"/>
    </row>
    <row r="539" spans="3:12" x14ac:dyDescent="0.3">
      <c r="C539" s="16"/>
      <c r="D539" s="57"/>
      <c r="E539" s="19"/>
      <c r="F539" s="19"/>
      <c r="G539" s="54"/>
      <c r="H539" s="19"/>
      <c r="L539"/>
    </row>
    <row r="540" spans="3:12" x14ac:dyDescent="0.3">
      <c r="C540" s="16"/>
      <c r="D540" s="57"/>
      <c r="E540" s="19"/>
      <c r="F540" s="19"/>
      <c r="G540" s="54"/>
      <c r="H540" s="19"/>
      <c r="L540"/>
    </row>
    <row r="541" spans="3:12" x14ac:dyDescent="0.3">
      <c r="C541" s="16"/>
      <c r="D541" s="57"/>
      <c r="E541" s="19"/>
      <c r="F541" s="19"/>
      <c r="G541" s="54"/>
      <c r="H541" s="19"/>
      <c r="L541"/>
    </row>
    <row r="542" spans="3:12" x14ac:dyDescent="0.3">
      <c r="C542" s="16"/>
      <c r="D542" s="57"/>
      <c r="E542" s="19"/>
      <c r="F542" s="19"/>
      <c r="G542" s="54"/>
      <c r="H542" s="19"/>
      <c r="L542"/>
    </row>
    <row r="543" spans="3:12" x14ac:dyDescent="0.3">
      <c r="C543" s="16"/>
      <c r="D543" s="57"/>
      <c r="E543" s="19"/>
      <c r="F543" s="19"/>
      <c r="G543" s="54"/>
      <c r="H543" s="19"/>
      <c r="L543"/>
    </row>
    <row r="544" spans="3:12" x14ac:dyDescent="0.3">
      <c r="C544" s="16"/>
      <c r="D544" s="57"/>
      <c r="E544" s="19"/>
      <c r="F544" s="19"/>
      <c r="G544" s="54"/>
      <c r="H544" s="19"/>
      <c r="L544"/>
    </row>
    <row r="545" spans="3:12" x14ac:dyDescent="0.3">
      <c r="C545" s="16"/>
      <c r="D545" s="57"/>
      <c r="E545" s="19"/>
      <c r="F545" s="19"/>
      <c r="G545" s="54"/>
      <c r="H545" s="19"/>
      <c r="L545"/>
    </row>
    <row r="546" spans="3:12" x14ac:dyDescent="0.3">
      <c r="C546" s="16"/>
      <c r="D546" s="57"/>
      <c r="E546" s="19"/>
      <c r="F546" s="19"/>
      <c r="G546" s="54"/>
      <c r="H546" s="19"/>
      <c r="L546"/>
    </row>
    <row r="547" spans="3:12" x14ac:dyDescent="0.3">
      <c r="C547" s="16"/>
      <c r="D547" s="57"/>
      <c r="E547" s="19"/>
      <c r="F547" s="19"/>
      <c r="G547" s="54"/>
      <c r="H547" s="19"/>
      <c r="L547"/>
    </row>
    <row r="548" spans="3:12" x14ac:dyDescent="0.3">
      <c r="C548" s="16"/>
      <c r="D548" s="57"/>
      <c r="E548" s="19"/>
      <c r="F548" s="19"/>
      <c r="G548" s="54"/>
      <c r="H548" s="19"/>
      <c r="L548"/>
    </row>
    <row r="549" spans="3:12" x14ac:dyDescent="0.3">
      <c r="C549" s="16"/>
      <c r="D549" s="57"/>
      <c r="E549" s="19"/>
      <c r="F549" s="19"/>
      <c r="G549" s="54"/>
      <c r="H549" s="19"/>
      <c r="L549"/>
    </row>
    <row r="550" spans="3:12" x14ac:dyDescent="0.3">
      <c r="C550" s="16"/>
      <c r="D550" s="57"/>
      <c r="E550" s="19"/>
      <c r="F550" s="19"/>
      <c r="G550" s="54"/>
      <c r="H550" s="19"/>
      <c r="L550"/>
    </row>
    <row r="551" spans="3:12" x14ac:dyDescent="0.3">
      <c r="C551" s="16"/>
      <c r="D551" s="57"/>
      <c r="E551" s="19"/>
      <c r="F551" s="19"/>
      <c r="G551" s="54"/>
      <c r="H551" s="19"/>
      <c r="L551"/>
    </row>
    <row r="552" spans="3:12" x14ac:dyDescent="0.3">
      <c r="C552" s="16"/>
      <c r="D552" s="57"/>
      <c r="E552" s="19"/>
      <c r="F552" s="19"/>
      <c r="G552" s="54"/>
      <c r="H552" s="19"/>
      <c r="L552"/>
    </row>
    <row r="553" spans="3:12" x14ac:dyDescent="0.3">
      <c r="C553" s="16"/>
      <c r="D553" s="57"/>
      <c r="E553" s="19"/>
      <c r="F553" s="19"/>
      <c r="G553" s="54"/>
      <c r="H553" s="19"/>
      <c r="L553"/>
    </row>
    <row r="554" spans="3:12" x14ac:dyDescent="0.3">
      <c r="C554" s="16"/>
      <c r="D554" s="57"/>
      <c r="E554" s="19"/>
      <c r="F554" s="19"/>
      <c r="G554" s="54"/>
      <c r="H554" s="19"/>
      <c r="L554"/>
    </row>
    <row r="555" spans="3:12" x14ac:dyDescent="0.3">
      <c r="C555" s="16"/>
      <c r="D555" s="57"/>
      <c r="E555" s="19"/>
      <c r="F555" s="19"/>
      <c r="G555" s="54"/>
      <c r="H555" s="19"/>
      <c r="L555"/>
    </row>
    <row r="556" spans="3:12" x14ac:dyDescent="0.3">
      <c r="C556" s="16"/>
      <c r="D556" s="57"/>
      <c r="E556" s="19"/>
      <c r="F556" s="19"/>
      <c r="G556" s="54"/>
      <c r="H556" s="19"/>
      <c r="L556"/>
    </row>
    <row r="557" spans="3:12" x14ac:dyDescent="0.3">
      <c r="C557" s="16"/>
      <c r="D557" s="57"/>
      <c r="E557" s="19"/>
      <c r="F557" s="19"/>
      <c r="G557" s="54"/>
      <c r="H557" s="19"/>
      <c r="L557"/>
    </row>
    <row r="558" spans="3:12" x14ac:dyDescent="0.3">
      <c r="C558" s="16"/>
      <c r="D558" s="57"/>
      <c r="E558" s="19"/>
      <c r="F558" s="19"/>
      <c r="G558" s="54"/>
      <c r="H558" s="19"/>
      <c r="L558"/>
    </row>
    <row r="559" spans="3:12" x14ac:dyDescent="0.3">
      <c r="C559" s="16"/>
      <c r="D559" s="57"/>
      <c r="E559" s="19"/>
      <c r="F559" s="19"/>
      <c r="G559" s="54"/>
      <c r="H559" s="19"/>
      <c r="L559"/>
    </row>
    <row r="560" spans="3:12" x14ac:dyDescent="0.3">
      <c r="C560" s="16"/>
      <c r="D560" s="57"/>
      <c r="E560" s="19"/>
      <c r="F560" s="19"/>
      <c r="G560" s="54"/>
      <c r="H560" s="19"/>
      <c r="L560"/>
    </row>
    <row r="561" spans="3:12" x14ac:dyDescent="0.3">
      <c r="C561" s="16"/>
      <c r="D561" s="57"/>
      <c r="E561" s="19"/>
      <c r="F561" s="19"/>
      <c r="G561" s="54"/>
      <c r="H561" s="19"/>
      <c r="L561"/>
    </row>
    <row r="562" spans="3:12" x14ac:dyDescent="0.3">
      <c r="C562" s="16"/>
      <c r="D562" s="57"/>
      <c r="E562" s="19"/>
      <c r="F562" s="19"/>
      <c r="G562" s="54"/>
      <c r="H562" s="19"/>
      <c r="L562"/>
    </row>
    <row r="563" spans="3:12" x14ac:dyDescent="0.3">
      <c r="C563" s="16"/>
      <c r="D563" s="57"/>
      <c r="E563" s="19"/>
      <c r="F563" s="19"/>
      <c r="G563" s="54"/>
      <c r="H563" s="19"/>
      <c r="L563"/>
    </row>
    <row r="564" spans="3:12" x14ac:dyDescent="0.3">
      <c r="C564" s="16"/>
      <c r="D564" s="57"/>
      <c r="E564" s="19"/>
      <c r="F564" s="19"/>
      <c r="G564" s="54"/>
      <c r="H564" s="19"/>
      <c r="L564"/>
    </row>
    <row r="565" spans="3:12" x14ac:dyDescent="0.3">
      <c r="C565" s="16"/>
      <c r="D565" s="57"/>
      <c r="E565" s="19"/>
      <c r="F565" s="19"/>
      <c r="G565" s="54"/>
      <c r="H565" s="19"/>
      <c r="L565"/>
    </row>
    <row r="566" spans="3:12" x14ac:dyDescent="0.3">
      <c r="C566" s="16"/>
      <c r="D566" s="57"/>
      <c r="E566" s="19"/>
      <c r="F566" s="19"/>
      <c r="G566" s="54"/>
      <c r="H566" s="19"/>
      <c r="L566"/>
    </row>
    <row r="567" spans="3:12" x14ac:dyDescent="0.3">
      <c r="C567" s="16"/>
      <c r="D567" s="57"/>
      <c r="E567" s="19"/>
      <c r="F567" s="19"/>
      <c r="G567" s="54"/>
      <c r="H567" s="19"/>
      <c r="L567"/>
    </row>
    <row r="568" spans="3:12" x14ac:dyDescent="0.3">
      <c r="C568" s="16"/>
      <c r="D568" s="57"/>
      <c r="E568" s="19"/>
      <c r="F568" s="19"/>
      <c r="G568" s="54"/>
      <c r="H568" s="19"/>
      <c r="L568"/>
    </row>
    <row r="569" spans="3:12" x14ac:dyDescent="0.3">
      <c r="C569" s="16"/>
      <c r="D569" s="57"/>
      <c r="E569" s="19"/>
      <c r="F569" s="19"/>
      <c r="G569" s="54"/>
      <c r="H569" s="19"/>
      <c r="L569"/>
    </row>
    <row r="570" spans="3:12" x14ac:dyDescent="0.3">
      <c r="C570" s="16"/>
      <c r="D570" s="57"/>
      <c r="E570" s="19"/>
      <c r="F570" s="19"/>
      <c r="G570" s="54"/>
      <c r="H570" s="19"/>
      <c r="L570"/>
    </row>
    <row r="571" spans="3:12" x14ac:dyDescent="0.3">
      <c r="C571" s="16"/>
      <c r="D571" s="57"/>
      <c r="E571" s="19"/>
      <c r="F571" s="19"/>
      <c r="G571" s="54"/>
      <c r="H571" s="19"/>
      <c r="L571"/>
    </row>
    <row r="572" spans="3:12" x14ac:dyDescent="0.3">
      <c r="C572" s="16"/>
      <c r="D572" s="57"/>
      <c r="E572" s="19"/>
      <c r="F572" s="19"/>
      <c r="G572" s="54"/>
      <c r="H572" s="19"/>
      <c r="L572"/>
    </row>
    <row r="573" spans="3:12" x14ac:dyDescent="0.3">
      <c r="C573" s="16"/>
      <c r="D573" s="57"/>
      <c r="E573" s="19"/>
      <c r="F573" s="19"/>
      <c r="G573" s="54"/>
      <c r="H573" s="19"/>
      <c r="L573"/>
    </row>
    <row r="574" spans="3:12" x14ac:dyDescent="0.3">
      <c r="C574" s="16"/>
      <c r="D574" s="57"/>
      <c r="E574" s="19"/>
      <c r="F574" s="19"/>
      <c r="G574" s="54"/>
      <c r="H574" s="19"/>
      <c r="L574"/>
    </row>
    <row r="575" spans="3:12" x14ac:dyDescent="0.3">
      <c r="C575" s="16"/>
      <c r="D575" s="57"/>
      <c r="E575" s="19"/>
      <c r="F575" s="19"/>
      <c r="G575" s="54"/>
      <c r="H575" s="19"/>
      <c r="L575"/>
    </row>
    <row r="576" spans="3:12" x14ac:dyDescent="0.3">
      <c r="C576" s="16"/>
      <c r="D576" s="57"/>
      <c r="E576" s="19"/>
      <c r="F576" s="19"/>
      <c r="G576" s="54"/>
      <c r="H576" s="19"/>
      <c r="L576"/>
    </row>
    <row r="577" spans="3:12" x14ac:dyDescent="0.3">
      <c r="C577" s="16"/>
      <c r="D577" s="57"/>
      <c r="E577" s="19"/>
      <c r="F577" s="19"/>
      <c r="G577" s="54"/>
      <c r="H577" s="19"/>
      <c r="L577"/>
    </row>
    <row r="578" spans="3:12" x14ac:dyDescent="0.3">
      <c r="C578" s="16"/>
      <c r="D578" s="57"/>
      <c r="E578" s="19"/>
      <c r="F578" s="19"/>
      <c r="G578" s="54"/>
      <c r="H578" s="19"/>
      <c r="L578"/>
    </row>
    <row r="579" spans="3:12" x14ac:dyDescent="0.3">
      <c r="C579" s="16"/>
      <c r="D579" s="57"/>
      <c r="E579" s="19"/>
      <c r="F579" s="19"/>
      <c r="G579" s="54"/>
      <c r="H579" s="19"/>
      <c r="L579"/>
    </row>
    <row r="580" spans="3:12" x14ac:dyDescent="0.3">
      <c r="C580" s="16"/>
      <c r="D580" s="57"/>
      <c r="E580" s="19"/>
      <c r="F580" s="19"/>
      <c r="G580" s="54"/>
      <c r="H580" s="19"/>
      <c r="L580"/>
    </row>
    <row r="581" spans="3:12" x14ac:dyDescent="0.3">
      <c r="C581" s="16"/>
      <c r="D581" s="57"/>
      <c r="E581" s="19"/>
      <c r="F581" s="19"/>
      <c r="G581" s="54"/>
      <c r="H581" s="19"/>
      <c r="L581"/>
    </row>
    <row r="582" spans="3:12" x14ac:dyDescent="0.3">
      <c r="C582" s="16"/>
      <c r="D582" s="57"/>
      <c r="E582" s="19"/>
      <c r="F582" s="19"/>
      <c r="G582" s="54"/>
      <c r="H582" s="19"/>
      <c r="L582"/>
    </row>
    <row r="583" spans="3:12" x14ac:dyDescent="0.3">
      <c r="C583" s="16"/>
      <c r="D583" s="57"/>
      <c r="E583" s="19"/>
      <c r="F583" s="19"/>
      <c r="G583" s="54"/>
      <c r="H583" s="19"/>
      <c r="L583"/>
    </row>
    <row r="584" spans="3:12" x14ac:dyDescent="0.3">
      <c r="C584" s="16"/>
      <c r="D584" s="57"/>
      <c r="E584" s="19"/>
      <c r="F584" s="19"/>
      <c r="G584" s="54"/>
      <c r="H584" s="19"/>
      <c r="L584"/>
    </row>
    <row r="585" spans="3:12" x14ac:dyDescent="0.3">
      <c r="C585" s="16"/>
      <c r="D585" s="57"/>
      <c r="E585" s="19"/>
      <c r="F585" s="19"/>
      <c r="G585" s="54"/>
      <c r="H585" s="19"/>
      <c r="L585"/>
    </row>
    <row r="586" spans="3:12" x14ac:dyDescent="0.3">
      <c r="C586" s="16"/>
      <c r="D586" s="57"/>
      <c r="E586" s="19"/>
      <c r="F586" s="19"/>
      <c r="G586" s="54"/>
      <c r="H586" s="19"/>
      <c r="L586"/>
    </row>
    <row r="587" spans="3:12" x14ac:dyDescent="0.3">
      <c r="C587" s="16"/>
      <c r="D587" s="57"/>
      <c r="E587" s="19"/>
      <c r="F587" s="19"/>
      <c r="G587" s="54"/>
      <c r="H587" s="19"/>
      <c r="L587"/>
    </row>
    <row r="588" spans="3:12" x14ac:dyDescent="0.3">
      <c r="C588" s="16"/>
      <c r="D588" s="57"/>
      <c r="E588" s="19"/>
      <c r="F588" s="19"/>
      <c r="G588" s="54"/>
      <c r="H588" s="19"/>
      <c r="L588"/>
    </row>
    <row r="589" spans="3:12" x14ac:dyDescent="0.3">
      <c r="C589" s="16"/>
      <c r="D589" s="57"/>
      <c r="E589" s="19"/>
      <c r="F589" s="19"/>
      <c r="G589" s="54"/>
      <c r="H589" s="19"/>
      <c r="L589"/>
    </row>
    <row r="590" spans="3:12" x14ac:dyDescent="0.3">
      <c r="C590" s="16"/>
      <c r="D590" s="57"/>
      <c r="E590" s="19"/>
      <c r="F590" s="19"/>
      <c r="G590" s="54"/>
      <c r="H590" s="19"/>
      <c r="L590"/>
    </row>
    <row r="591" spans="3:12" x14ac:dyDescent="0.3">
      <c r="C591" s="16"/>
      <c r="D591" s="57"/>
      <c r="E591" s="19"/>
      <c r="F591" s="19"/>
      <c r="G591" s="54"/>
      <c r="H591" s="19"/>
      <c r="L591"/>
    </row>
    <row r="592" spans="3:12" x14ac:dyDescent="0.3">
      <c r="C592" s="16"/>
      <c r="D592" s="57"/>
      <c r="E592" s="19"/>
      <c r="F592" s="19"/>
      <c r="G592" s="54"/>
      <c r="H592" s="19"/>
      <c r="L592"/>
    </row>
    <row r="593" spans="3:12" x14ac:dyDescent="0.3">
      <c r="C593" s="16"/>
      <c r="D593" s="57"/>
      <c r="E593" s="19"/>
      <c r="F593" s="19"/>
      <c r="G593" s="54"/>
      <c r="H593" s="19"/>
      <c r="L593"/>
    </row>
    <row r="594" spans="3:12" x14ac:dyDescent="0.3">
      <c r="C594" s="16"/>
      <c r="D594" s="57"/>
      <c r="E594" s="19"/>
      <c r="F594" s="19"/>
      <c r="G594" s="54"/>
      <c r="H594" s="19"/>
      <c r="L594"/>
    </row>
    <row r="595" spans="3:12" x14ac:dyDescent="0.3">
      <c r="C595" s="16"/>
      <c r="D595" s="57"/>
      <c r="E595" s="19"/>
      <c r="F595" s="19"/>
      <c r="G595" s="54"/>
      <c r="H595" s="19"/>
      <c r="L595"/>
    </row>
    <row r="596" spans="3:12" x14ac:dyDescent="0.3">
      <c r="C596" s="16"/>
      <c r="D596" s="57"/>
      <c r="E596" s="19"/>
      <c r="F596" s="19"/>
      <c r="G596" s="54"/>
      <c r="H596" s="19"/>
      <c r="L596"/>
    </row>
    <row r="597" spans="3:12" x14ac:dyDescent="0.3">
      <c r="C597" s="16"/>
      <c r="D597" s="57"/>
      <c r="E597" s="19"/>
      <c r="F597" s="19"/>
      <c r="G597" s="54"/>
      <c r="H597" s="19"/>
      <c r="L597"/>
    </row>
    <row r="598" spans="3:12" x14ac:dyDescent="0.3">
      <c r="C598" s="16"/>
      <c r="D598" s="57"/>
      <c r="E598" s="19"/>
      <c r="F598" s="19"/>
      <c r="G598" s="54"/>
      <c r="H598" s="19"/>
      <c r="L598"/>
    </row>
    <row r="599" spans="3:12" x14ac:dyDescent="0.3">
      <c r="C599" s="16"/>
      <c r="D599" s="57"/>
      <c r="E599" s="19"/>
      <c r="F599" s="19"/>
      <c r="G599" s="54"/>
      <c r="H599" s="19"/>
      <c r="L599"/>
    </row>
    <row r="600" spans="3:12" x14ac:dyDescent="0.3">
      <c r="C600" s="16"/>
      <c r="D600" s="57"/>
      <c r="E600" s="19"/>
      <c r="F600" s="19"/>
      <c r="G600" s="54"/>
      <c r="H600" s="19"/>
      <c r="L600"/>
    </row>
    <row r="601" spans="3:12" x14ac:dyDescent="0.3">
      <c r="C601" s="16"/>
      <c r="D601" s="57"/>
      <c r="E601" s="19"/>
      <c r="F601" s="19"/>
      <c r="G601" s="54"/>
      <c r="H601" s="19"/>
      <c r="L601"/>
    </row>
    <row r="602" spans="3:12" x14ac:dyDescent="0.3">
      <c r="C602" s="16"/>
      <c r="D602" s="57"/>
      <c r="E602" s="19"/>
      <c r="F602" s="19"/>
      <c r="G602" s="54"/>
      <c r="H602" s="19"/>
      <c r="L602"/>
    </row>
    <row r="603" spans="3:12" x14ac:dyDescent="0.3">
      <c r="C603" s="16"/>
      <c r="D603" s="57"/>
      <c r="E603" s="19"/>
      <c r="F603" s="19"/>
      <c r="G603" s="54"/>
      <c r="H603" s="19"/>
      <c r="L603"/>
    </row>
    <row r="604" spans="3:12" x14ac:dyDescent="0.3">
      <c r="C604" s="16"/>
      <c r="D604" s="57"/>
      <c r="E604" s="19"/>
      <c r="F604" s="19"/>
      <c r="G604" s="54"/>
      <c r="H604" s="19"/>
      <c r="L604"/>
    </row>
    <row r="605" spans="3:12" x14ac:dyDescent="0.3">
      <c r="C605" s="16"/>
      <c r="D605" s="57"/>
      <c r="E605" s="19"/>
      <c r="F605" s="19"/>
      <c r="G605" s="54"/>
      <c r="H605" s="19"/>
      <c r="L605"/>
    </row>
    <row r="606" spans="3:12" x14ac:dyDescent="0.3">
      <c r="C606" s="16"/>
      <c r="D606" s="57"/>
      <c r="E606" s="19"/>
      <c r="F606" s="19"/>
      <c r="G606" s="54"/>
      <c r="H606" s="19"/>
      <c r="L606"/>
    </row>
    <row r="607" spans="3:12" x14ac:dyDescent="0.3">
      <c r="C607" s="16"/>
      <c r="D607" s="57"/>
      <c r="E607" s="19"/>
      <c r="F607" s="19"/>
      <c r="G607" s="54"/>
      <c r="H607" s="19"/>
      <c r="L607"/>
    </row>
    <row r="608" spans="3:12" x14ac:dyDescent="0.3">
      <c r="C608" s="16"/>
      <c r="D608" s="57"/>
      <c r="E608" s="19"/>
      <c r="F608" s="19"/>
      <c r="G608" s="54"/>
      <c r="H608" s="19"/>
      <c r="L608"/>
    </row>
    <row r="609" spans="3:12" x14ac:dyDescent="0.3">
      <c r="C609" s="16"/>
      <c r="D609" s="57"/>
      <c r="E609" s="19"/>
      <c r="F609" s="19"/>
      <c r="G609" s="54"/>
      <c r="H609" s="19"/>
      <c r="L609"/>
    </row>
    <row r="610" spans="3:12" x14ac:dyDescent="0.3">
      <c r="C610" s="16"/>
      <c r="D610" s="57"/>
      <c r="E610" s="19"/>
      <c r="F610" s="19"/>
      <c r="G610" s="54"/>
      <c r="H610" s="19"/>
      <c r="L610"/>
    </row>
    <row r="611" spans="3:12" x14ac:dyDescent="0.3">
      <c r="C611" s="16"/>
      <c r="D611" s="57"/>
      <c r="E611" s="19"/>
      <c r="F611" s="19"/>
      <c r="G611" s="54"/>
      <c r="H611" s="19"/>
      <c r="L611"/>
    </row>
    <row r="612" spans="3:12" x14ac:dyDescent="0.3">
      <c r="C612" s="16"/>
      <c r="D612" s="57"/>
      <c r="E612" s="19"/>
      <c r="F612" s="19"/>
      <c r="G612" s="54"/>
      <c r="H612" s="19"/>
      <c r="L612"/>
    </row>
    <row r="613" spans="3:12" x14ac:dyDescent="0.3">
      <c r="C613" s="16"/>
      <c r="D613" s="57"/>
      <c r="E613" s="19"/>
      <c r="F613" s="19"/>
      <c r="G613" s="54"/>
      <c r="H613" s="19"/>
      <c r="L613"/>
    </row>
    <row r="614" spans="3:12" x14ac:dyDescent="0.3">
      <c r="C614" s="16"/>
      <c r="D614" s="57"/>
      <c r="E614" s="19"/>
      <c r="F614" s="19"/>
      <c r="G614" s="54"/>
      <c r="H614" s="19"/>
      <c r="L614"/>
    </row>
    <row r="615" spans="3:12" x14ac:dyDescent="0.3">
      <c r="C615" s="16"/>
      <c r="D615" s="57"/>
      <c r="E615" s="19"/>
      <c r="F615" s="19"/>
      <c r="G615" s="54"/>
      <c r="H615" s="19"/>
      <c r="L615"/>
    </row>
    <row r="616" spans="3:12" x14ac:dyDescent="0.3">
      <c r="C616" s="16"/>
      <c r="D616" s="57"/>
      <c r="E616" s="19"/>
      <c r="F616" s="19"/>
      <c r="G616" s="54"/>
      <c r="H616" s="19"/>
      <c r="L616"/>
    </row>
    <row r="617" spans="3:12" x14ac:dyDescent="0.3">
      <c r="C617" s="16"/>
      <c r="D617" s="57"/>
      <c r="E617" s="19"/>
      <c r="F617" s="19"/>
      <c r="G617" s="54"/>
      <c r="H617" s="19"/>
      <c r="L617"/>
    </row>
    <row r="618" spans="3:12" x14ac:dyDescent="0.3">
      <c r="C618" s="16"/>
      <c r="D618" s="57"/>
      <c r="E618" s="19"/>
      <c r="F618" s="19"/>
      <c r="G618" s="54"/>
      <c r="H618" s="19"/>
      <c r="L618"/>
    </row>
    <row r="619" spans="3:12" x14ac:dyDescent="0.3">
      <c r="C619" s="16"/>
      <c r="D619" s="57"/>
      <c r="E619" s="19"/>
      <c r="F619" s="19"/>
      <c r="G619" s="54"/>
      <c r="H619" s="19"/>
      <c r="L619"/>
    </row>
    <row r="620" spans="3:12" x14ac:dyDescent="0.3">
      <c r="C620" s="16"/>
      <c r="D620" s="57"/>
      <c r="E620" s="19"/>
      <c r="F620" s="19"/>
      <c r="G620" s="54"/>
      <c r="H620" s="19"/>
      <c r="L620"/>
    </row>
    <row r="621" spans="3:12" x14ac:dyDescent="0.3">
      <c r="C621" s="16"/>
      <c r="D621" s="57"/>
      <c r="E621" s="19"/>
      <c r="F621" s="19"/>
      <c r="G621" s="54"/>
      <c r="H621" s="19"/>
      <c r="L621"/>
    </row>
    <row r="622" spans="3:12" x14ac:dyDescent="0.3">
      <c r="C622" s="16"/>
      <c r="D622" s="57"/>
      <c r="E622" s="19"/>
      <c r="F622" s="19"/>
      <c r="G622" s="54"/>
      <c r="H622" s="19"/>
      <c r="L622"/>
    </row>
    <row r="623" spans="3:12" x14ac:dyDescent="0.3">
      <c r="C623" s="16"/>
      <c r="D623" s="57"/>
      <c r="E623" s="19"/>
      <c r="F623" s="19"/>
      <c r="G623" s="54"/>
      <c r="H623" s="19"/>
      <c r="L623"/>
    </row>
    <row r="624" spans="3:12" x14ac:dyDescent="0.3">
      <c r="C624" s="16"/>
      <c r="D624" s="57"/>
      <c r="E624" s="19"/>
      <c r="F624" s="19"/>
      <c r="G624" s="54"/>
      <c r="H624" s="19"/>
      <c r="L624"/>
    </row>
    <row r="625" spans="3:12" x14ac:dyDescent="0.3">
      <c r="C625" s="16"/>
      <c r="D625" s="57"/>
      <c r="E625" s="19"/>
      <c r="F625" s="19"/>
      <c r="G625" s="54"/>
      <c r="H625" s="19"/>
      <c r="L625"/>
    </row>
    <row r="626" spans="3:12" x14ac:dyDescent="0.3">
      <c r="C626" s="16"/>
      <c r="D626" s="57"/>
      <c r="E626" s="19"/>
      <c r="F626" s="19"/>
      <c r="G626" s="54"/>
      <c r="H626" s="19"/>
      <c r="L626"/>
    </row>
    <row r="627" spans="3:12" x14ac:dyDescent="0.3">
      <c r="C627" s="16"/>
      <c r="D627" s="57"/>
      <c r="E627" s="19"/>
      <c r="F627" s="19"/>
      <c r="G627" s="54"/>
      <c r="H627" s="19"/>
      <c r="L627"/>
    </row>
    <row r="628" spans="3:12" x14ac:dyDescent="0.3">
      <c r="C628" s="16"/>
      <c r="D628" s="57"/>
      <c r="E628" s="19"/>
      <c r="F628" s="19"/>
      <c r="G628" s="54"/>
      <c r="H628" s="19"/>
      <c r="L628"/>
    </row>
    <row r="629" spans="3:12" x14ac:dyDescent="0.3">
      <c r="C629" s="16"/>
      <c r="D629" s="57"/>
      <c r="E629" s="19"/>
      <c r="F629" s="19"/>
      <c r="G629" s="54"/>
      <c r="H629" s="19"/>
      <c r="L629"/>
    </row>
    <row r="630" spans="3:12" x14ac:dyDescent="0.3">
      <c r="C630" s="16"/>
      <c r="D630" s="57"/>
      <c r="E630" s="19"/>
      <c r="F630" s="19"/>
      <c r="G630" s="54"/>
      <c r="H630" s="19"/>
      <c r="L630"/>
    </row>
    <row r="631" spans="3:12" x14ac:dyDescent="0.3">
      <c r="C631" s="16"/>
      <c r="D631" s="57"/>
      <c r="E631" s="19"/>
      <c r="F631" s="19"/>
      <c r="G631" s="54"/>
      <c r="H631" s="19"/>
      <c r="L631"/>
    </row>
    <row r="632" spans="3:12" x14ac:dyDescent="0.3">
      <c r="C632" s="16"/>
      <c r="D632" s="57"/>
      <c r="E632" s="19"/>
      <c r="F632" s="19"/>
      <c r="G632" s="54"/>
      <c r="H632" s="19"/>
      <c r="L632"/>
    </row>
    <row r="633" spans="3:12" x14ac:dyDescent="0.3">
      <c r="C633" s="16"/>
      <c r="D633" s="57"/>
      <c r="E633" s="19"/>
      <c r="F633" s="19"/>
      <c r="G633" s="54"/>
      <c r="H633" s="19"/>
      <c r="L633"/>
    </row>
    <row r="634" spans="3:12" x14ac:dyDescent="0.3">
      <c r="C634" s="16"/>
      <c r="D634" s="57"/>
      <c r="E634" s="19"/>
      <c r="F634" s="19"/>
      <c r="G634" s="54"/>
      <c r="H634" s="19"/>
      <c r="L634"/>
    </row>
    <row r="635" spans="3:12" x14ac:dyDescent="0.3">
      <c r="C635" s="16"/>
      <c r="D635" s="57"/>
      <c r="E635" s="19"/>
      <c r="F635" s="19"/>
      <c r="G635" s="54"/>
      <c r="H635" s="19"/>
      <c r="L635"/>
    </row>
    <row r="636" spans="3:12" x14ac:dyDescent="0.3">
      <c r="C636" s="16"/>
      <c r="D636" s="57"/>
      <c r="E636" s="19"/>
      <c r="F636" s="19"/>
      <c r="G636" s="54"/>
      <c r="H636" s="19"/>
      <c r="L636"/>
    </row>
    <row r="637" spans="3:12" x14ac:dyDescent="0.3">
      <c r="C637" s="16"/>
      <c r="D637" s="57"/>
      <c r="E637" s="19"/>
      <c r="F637" s="19"/>
      <c r="G637" s="54"/>
      <c r="H637" s="19"/>
      <c r="L637"/>
    </row>
    <row r="638" spans="3:12" x14ac:dyDescent="0.3">
      <c r="C638" s="16"/>
      <c r="D638" s="57"/>
      <c r="E638" s="19"/>
      <c r="F638" s="19"/>
      <c r="G638" s="54"/>
      <c r="H638" s="19"/>
      <c r="L638"/>
    </row>
    <row r="639" spans="3:12" x14ac:dyDescent="0.3">
      <c r="C639" s="16"/>
      <c r="D639" s="57"/>
      <c r="E639" s="19"/>
      <c r="F639" s="19"/>
      <c r="G639" s="54"/>
      <c r="H639" s="19"/>
      <c r="L639"/>
    </row>
    <row r="640" spans="3:12" x14ac:dyDescent="0.3">
      <c r="C640" s="16"/>
      <c r="D640" s="57"/>
      <c r="E640" s="19"/>
      <c r="F640" s="19"/>
      <c r="G640" s="54"/>
      <c r="H640" s="19"/>
      <c r="L640"/>
    </row>
    <row r="641" spans="3:12" x14ac:dyDescent="0.3">
      <c r="C641" s="16"/>
      <c r="D641" s="57"/>
      <c r="E641" s="19"/>
      <c r="F641" s="19"/>
      <c r="G641" s="54"/>
      <c r="H641" s="19"/>
      <c r="L641"/>
    </row>
    <row r="642" spans="3:12" x14ac:dyDescent="0.3">
      <c r="C642" s="16"/>
      <c r="D642" s="57"/>
      <c r="E642" s="19"/>
      <c r="F642" s="19"/>
      <c r="G642" s="54"/>
      <c r="H642" s="19"/>
      <c r="L642"/>
    </row>
    <row r="643" spans="3:12" x14ac:dyDescent="0.3">
      <c r="C643" s="16"/>
      <c r="D643" s="57"/>
      <c r="E643" s="19"/>
      <c r="F643" s="19"/>
      <c r="G643" s="54"/>
      <c r="H643" s="19"/>
      <c r="L643"/>
    </row>
    <row r="644" spans="3:12" x14ac:dyDescent="0.3">
      <c r="C644" s="16"/>
      <c r="D644" s="57"/>
      <c r="E644" s="19"/>
      <c r="F644" s="19"/>
      <c r="G644" s="54"/>
      <c r="H644" s="19"/>
      <c r="L644"/>
    </row>
    <row r="645" spans="3:12" x14ac:dyDescent="0.3">
      <c r="C645" s="16"/>
      <c r="D645" s="57"/>
      <c r="E645" s="19"/>
      <c r="F645" s="19"/>
      <c r="G645" s="54"/>
      <c r="H645" s="19"/>
      <c r="L645"/>
    </row>
    <row r="646" spans="3:12" x14ac:dyDescent="0.3">
      <c r="C646" s="16"/>
      <c r="D646" s="57"/>
      <c r="E646" s="19"/>
      <c r="F646" s="19"/>
      <c r="G646" s="54"/>
      <c r="H646" s="19"/>
      <c r="L646"/>
    </row>
    <row r="647" spans="3:12" x14ac:dyDescent="0.3">
      <c r="C647" s="16"/>
      <c r="D647" s="57"/>
      <c r="E647" s="19"/>
      <c r="F647" s="19"/>
      <c r="G647" s="54"/>
      <c r="H647" s="19"/>
      <c r="L647"/>
    </row>
    <row r="648" spans="3:12" x14ac:dyDescent="0.3">
      <c r="C648" s="16"/>
      <c r="D648" s="57"/>
      <c r="E648" s="19"/>
      <c r="F648" s="19"/>
      <c r="G648" s="54"/>
      <c r="H648" s="19"/>
      <c r="L648"/>
    </row>
    <row r="649" spans="3:12" x14ac:dyDescent="0.3">
      <c r="C649" s="16"/>
      <c r="D649" s="57"/>
      <c r="E649" s="19"/>
      <c r="F649" s="19"/>
      <c r="G649" s="54"/>
      <c r="H649" s="19"/>
      <c r="L649"/>
    </row>
    <row r="650" spans="3:12" x14ac:dyDescent="0.3">
      <c r="C650" s="16"/>
      <c r="D650" s="57"/>
      <c r="E650" s="19"/>
      <c r="F650" s="19"/>
      <c r="G650" s="54"/>
      <c r="H650" s="19"/>
      <c r="L650"/>
    </row>
    <row r="651" spans="3:12" x14ac:dyDescent="0.3">
      <c r="C651" s="16"/>
      <c r="D651" s="57"/>
      <c r="E651" s="19"/>
      <c r="F651" s="19"/>
      <c r="G651" s="54"/>
      <c r="H651" s="19"/>
      <c r="L651"/>
    </row>
    <row r="652" spans="3:12" x14ac:dyDescent="0.3">
      <c r="C652" s="16"/>
      <c r="D652" s="57"/>
      <c r="E652" s="19"/>
      <c r="F652" s="19"/>
      <c r="G652" s="54"/>
      <c r="H652" s="19"/>
      <c r="L652"/>
    </row>
    <row r="653" spans="3:12" x14ac:dyDescent="0.3">
      <c r="C653" s="16"/>
      <c r="D653" s="57"/>
      <c r="E653" s="19"/>
      <c r="F653" s="19"/>
      <c r="G653" s="54"/>
      <c r="H653" s="19"/>
      <c r="L653"/>
    </row>
    <row r="654" spans="3:12" x14ac:dyDescent="0.3">
      <c r="C654" s="16"/>
      <c r="D654" s="57"/>
      <c r="E654" s="19"/>
      <c r="F654" s="19"/>
      <c r="G654" s="54"/>
      <c r="H654" s="19"/>
      <c r="L654"/>
    </row>
    <row r="655" spans="3:12" x14ac:dyDescent="0.3">
      <c r="C655" s="16"/>
      <c r="D655" s="57"/>
      <c r="E655" s="19"/>
      <c r="F655" s="19"/>
      <c r="G655" s="54"/>
      <c r="H655" s="19"/>
      <c r="L655"/>
    </row>
    <row r="656" spans="3:12" x14ac:dyDescent="0.3">
      <c r="C656" s="16"/>
      <c r="D656" s="57"/>
      <c r="E656" s="19"/>
      <c r="F656" s="19"/>
      <c r="G656" s="54"/>
      <c r="H656" s="19"/>
      <c r="L656"/>
    </row>
    <row r="657" spans="3:12" x14ac:dyDescent="0.3">
      <c r="C657" s="16"/>
      <c r="D657" s="57"/>
      <c r="E657" s="19"/>
      <c r="F657" s="19"/>
      <c r="G657" s="54"/>
      <c r="H657" s="19"/>
      <c r="L657"/>
    </row>
    <row r="658" spans="3:12" x14ac:dyDescent="0.3">
      <c r="C658" s="16"/>
      <c r="D658" s="57"/>
      <c r="E658" s="19"/>
      <c r="F658" s="19"/>
      <c r="G658" s="54"/>
      <c r="H658" s="19"/>
      <c r="L658"/>
    </row>
    <row r="659" spans="3:12" x14ac:dyDescent="0.3">
      <c r="C659" s="16"/>
      <c r="D659" s="57"/>
      <c r="E659" s="19"/>
      <c r="F659" s="19"/>
      <c r="G659" s="54"/>
      <c r="H659" s="19"/>
      <c r="L659"/>
    </row>
    <row r="660" spans="3:12" x14ac:dyDescent="0.3">
      <c r="C660" s="16"/>
      <c r="D660" s="57"/>
      <c r="E660" s="19"/>
      <c r="F660" s="19"/>
      <c r="G660" s="54"/>
      <c r="H660" s="19"/>
      <c r="L660"/>
    </row>
    <row r="661" spans="3:12" x14ac:dyDescent="0.3">
      <c r="C661" s="16"/>
      <c r="D661" s="57"/>
      <c r="E661" s="19"/>
      <c r="F661" s="19"/>
      <c r="G661" s="54"/>
      <c r="H661" s="19"/>
      <c r="L661"/>
    </row>
    <row r="662" spans="3:12" x14ac:dyDescent="0.3">
      <c r="C662" s="16"/>
      <c r="D662" s="57"/>
      <c r="E662" s="19"/>
      <c r="F662" s="19"/>
      <c r="G662" s="54"/>
      <c r="H662" s="19"/>
      <c r="L662"/>
    </row>
    <row r="663" spans="3:12" x14ac:dyDescent="0.3">
      <c r="C663" s="16"/>
      <c r="D663" s="57"/>
      <c r="E663" s="19"/>
      <c r="F663" s="19"/>
      <c r="G663" s="54"/>
      <c r="H663" s="19"/>
      <c r="L663"/>
    </row>
    <row r="664" spans="3:12" x14ac:dyDescent="0.3">
      <c r="C664" s="16"/>
      <c r="D664" s="57"/>
      <c r="E664" s="19"/>
      <c r="F664" s="19"/>
      <c r="G664" s="54"/>
      <c r="H664" s="19"/>
      <c r="L664"/>
    </row>
    <row r="665" spans="3:12" x14ac:dyDescent="0.3">
      <c r="C665" s="16"/>
      <c r="D665" s="57"/>
      <c r="E665" s="19"/>
      <c r="F665" s="19"/>
      <c r="G665" s="54"/>
      <c r="H665" s="19"/>
      <c r="L665"/>
    </row>
    <row r="666" spans="3:12" x14ac:dyDescent="0.3">
      <c r="C666" s="16"/>
      <c r="D666" s="57"/>
      <c r="E666" s="19"/>
      <c r="F666" s="19"/>
      <c r="G666" s="54"/>
      <c r="H666" s="19"/>
      <c r="L666"/>
    </row>
    <row r="667" spans="3:12" x14ac:dyDescent="0.3">
      <c r="C667" s="16"/>
      <c r="D667" s="57"/>
      <c r="E667" s="19"/>
      <c r="F667" s="19"/>
      <c r="G667" s="54"/>
      <c r="H667" s="19"/>
      <c r="L667"/>
    </row>
    <row r="668" spans="3:12" x14ac:dyDescent="0.3">
      <c r="C668" s="16"/>
      <c r="D668" s="57"/>
      <c r="E668" s="19"/>
      <c r="F668" s="19"/>
      <c r="G668" s="54"/>
      <c r="H668" s="19"/>
      <c r="L668"/>
    </row>
    <row r="669" spans="3:12" x14ac:dyDescent="0.3">
      <c r="C669" s="16"/>
      <c r="D669" s="57"/>
      <c r="E669" s="19"/>
      <c r="F669" s="19"/>
      <c r="G669" s="54"/>
      <c r="H669" s="19"/>
      <c r="L669"/>
    </row>
    <row r="670" spans="3:12" x14ac:dyDescent="0.3">
      <c r="C670" s="16"/>
      <c r="D670" s="57"/>
      <c r="E670" s="19"/>
      <c r="F670" s="19"/>
      <c r="G670" s="54"/>
      <c r="H670" s="19"/>
      <c r="L670"/>
    </row>
    <row r="671" spans="3:12" x14ac:dyDescent="0.3">
      <c r="C671" s="16"/>
      <c r="D671" s="57"/>
      <c r="E671" s="19"/>
      <c r="F671" s="19"/>
      <c r="G671" s="54"/>
      <c r="H671" s="19"/>
      <c r="L671"/>
    </row>
    <row r="672" spans="3:12" x14ac:dyDescent="0.3">
      <c r="C672" s="16"/>
      <c r="D672" s="57"/>
      <c r="E672" s="19"/>
      <c r="F672" s="19"/>
      <c r="G672" s="54"/>
      <c r="H672" s="19"/>
      <c r="L672"/>
    </row>
    <row r="673" spans="3:12" x14ac:dyDescent="0.3">
      <c r="C673" s="16"/>
      <c r="D673" s="57"/>
      <c r="E673" s="19"/>
      <c r="F673" s="19"/>
      <c r="G673" s="54"/>
      <c r="H673" s="19"/>
      <c r="L673"/>
    </row>
    <row r="674" spans="3:12" x14ac:dyDescent="0.3">
      <c r="C674" s="16"/>
      <c r="D674" s="57"/>
      <c r="E674" s="19"/>
      <c r="F674" s="19"/>
      <c r="G674" s="54"/>
      <c r="H674" s="19"/>
      <c r="L674"/>
    </row>
    <row r="675" spans="3:12" x14ac:dyDescent="0.3">
      <c r="C675" s="16"/>
      <c r="D675" s="57"/>
      <c r="E675" s="19"/>
      <c r="F675" s="19"/>
      <c r="G675" s="54"/>
      <c r="H675" s="19"/>
      <c r="L675"/>
    </row>
    <row r="676" spans="3:12" x14ac:dyDescent="0.3">
      <c r="C676" s="16"/>
      <c r="D676" s="57"/>
      <c r="E676" s="19"/>
      <c r="F676" s="19"/>
      <c r="G676" s="54"/>
      <c r="H676" s="19"/>
      <c r="L676"/>
    </row>
    <row r="677" spans="3:12" x14ac:dyDescent="0.3">
      <c r="C677" s="16"/>
      <c r="D677" s="57"/>
      <c r="E677" s="19"/>
      <c r="F677" s="19"/>
      <c r="G677" s="54"/>
      <c r="H677" s="19"/>
      <c r="L677"/>
    </row>
    <row r="678" spans="3:12" x14ac:dyDescent="0.3">
      <c r="C678" s="16"/>
      <c r="D678" s="57"/>
      <c r="E678" s="19"/>
      <c r="F678" s="19"/>
      <c r="G678" s="54"/>
      <c r="H678" s="19"/>
      <c r="L678"/>
    </row>
    <row r="679" spans="3:12" x14ac:dyDescent="0.3">
      <c r="C679" s="16"/>
      <c r="D679" s="57"/>
      <c r="E679" s="19"/>
      <c r="F679" s="19"/>
      <c r="G679" s="54"/>
      <c r="H679" s="19"/>
      <c r="L679"/>
    </row>
    <row r="680" spans="3:12" x14ac:dyDescent="0.3">
      <c r="C680" s="16"/>
      <c r="D680" s="57"/>
      <c r="E680" s="19"/>
      <c r="F680" s="19"/>
      <c r="G680" s="54"/>
      <c r="H680" s="19"/>
      <c r="L680"/>
    </row>
    <row r="681" spans="3:12" x14ac:dyDescent="0.3">
      <c r="C681" s="16"/>
      <c r="D681" s="57"/>
      <c r="E681" s="19"/>
      <c r="F681" s="19"/>
      <c r="G681" s="54"/>
      <c r="H681" s="19"/>
      <c r="L681"/>
    </row>
    <row r="682" spans="3:12" x14ac:dyDescent="0.3">
      <c r="C682" s="16"/>
      <c r="D682" s="57"/>
      <c r="E682" s="19"/>
      <c r="F682" s="19"/>
      <c r="G682" s="54"/>
      <c r="H682" s="19"/>
      <c r="L682"/>
    </row>
    <row r="683" spans="3:12" x14ac:dyDescent="0.3">
      <c r="C683" s="16"/>
      <c r="D683" s="57"/>
      <c r="E683" s="19"/>
      <c r="F683" s="19"/>
      <c r="G683" s="54"/>
      <c r="H683" s="19"/>
      <c r="L683"/>
    </row>
    <row r="684" spans="3:12" x14ac:dyDescent="0.3">
      <c r="C684" s="16"/>
      <c r="D684" s="57"/>
      <c r="E684" s="19"/>
      <c r="F684" s="19"/>
      <c r="G684" s="54"/>
      <c r="H684" s="19"/>
      <c r="L684"/>
    </row>
    <row r="685" spans="3:12" x14ac:dyDescent="0.3">
      <c r="C685" s="16"/>
      <c r="D685" s="57"/>
      <c r="E685" s="19"/>
      <c r="F685" s="19"/>
      <c r="G685" s="54"/>
      <c r="H685" s="19"/>
      <c r="L685"/>
    </row>
    <row r="686" spans="3:12" x14ac:dyDescent="0.3">
      <c r="C686" s="16"/>
      <c r="D686" s="57"/>
      <c r="E686" s="19"/>
      <c r="F686" s="19"/>
      <c r="G686" s="54"/>
      <c r="H686" s="19"/>
      <c r="L686"/>
    </row>
    <row r="687" spans="3:12" x14ac:dyDescent="0.3">
      <c r="C687" s="16"/>
      <c r="D687" s="57"/>
      <c r="E687" s="19"/>
      <c r="F687" s="19"/>
      <c r="G687" s="54"/>
      <c r="H687" s="19"/>
      <c r="L687"/>
    </row>
    <row r="688" spans="3:12" x14ac:dyDescent="0.3">
      <c r="C688" s="16"/>
      <c r="D688" s="57"/>
      <c r="E688" s="19"/>
      <c r="F688" s="19"/>
      <c r="G688" s="54"/>
      <c r="H688" s="19"/>
      <c r="L688"/>
    </row>
    <row r="689" spans="3:12" x14ac:dyDescent="0.3">
      <c r="C689" s="16"/>
      <c r="D689" s="57"/>
      <c r="E689" s="19"/>
      <c r="F689" s="19"/>
      <c r="G689" s="54"/>
      <c r="H689" s="19"/>
      <c r="L689"/>
    </row>
    <row r="690" spans="3:12" x14ac:dyDescent="0.3">
      <c r="C690" s="16"/>
      <c r="D690" s="57"/>
      <c r="E690" s="19"/>
      <c r="F690" s="19"/>
      <c r="G690" s="54"/>
      <c r="H690" s="19"/>
      <c r="L690"/>
    </row>
    <row r="691" spans="3:12" x14ac:dyDescent="0.3">
      <c r="C691" s="16"/>
      <c r="D691" s="57"/>
      <c r="E691" s="19"/>
      <c r="F691" s="19"/>
      <c r="G691" s="54"/>
      <c r="H691" s="19"/>
      <c r="L691"/>
    </row>
    <row r="692" spans="3:12" x14ac:dyDescent="0.3">
      <c r="C692" s="16"/>
      <c r="D692" s="57"/>
      <c r="E692" s="19"/>
      <c r="F692" s="19"/>
      <c r="G692" s="54"/>
      <c r="H692" s="19"/>
      <c r="L692"/>
    </row>
    <row r="693" spans="3:12" x14ac:dyDescent="0.3">
      <c r="C693" s="16"/>
      <c r="D693" s="57"/>
      <c r="E693" s="19"/>
      <c r="F693" s="19"/>
      <c r="G693" s="54"/>
      <c r="H693" s="19"/>
      <c r="L693"/>
    </row>
    <row r="694" spans="3:12" x14ac:dyDescent="0.3">
      <c r="C694" s="16"/>
      <c r="D694" s="57"/>
      <c r="E694" s="19"/>
      <c r="F694" s="19"/>
      <c r="G694" s="54"/>
      <c r="H694" s="19"/>
      <c r="L694"/>
    </row>
    <row r="695" spans="3:12" x14ac:dyDescent="0.3">
      <c r="C695" s="16"/>
      <c r="D695" s="57"/>
      <c r="E695" s="19"/>
      <c r="F695" s="19"/>
      <c r="G695" s="54"/>
      <c r="H695" s="19"/>
      <c r="L695"/>
    </row>
    <row r="696" spans="3:12" x14ac:dyDescent="0.3">
      <c r="C696" s="16"/>
      <c r="D696" s="57"/>
      <c r="E696" s="19"/>
      <c r="F696" s="19"/>
      <c r="G696" s="54"/>
      <c r="H696" s="19"/>
      <c r="L696"/>
    </row>
    <row r="697" spans="3:12" x14ac:dyDescent="0.3">
      <c r="C697" s="16"/>
      <c r="D697" s="57"/>
      <c r="E697" s="19"/>
      <c r="F697" s="19"/>
      <c r="G697" s="54"/>
      <c r="H697" s="19"/>
      <c r="L697"/>
    </row>
    <row r="698" spans="3:12" x14ac:dyDescent="0.3">
      <c r="C698" s="16"/>
      <c r="D698" s="57"/>
      <c r="E698" s="19"/>
      <c r="F698" s="19"/>
      <c r="G698" s="54"/>
      <c r="H698" s="19"/>
      <c r="L698"/>
    </row>
    <row r="699" spans="3:12" x14ac:dyDescent="0.3">
      <c r="C699" s="16"/>
      <c r="D699" s="57"/>
      <c r="E699" s="19"/>
      <c r="F699" s="19"/>
      <c r="G699" s="54"/>
      <c r="H699" s="19"/>
      <c r="L699"/>
    </row>
    <row r="700" spans="3:12" x14ac:dyDescent="0.3">
      <c r="C700" s="16"/>
      <c r="D700" s="57"/>
      <c r="E700" s="19"/>
      <c r="F700" s="19"/>
      <c r="G700" s="54"/>
      <c r="H700" s="19"/>
      <c r="L700"/>
    </row>
    <row r="701" spans="3:12" x14ac:dyDescent="0.3">
      <c r="C701" s="16"/>
      <c r="D701" s="57"/>
      <c r="E701" s="19"/>
      <c r="F701" s="19"/>
      <c r="G701" s="54"/>
      <c r="H701" s="19"/>
      <c r="L701"/>
    </row>
    <row r="702" spans="3:12" x14ac:dyDescent="0.3">
      <c r="C702" s="16"/>
      <c r="D702" s="57"/>
      <c r="E702" s="19"/>
      <c r="F702" s="19"/>
      <c r="G702" s="54"/>
      <c r="H702" s="19"/>
      <c r="L702"/>
    </row>
    <row r="703" spans="3:12" x14ac:dyDescent="0.3">
      <c r="C703" s="16"/>
      <c r="D703" s="57"/>
      <c r="E703" s="19"/>
      <c r="F703" s="19"/>
      <c r="G703" s="54"/>
      <c r="H703" s="19"/>
      <c r="L703"/>
    </row>
    <row r="704" spans="3:12" x14ac:dyDescent="0.3">
      <c r="C704" s="16"/>
      <c r="D704" s="57"/>
      <c r="E704" s="19"/>
      <c r="F704" s="19"/>
      <c r="G704" s="54"/>
      <c r="H704" s="19"/>
      <c r="L704"/>
    </row>
    <row r="705" spans="3:12" x14ac:dyDescent="0.3">
      <c r="C705" s="16"/>
      <c r="D705" s="57"/>
      <c r="E705" s="19"/>
      <c r="F705" s="19"/>
      <c r="G705" s="54"/>
      <c r="H705" s="19"/>
      <c r="L705"/>
    </row>
    <row r="706" spans="3:12" x14ac:dyDescent="0.3">
      <c r="C706" s="16"/>
      <c r="D706" s="57"/>
      <c r="E706" s="19"/>
      <c r="F706" s="19"/>
      <c r="G706" s="54"/>
      <c r="H706" s="19"/>
      <c r="L706"/>
    </row>
    <row r="707" spans="3:12" x14ac:dyDescent="0.3">
      <c r="C707" s="16"/>
      <c r="D707" s="57"/>
      <c r="E707" s="19"/>
      <c r="F707" s="19"/>
      <c r="G707" s="54"/>
      <c r="H707" s="19"/>
      <c r="L707"/>
    </row>
    <row r="708" spans="3:12" x14ac:dyDescent="0.3">
      <c r="C708" s="16"/>
      <c r="D708" s="57"/>
      <c r="E708" s="19"/>
      <c r="F708" s="19"/>
      <c r="G708" s="54"/>
      <c r="H708" s="19"/>
      <c r="L708"/>
    </row>
    <row r="709" spans="3:12" x14ac:dyDescent="0.3">
      <c r="C709" s="16"/>
      <c r="D709" s="57"/>
      <c r="E709" s="19"/>
      <c r="F709" s="19"/>
      <c r="G709" s="54"/>
      <c r="H709" s="19"/>
      <c r="L709"/>
    </row>
    <row r="710" spans="3:12" x14ac:dyDescent="0.3">
      <c r="C710" s="16"/>
      <c r="D710" s="57"/>
      <c r="E710" s="19"/>
      <c r="F710" s="19"/>
      <c r="G710" s="54"/>
      <c r="H710" s="19"/>
      <c r="L710"/>
    </row>
    <row r="711" spans="3:12" x14ac:dyDescent="0.3">
      <c r="C711" s="16"/>
      <c r="D711" s="57"/>
      <c r="E711" s="19"/>
      <c r="F711" s="19"/>
      <c r="G711" s="54"/>
      <c r="H711" s="19"/>
      <c r="L711"/>
    </row>
    <row r="712" spans="3:12" x14ac:dyDescent="0.3">
      <c r="C712" s="16"/>
      <c r="D712" s="57"/>
      <c r="E712" s="19"/>
      <c r="F712" s="19"/>
      <c r="G712" s="54"/>
      <c r="H712" s="19"/>
      <c r="L712"/>
    </row>
    <row r="713" spans="3:12" x14ac:dyDescent="0.3">
      <c r="C713" s="16"/>
      <c r="D713" s="57"/>
      <c r="E713" s="19"/>
      <c r="F713" s="19"/>
      <c r="G713" s="54"/>
      <c r="H713" s="19"/>
      <c r="L713"/>
    </row>
    <row r="714" spans="3:12" x14ac:dyDescent="0.3">
      <c r="C714" s="16"/>
      <c r="D714" s="57"/>
      <c r="E714" s="19"/>
      <c r="F714" s="19"/>
      <c r="G714" s="54"/>
      <c r="H714" s="19"/>
      <c r="L714"/>
    </row>
    <row r="715" spans="3:12" x14ac:dyDescent="0.3">
      <c r="C715" s="16"/>
      <c r="D715" s="57"/>
      <c r="E715" s="19"/>
      <c r="F715" s="19"/>
      <c r="G715" s="54"/>
      <c r="H715" s="19"/>
      <c r="L715"/>
    </row>
    <row r="716" spans="3:12" x14ac:dyDescent="0.3">
      <c r="C716" s="16"/>
      <c r="D716" s="57"/>
      <c r="E716" s="19"/>
      <c r="F716" s="19"/>
      <c r="G716" s="54"/>
      <c r="H716" s="19"/>
      <c r="L716"/>
    </row>
    <row r="717" spans="3:12" x14ac:dyDescent="0.3">
      <c r="C717" s="16"/>
      <c r="D717" s="57"/>
      <c r="E717" s="19"/>
      <c r="F717" s="19"/>
      <c r="G717" s="54"/>
      <c r="H717" s="19"/>
      <c r="L717"/>
    </row>
    <row r="718" spans="3:12" x14ac:dyDescent="0.3">
      <c r="C718" s="16"/>
      <c r="D718" s="57"/>
      <c r="E718" s="19"/>
      <c r="F718" s="19"/>
      <c r="G718" s="54"/>
      <c r="H718" s="19"/>
      <c r="L718"/>
    </row>
    <row r="719" spans="3:12" x14ac:dyDescent="0.3">
      <c r="C719" s="16"/>
      <c r="D719" s="57"/>
      <c r="E719" s="19"/>
      <c r="F719" s="19"/>
      <c r="G719" s="54"/>
      <c r="H719" s="19"/>
      <c r="L719"/>
    </row>
    <row r="720" spans="3:12" x14ac:dyDescent="0.3">
      <c r="C720" s="16"/>
      <c r="D720" s="57"/>
      <c r="E720" s="19"/>
      <c r="F720" s="19"/>
      <c r="G720" s="54"/>
      <c r="H720" s="19"/>
      <c r="L720"/>
    </row>
    <row r="721" spans="3:12" x14ac:dyDescent="0.3">
      <c r="C721" s="16"/>
      <c r="D721" s="57"/>
      <c r="E721" s="19"/>
      <c r="F721" s="19"/>
      <c r="G721" s="54"/>
      <c r="H721" s="19"/>
      <c r="L721"/>
    </row>
    <row r="722" spans="3:12" x14ac:dyDescent="0.3">
      <c r="C722" s="16"/>
      <c r="D722" s="57"/>
      <c r="E722" s="19"/>
      <c r="F722" s="19"/>
      <c r="G722" s="54"/>
      <c r="H722" s="19"/>
      <c r="L722"/>
    </row>
    <row r="723" spans="3:12" x14ac:dyDescent="0.3">
      <c r="C723" s="16"/>
      <c r="D723" s="57"/>
      <c r="E723" s="19"/>
      <c r="F723" s="19"/>
      <c r="G723" s="54"/>
      <c r="H723" s="19"/>
      <c r="L723"/>
    </row>
    <row r="724" spans="3:12" x14ac:dyDescent="0.3">
      <c r="C724" s="16"/>
      <c r="D724" s="57"/>
      <c r="E724" s="19"/>
      <c r="F724" s="19"/>
      <c r="G724" s="54"/>
      <c r="H724" s="19"/>
      <c r="L724"/>
    </row>
    <row r="725" spans="3:12" x14ac:dyDescent="0.3">
      <c r="C725" s="16"/>
      <c r="D725" s="57"/>
      <c r="E725" s="19"/>
      <c r="F725" s="19"/>
      <c r="G725" s="54"/>
      <c r="H725" s="19"/>
      <c r="L725"/>
    </row>
    <row r="726" spans="3:12" x14ac:dyDescent="0.3">
      <c r="C726" s="16"/>
      <c r="D726" s="57"/>
      <c r="E726" s="19"/>
      <c r="F726" s="19"/>
      <c r="G726" s="54"/>
      <c r="H726" s="19"/>
      <c r="L726"/>
    </row>
    <row r="727" spans="3:12" x14ac:dyDescent="0.3">
      <c r="C727" s="16"/>
      <c r="D727" s="57"/>
      <c r="E727" s="19"/>
      <c r="F727" s="19"/>
      <c r="G727" s="54"/>
      <c r="H727" s="19"/>
      <c r="L727"/>
    </row>
    <row r="728" spans="3:12" x14ac:dyDescent="0.3">
      <c r="C728" s="16"/>
      <c r="D728" s="57"/>
      <c r="E728" s="19"/>
      <c r="F728" s="19"/>
      <c r="G728" s="54"/>
      <c r="H728" s="19"/>
      <c r="L728"/>
    </row>
    <row r="729" spans="3:12" x14ac:dyDescent="0.3">
      <c r="C729" s="16"/>
      <c r="D729" s="57"/>
      <c r="E729" s="19"/>
      <c r="F729" s="19"/>
      <c r="G729" s="54"/>
      <c r="H729" s="19"/>
      <c r="L729"/>
    </row>
    <row r="730" spans="3:12" x14ac:dyDescent="0.3">
      <c r="C730" s="16"/>
      <c r="D730" s="57"/>
      <c r="E730" s="19"/>
      <c r="F730" s="19"/>
      <c r="G730" s="54"/>
      <c r="H730" s="19"/>
      <c r="L730"/>
    </row>
    <row r="731" spans="3:12" x14ac:dyDescent="0.3">
      <c r="C731" s="16"/>
      <c r="D731" s="57"/>
      <c r="E731" s="19"/>
      <c r="F731" s="19"/>
      <c r="G731" s="54"/>
      <c r="H731" s="19"/>
      <c r="L731"/>
    </row>
    <row r="732" spans="3:12" x14ac:dyDescent="0.3">
      <c r="C732" s="16"/>
      <c r="D732" s="57"/>
      <c r="E732" s="19"/>
      <c r="F732" s="19"/>
      <c r="G732" s="54"/>
      <c r="H732" s="19"/>
      <c r="L732"/>
    </row>
    <row r="733" spans="3:12" x14ac:dyDescent="0.3">
      <c r="C733" s="16"/>
      <c r="D733" s="57"/>
      <c r="E733" s="19"/>
      <c r="F733" s="19"/>
      <c r="G733" s="54"/>
      <c r="H733" s="19"/>
      <c r="L733"/>
    </row>
    <row r="734" spans="3:12" x14ac:dyDescent="0.3">
      <c r="C734" s="16"/>
      <c r="D734" s="57"/>
      <c r="E734" s="19"/>
      <c r="F734" s="19"/>
      <c r="G734" s="54"/>
      <c r="H734" s="19"/>
      <c r="L734"/>
    </row>
    <row r="735" spans="3:12" x14ac:dyDescent="0.3">
      <c r="C735" s="16"/>
      <c r="D735" s="57"/>
      <c r="E735" s="19"/>
      <c r="F735" s="19"/>
      <c r="G735" s="54"/>
      <c r="H735" s="19"/>
      <c r="L735"/>
    </row>
    <row r="736" spans="3:12" x14ac:dyDescent="0.3">
      <c r="C736" s="16"/>
      <c r="D736" s="57"/>
      <c r="E736" s="19"/>
      <c r="F736" s="19"/>
      <c r="G736" s="54"/>
      <c r="H736" s="19"/>
      <c r="L736"/>
    </row>
    <row r="737" spans="3:12" x14ac:dyDescent="0.3">
      <c r="C737" s="16"/>
      <c r="D737" s="57"/>
      <c r="E737" s="19"/>
      <c r="F737" s="19"/>
      <c r="G737" s="54"/>
      <c r="H737" s="19"/>
      <c r="L737"/>
    </row>
    <row r="738" spans="3:12" x14ac:dyDescent="0.3">
      <c r="C738" s="16"/>
      <c r="D738" s="57"/>
      <c r="E738" s="19"/>
      <c r="F738" s="19"/>
      <c r="G738" s="54"/>
      <c r="H738" s="19"/>
      <c r="L738"/>
    </row>
    <row r="739" spans="3:12" x14ac:dyDescent="0.3">
      <c r="C739" s="16"/>
      <c r="D739" s="57"/>
      <c r="E739" s="19"/>
      <c r="F739" s="19"/>
      <c r="G739" s="54"/>
      <c r="H739" s="19"/>
      <c r="L739"/>
    </row>
    <row r="740" spans="3:12" x14ac:dyDescent="0.3">
      <c r="C740" s="16"/>
      <c r="D740" s="57"/>
      <c r="E740" s="19"/>
      <c r="F740" s="19"/>
      <c r="G740" s="54"/>
      <c r="H740" s="19"/>
      <c r="L740"/>
    </row>
    <row r="741" spans="3:12" x14ac:dyDescent="0.3">
      <c r="C741" s="16"/>
      <c r="D741" s="57"/>
      <c r="E741" s="19"/>
      <c r="F741" s="19"/>
      <c r="G741" s="54"/>
      <c r="H741" s="19"/>
      <c r="L741"/>
    </row>
    <row r="742" spans="3:12" x14ac:dyDescent="0.3">
      <c r="C742" s="16"/>
      <c r="D742" s="57"/>
      <c r="E742" s="19"/>
      <c r="F742" s="19"/>
      <c r="G742" s="54"/>
      <c r="H742" s="19"/>
      <c r="L742"/>
    </row>
    <row r="743" spans="3:12" x14ac:dyDescent="0.3">
      <c r="C743" s="16"/>
      <c r="D743" s="57"/>
      <c r="E743" s="19"/>
      <c r="F743" s="19"/>
      <c r="G743" s="54"/>
      <c r="H743" s="19"/>
      <c r="L743"/>
    </row>
    <row r="744" spans="3:12" x14ac:dyDescent="0.3">
      <c r="C744" s="16"/>
      <c r="D744" s="57"/>
      <c r="E744" s="19"/>
      <c r="F744" s="19"/>
      <c r="G744" s="54"/>
      <c r="H744" s="19"/>
      <c r="L744"/>
    </row>
    <row r="745" spans="3:12" x14ac:dyDescent="0.3">
      <c r="C745" s="16"/>
      <c r="D745" s="57"/>
      <c r="E745" s="19"/>
      <c r="F745" s="19"/>
      <c r="G745" s="54"/>
      <c r="H745" s="19"/>
      <c r="L745"/>
    </row>
    <row r="746" spans="3:12" x14ac:dyDescent="0.3">
      <c r="C746" s="16"/>
      <c r="D746" s="57"/>
      <c r="E746" s="19"/>
      <c r="F746" s="19"/>
      <c r="G746" s="54"/>
      <c r="H746" s="19"/>
      <c r="L746"/>
    </row>
    <row r="747" spans="3:12" x14ac:dyDescent="0.3">
      <c r="C747" s="16"/>
      <c r="D747" s="57"/>
      <c r="E747" s="19"/>
      <c r="F747" s="19"/>
      <c r="G747" s="54"/>
      <c r="H747" s="19"/>
      <c r="L747"/>
    </row>
    <row r="748" spans="3:12" x14ac:dyDescent="0.3">
      <c r="C748" s="16"/>
      <c r="D748" s="57"/>
      <c r="E748" s="19"/>
      <c r="F748" s="19"/>
      <c r="G748" s="54"/>
      <c r="H748" s="19"/>
      <c r="L748"/>
    </row>
    <row r="749" spans="3:12" x14ac:dyDescent="0.3">
      <c r="C749" s="16"/>
      <c r="D749" s="57"/>
      <c r="E749" s="19"/>
      <c r="F749" s="19"/>
      <c r="G749" s="54"/>
      <c r="H749" s="19"/>
      <c r="L749"/>
    </row>
    <row r="750" spans="3:12" x14ac:dyDescent="0.3">
      <c r="C750" s="16"/>
      <c r="D750" s="57"/>
      <c r="E750" s="19"/>
      <c r="F750" s="19"/>
      <c r="G750" s="54"/>
      <c r="H750" s="19"/>
      <c r="L750"/>
    </row>
    <row r="751" spans="3:12" x14ac:dyDescent="0.3">
      <c r="C751" s="16"/>
      <c r="D751" s="57"/>
      <c r="E751" s="19"/>
      <c r="F751" s="19"/>
      <c r="G751" s="54"/>
      <c r="H751" s="19"/>
      <c r="L751"/>
    </row>
    <row r="752" spans="3:12" x14ac:dyDescent="0.3">
      <c r="C752" s="16"/>
      <c r="D752" s="57"/>
      <c r="E752" s="19"/>
      <c r="F752" s="19"/>
      <c r="G752" s="54"/>
      <c r="H752" s="19"/>
      <c r="L752"/>
    </row>
    <row r="753" spans="3:12" x14ac:dyDescent="0.3">
      <c r="C753" s="16"/>
      <c r="D753" s="57"/>
      <c r="E753" s="19"/>
      <c r="F753" s="19"/>
      <c r="G753" s="54"/>
      <c r="H753" s="19"/>
      <c r="L753"/>
    </row>
    <row r="754" spans="3:12" x14ac:dyDescent="0.3">
      <c r="C754" s="16"/>
      <c r="D754" s="57"/>
      <c r="E754" s="19"/>
      <c r="F754" s="19"/>
      <c r="G754" s="54"/>
      <c r="H754" s="19"/>
      <c r="L754"/>
    </row>
    <row r="755" spans="3:12" x14ac:dyDescent="0.3">
      <c r="C755" s="16"/>
      <c r="D755" s="57"/>
      <c r="E755" s="19"/>
      <c r="F755" s="19"/>
      <c r="G755" s="54"/>
      <c r="H755" s="19"/>
      <c r="L755"/>
    </row>
    <row r="756" spans="3:12" x14ac:dyDescent="0.3">
      <c r="C756" s="16"/>
      <c r="D756" s="57"/>
      <c r="E756" s="19"/>
      <c r="F756" s="19"/>
      <c r="G756" s="54"/>
      <c r="H756" s="19"/>
      <c r="L756"/>
    </row>
    <row r="757" spans="3:12" x14ac:dyDescent="0.3">
      <c r="C757" s="16"/>
      <c r="D757" s="57"/>
      <c r="E757" s="19"/>
      <c r="F757" s="19"/>
      <c r="G757" s="54"/>
      <c r="H757" s="19"/>
      <c r="L757"/>
    </row>
    <row r="758" spans="3:12" x14ac:dyDescent="0.3">
      <c r="C758" s="16"/>
      <c r="D758" s="57"/>
      <c r="E758" s="19"/>
      <c r="F758" s="19"/>
      <c r="G758" s="54"/>
      <c r="H758" s="19"/>
      <c r="L758"/>
    </row>
    <row r="759" spans="3:12" x14ac:dyDescent="0.3">
      <c r="C759" s="16"/>
      <c r="D759" s="57"/>
      <c r="E759" s="19"/>
      <c r="F759" s="19"/>
      <c r="G759" s="54"/>
      <c r="H759" s="19"/>
      <c r="L759"/>
    </row>
    <row r="760" spans="3:12" x14ac:dyDescent="0.3">
      <c r="C760" s="16"/>
      <c r="D760" s="57"/>
      <c r="E760" s="19"/>
      <c r="F760" s="19"/>
      <c r="G760" s="54"/>
      <c r="H760" s="19"/>
      <c r="L760"/>
    </row>
    <row r="761" spans="3:12" x14ac:dyDescent="0.3">
      <c r="C761" s="16"/>
      <c r="D761" s="57"/>
      <c r="E761" s="19"/>
      <c r="F761" s="19"/>
      <c r="G761" s="54"/>
      <c r="H761" s="19"/>
      <c r="L761"/>
    </row>
    <row r="762" spans="3:12" x14ac:dyDescent="0.3">
      <c r="C762" s="16"/>
      <c r="D762" s="57"/>
      <c r="E762" s="19"/>
      <c r="F762" s="19"/>
      <c r="G762" s="54"/>
      <c r="H762" s="19"/>
      <c r="L762"/>
    </row>
    <row r="763" spans="3:12" x14ac:dyDescent="0.3">
      <c r="C763" s="16"/>
      <c r="D763" s="57"/>
      <c r="E763" s="19"/>
      <c r="F763" s="19"/>
      <c r="G763" s="54"/>
      <c r="H763" s="19"/>
      <c r="L763"/>
    </row>
    <row r="764" spans="3:12" x14ac:dyDescent="0.3">
      <c r="C764" s="16"/>
      <c r="D764" s="57"/>
      <c r="E764" s="19"/>
      <c r="F764" s="19"/>
      <c r="G764" s="54"/>
      <c r="H764" s="19"/>
      <c r="L764"/>
    </row>
    <row r="765" spans="3:12" x14ac:dyDescent="0.3">
      <c r="C765" s="16"/>
      <c r="D765" s="57"/>
      <c r="E765" s="19"/>
      <c r="F765" s="19"/>
      <c r="G765" s="54"/>
      <c r="H765" s="19"/>
      <c r="L765"/>
    </row>
    <row r="766" spans="3:12" x14ac:dyDescent="0.3">
      <c r="C766" s="16"/>
      <c r="D766" s="57"/>
      <c r="E766" s="19"/>
      <c r="F766" s="19"/>
      <c r="G766" s="54"/>
      <c r="H766" s="19"/>
      <c r="L766"/>
    </row>
    <row r="767" spans="3:12" x14ac:dyDescent="0.3">
      <c r="C767" s="16"/>
      <c r="D767" s="57"/>
      <c r="E767" s="19"/>
      <c r="F767" s="19"/>
      <c r="G767" s="54"/>
      <c r="H767" s="19"/>
      <c r="L767"/>
    </row>
    <row r="768" spans="3:12" x14ac:dyDescent="0.3">
      <c r="C768" s="16"/>
      <c r="D768" s="57"/>
      <c r="E768" s="19"/>
      <c r="F768" s="19"/>
      <c r="G768" s="54"/>
      <c r="H768" s="19"/>
      <c r="L768"/>
    </row>
    <row r="769" spans="3:12" x14ac:dyDescent="0.3">
      <c r="C769" s="16"/>
      <c r="D769" s="57"/>
      <c r="E769" s="19"/>
      <c r="F769" s="19"/>
      <c r="G769" s="54"/>
      <c r="H769" s="19"/>
      <c r="L769"/>
    </row>
    <row r="770" spans="3:12" x14ac:dyDescent="0.3">
      <c r="C770" s="16"/>
      <c r="D770" s="57"/>
      <c r="E770" s="19"/>
      <c r="F770" s="19"/>
      <c r="G770" s="54"/>
      <c r="H770" s="19"/>
      <c r="L770"/>
    </row>
    <row r="771" spans="3:12" x14ac:dyDescent="0.3">
      <c r="C771" s="16"/>
      <c r="D771" s="57"/>
      <c r="E771" s="19"/>
      <c r="F771" s="19"/>
      <c r="G771" s="54"/>
      <c r="H771" s="19"/>
      <c r="L771"/>
    </row>
    <row r="772" spans="3:12" x14ac:dyDescent="0.3">
      <c r="C772" s="16"/>
      <c r="D772" s="57"/>
      <c r="E772" s="19"/>
      <c r="F772" s="19"/>
      <c r="G772" s="54"/>
      <c r="H772" s="19"/>
      <c r="L772"/>
    </row>
    <row r="773" spans="3:12" x14ac:dyDescent="0.3">
      <c r="C773" s="16"/>
      <c r="D773" s="57"/>
      <c r="E773" s="19"/>
      <c r="F773" s="19"/>
      <c r="G773" s="54"/>
      <c r="H773" s="19"/>
      <c r="L773"/>
    </row>
    <row r="774" spans="3:12" x14ac:dyDescent="0.3">
      <c r="C774" s="16"/>
      <c r="D774" s="57"/>
      <c r="E774" s="19"/>
      <c r="F774" s="19"/>
      <c r="G774" s="54"/>
      <c r="H774" s="19"/>
      <c r="L774"/>
    </row>
    <row r="775" spans="3:12" x14ac:dyDescent="0.3">
      <c r="C775" s="16"/>
      <c r="D775" s="57"/>
      <c r="E775" s="19"/>
      <c r="F775" s="19"/>
      <c r="G775" s="54"/>
      <c r="H775" s="19"/>
      <c r="L775"/>
    </row>
    <row r="776" spans="3:12" x14ac:dyDescent="0.3">
      <c r="C776" s="16"/>
      <c r="D776" s="57"/>
      <c r="E776" s="19"/>
      <c r="F776" s="19"/>
      <c r="G776" s="54"/>
      <c r="H776" s="19"/>
      <c r="L776"/>
    </row>
    <row r="777" spans="3:12" x14ac:dyDescent="0.3">
      <c r="C777" s="16"/>
      <c r="D777" s="57"/>
      <c r="E777" s="19"/>
      <c r="F777" s="19"/>
      <c r="G777" s="54"/>
      <c r="H777" s="19"/>
      <c r="L777"/>
    </row>
    <row r="778" spans="3:12" x14ac:dyDescent="0.3">
      <c r="C778" s="16"/>
      <c r="D778" s="57"/>
      <c r="E778" s="19"/>
      <c r="F778" s="19"/>
      <c r="G778" s="54"/>
      <c r="H778" s="19"/>
      <c r="L778"/>
    </row>
    <row r="779" spans="3:12" x14ac:dyDescent="0.3">
      <c r="C779" s="16"/>
      <c r="D779" s="57"/>
      <c r="E779" s="19"/>
      <c r="F779" s="19"/>
      <c r="G779" s="54"/>
      <c r="H779" s="19"/>
      <c r="L779"/>
    </row>
    <row r="780" spans="3:12" x14ac:dyDescent="0.3">
      <c r="C780" s="16"/>
      <c r="D780" s="57"/>
      <c r="E780" s="19"/>
      <c r="F780" s="19"/>
      <c r="G780" s="54"/>
      <c r="H780" s="19"/>
      <c r="L780"/>
    </row>
    <row r="781" spans="3:12" x14ac:dyDescent="0.3">
      <c r="C781" s="16"/>
      <c r="D781" s="57"/>
      <c r="E781" s="19"/>
      <c r="F781" s="19"/>
      <c r="G781" s="54"/>
      <c r="H781" s="19"/>
      <c r="L781"/>
    </row>
    <row r="782" spans="3:12" x14ac:dyDescent="0.3">
      <c r="C782" s="16"/>
      <c r="D782" s="57"/>
      <c r="E782" s="19"/>
      <c r="F782" s="19"/>
      <c r="G782" s="54"/>
      <c r="H782" s="19"/>
      <c r="L782"/>
    </row>
    <row r="783" spans="3:12" x14ac:dyDescent="0.3">
      <c r="C783" s="16"/>
      <c r="D783" s="57"/>
      <c r="E783" s="19"/>
      <c r="F783" s="19"/>
      <c r="G783" s="54"/>
      <c r="H783" s="19"/>
      <c r="L783"/>
    </row>
    <row r="784" spans="3:12" x14ac:dyDescent="0.3">
      <c r="C784" s="16"/>
      <c r="D784" s="57"/>
      <c r="E784" s="19"/>
      <c r="F784" s="19"/>
      <c r="G784" s="54"/>
      <c r="H784" s="19"/>
      <c r="L784"/>
    </row>
    <row r="785" spans="3:12" x14ac:dyDescent="0.3">
      <c r="C785" s="16"/>
      <c r="D785" s="57"/>
      <c r="E785" s="19"/>
      <c r="F785" s="19"/>
      <c r="G785" s="54"/>
      <c r="H785" s="19"/>
      <c r="L785"/>
    </row>
    <row r="786" spans="3:12" x14ac:dyDescent="0.3">
      <c r="C786" s="16"/>
      <c r="D786" s="57"/>
      <c r="E786" s="19"/>
      <c r="F786" s="19"/>
      <c r="G786" s="54"/>
      <c r="H786" s="19"/>
      <c r="L786"/>
    </row>
    <row r="787" spans="3:12" x14ac:dyDescent="0.3">
      <c r="C787" s="16"/>
      <c r="D787" s="57"/>
      <c r="E787" s="19"/>
      <c r="F787" s="19"/>
      <c r="G787" s="54"/>
      <c r="H787" s="19"/>
      <c r="L787"/>
    </row>
    <row r="788" spans="3:12" x14ac:dyDescent="0.3">
      <c r="C788" s="16"/>
      <c r="D788" s="57"/>
      <c r="E788" s="19"/>
      <c r="F788" s="19"/>
      <c r="G788" s="54"/>
      <c r="H788" s="19"/>
      <c r="L788"/>
    </row>
    <row r="789" spans="3:12" x14ac:dyDescent="0.3">
      <c r="C789" s="16"/>
      <c r="D789" s="57"/>
      <c r="E789" s="19"/>
      <c r="F789" s="19"/>
      <c r="G789" s="54"/>
      <c r="H789" s="19"/>
      <c r="L789"/>
    </row>
    <row r="790" spans="3:12" x14ac:dyDescent="0.3">
      <c r="C790" s="16"/>
      <c r="D790" s="57"/>
      <c r="E790" s="19"/>
      <c r="F790" s="19"/>
      <c r="G790" s="54"/>
      <c r="H790" s="19"/>
      <c r="L790"/>
    </row>
    <row r="791" spans="3:12" x14ac:dyDescent="0.3">
      <c r="C791" s="16"/>
      <c r="D791" s="57"/>
      <c r="E791" s="19"/>
      <c r="F791" s="19"/>
      <c r="G791" s="54"/>
      <c r="H791" s="19"/>
      <c r="L791"/>
    </row>
    <row r="792" spans="3:12" x14ac:dyDescent="0.3">
      <c r="C792" s="16"/>
      <c r="D792" s="57"/>
      <c r="E792" s="19"/>
      <c r="F792" s="19"/>
      <c r="G792" s="54"/>
      <c r="H792" s="19"/>
      <c r="L792"/>
    </row>
    <row r="793" spans="3:12" x14ac:dyDescent="0.3">
      <c r="C793" s="16"/>
      <c r="D793" s="57"/>
      <c r="E793" s="19"/>
      <c r="F793" s="19"/>
      <c r="G793" s="54"/>
      <c r="H793" s="19"/>
      <c r="L793"/>
    </row>
    <row r="794" spans="3:12" x14ac:dyDescent="0.3">
      <c r="C794" s="16"/>
      <c r="D794" s="57"/>
      <c r="E794" s="19"/>
      <c r="F794" s="19"/>
      <c r="G794" s="54"/>
      <c r="H794" s="19"/>
      <c r="L794"/>
    </row>
    <row r="795" spans="3:12" x14ac:dyDescent="0.3">
      <c r="C795" s="16"/>
      <c r="D795" s="57"/>
      <c r="E795" s="19"/>
      <c r="F795" s="19"/>
      <c r="G795" s="54"/>
      <c r="H795" s="19"/>
      <c r="L795"/>
    </row>
    <row r="796" spans="3:12" x14ac:dyDescent="0.3">
      <c r="C796" s="16"/>
      <c r="D796" s="57"/>
      <c r="E796" s="19"/>
      <c r="F796" s="19"/>
      <c r="G796" s="54"/>
      <c r="H796" s="19"/>
      <c r="L796"/>
    </row>
    <row r="797" spans="3:12" x14ac:dyDescent="0.3">
      <c r="C797" s="16"/>
      <c r="D797" s="57"/>
      <c r="E797" s="19"/>
      <c r="F797" s="19"/>
      <c r="G797" s="54"/>
      <c r="H797" s="19"/>
      <c r="L797"/>
    </row>
    <row r="798" spans="3:12" x14ac:dyDescent="0.3">
      <c r="C798" s="16"/>
      <c r="D798" s="57"/>
      <c r="E798" s="19"/>
      <c r="F798" s="19"/>
      <c r="G798" s="54"/>
      <c r="H798" s="19"/>
      <c r="L798"/>
    </row>
    <row r="799" spans="3:12" x14ac:dyDescent="0.3">
      <c r="C799" s="16"/>
      <c r="D799" s="57"/>
      <c r="E799" s="19"/>
      <c r="F799" s="19"/>
      <c r="G799" s="54"/>
      <c r="H799" s="19"/>
      <c r="L799"/>
    </row>
    <row r="800" spans="3:12" x14ac:dyDescent="0.3">
      <c r="C800" s="16"/>
      <c r="D800" s="57"/>
      <c r="E800" s="19"/>
      <c r="F800" s="19"/>
      <c r="G800" s="54"/>
      <c r="H800" s="19"/>
      <c r="L800"/>
    </row>
    <row r="801" spans="3:12" x14ac:dyDescent="0.3">
      <c r="C801" s="16"/>
      <c r="D801" s="57"/>
      <c r="E801" s="19"/>
      <c r="F801" s="19"/>
      <c r="G801" s="54"/>
      <c r="H801" s="19"/>
      <c r="L801"/>
    </row>
    <row r="802" spans="3:12" x14ac:dyDescent="0.3">
      <c r="C802" s="16"/>
      <c r="D802" s="57"/>
      <c r="E802" s="19"/>
      <c r="F802" s="19"/>
      <c r="G802" s="54"/>
      <c r="H802" s="19"/>
      <c r="L802"/>
    </row>
    <row r="803" spans="3:12" x14ac:dyDescent="0.3">
      <c r="C803" s="16"/>
      <c r="D803" s="57"/>
      <c r="E803" s="19"/>
      <c r="F803" s="19"/>
      <c r="G803" s="54"/>
      <c r="H803" s="19"/>
      <c r="L803"/>
    </row>
    <row r="804" spans="3:12" x14ac:dyDescent="0.3">
      <c r="C804" s="16"/>
      <c r="D804" s="57"/>
      <c r="E804" s="19"/>
      <c r="F804" s="19"/>
      <c r="G804" s="54"/>
      <c r="H804" s="19"/>
      <c r="L804"/>
    </row>
    <row r="805" spans="3:12" x14ac:dyDescent="0.3">
      <c r="C805" s="16"/>
      <c r="D805" s="57"/>
      <c r="E805" s="19"/>
      <c r="F805" s="19"/>
      <c r="G805" s="54"/>
      <c r="H805" s="19"/>
      <c r="L805"/>
    </row>
    <row r="806" spans="3:12" x14ac:dyDescent="0.3">
      <c r="C806" s="16"/>
      <c r="D806" s="57"/>
      <c r="E806" s="19"/>
      <c r="F806" s="19"/>
      <c r="G806" s="54"/>
      <c r="H806" s="19"/>
      <c r="L806"/>
    </row>
    <row r="807" spans="3:12" x14ac:dyDescent="0.3">
      <c r="C807" s="16"/>
      <c r="D807" s="57"/>
      <c r="E807" s="19"/>
      <c r="F807" s="19"/>
      <c r="G807" s="54"/>
      <c r="H807" s="19"/>
      <c r="L807"/>
    </row>
    <row r="808" spans="3:12" x14ac:dyDescent="0.3">
      <c r="C808" s="16"/>
      <c r="D808" s="57"/>
      <c r="E808" s="19"/>
      <c r="F808" s="19"/>
      <c r="G808" s="54"/>
      <c r="H808" s="19"/>
      <c r="L808"/>
    </row>
    <row r="809" spans="3:12" x14ac:dyDescent="0.3">
      <c r="C809" s="16"/>
      <c r="D809" s="57"/>
      <c r="E809" s="19"/>
      <c r="F809" s="19"/>
      <c r="G809" s="54"/>
      <c r="H809" s="19"/>
      <c r="L809"/>
    </row>
    <row r="810" spans="3:12" x14ac:dyDescent="0.3">
      <c r="C810" s="16"/>
      <c r="D810" s="57"/>
      <c r="E810" s="19"/>
      <c r="F810" s="19"/>
      <c r="G810" s="54"/>
      <c r="H810" s="19"/>
      <c r="L810"/>
    </row>
    <row r="811" spans="3:12" x14ac:dyDescent="0.3">
      <c r="C811" s="16"/>
      <c r="D811" s="57"/>
      <c r="E811" s="19"/>
      <c r="F811" s="19"/>
      <c r="G811" s="54"/>
      <c r="H811" s="19"/>
      <c r="L811"/>
    </row>
    <row r="812" spans="3:12" x14ac:dyDescent="0.3">
      <c r="C812" s="16"/>
      <c r="D812" s="57"/>
      <c r="E812" s="19"/>
      <c r="F812" s="19"/>
      <c r="G812" s="54"/>
      <c r="H812" s="19"/>
      <c r="L812"/>
    </row>
    <row r="813" spans="3:12" x14ac:dyDescent="0.3">
      <c r="C813" s="16"/>
      <c r="D813" s="57"/>
      <c r="E813" s="19"/>
      <c r="F813" s="19"/>
      <c r="G813" s="54"/>
      <c r="H813" s="19"/>
      <c r="L813"/>
    </row>
    <row r="814" spans="3:12" x14ac:dyDescent="0.3">
      <c r="C814" s="16"/>
      <c r="D814" s="57"/>
      <c r="E814" s="19"/>
      <c r="F814" s="19"/>
      <c r="G814" s="54"/>
      <c r="H814" s="19"/>
      <c r="L814"/>
    </row>
    <row r="815" spans="3:12" x14ac:dyDescent="0.3">
      <c r="C815" s="16"/>
      <c r="D815" s="57"/>
      <c r="E815" s="19"/>
      <c r="F815" s="19"/>
      <c r="G815" s="54"/>
      <c r="H815" s="19"/>
      <c r="L815"/>
    </row>
    <row r="816" spans="3:12" x14ac:dyDescent="0.3">
      <c r="C816" s="16"/>
      <c r="D816" s="57"/>
      <c r="E816" s="19"/>
      <c r="F816" s="19"/>
      <c r="G816" s="54"/>
      <c r="H816" s="19"/>
      <c r="L816"/>
    </row>
    <row r="817" spans="3:12" x14ac:dyDescent="0.3">
      <c r="C817" s="16"/>
      <c r="D817" s="57"/>
      <c r="E817" s="19"/>
      <c r="F817" s="19"/>
      <c r="G817" s="54"/>
      <c r="H817" s="19"/>
      <c r="L817"/>
    </row>
    <row r="818" spans="3:12" x14ac:dyDescent="0.3">
      <c r="C818" s="16"/>
      <c r="D818" s="57"/>
      <c r="E818" s="19"/>
      <c r="F818" s="19"/>
      <c r="G818" s="54"/>
      <c r="H818" s="19"/>
      <c r="L818"/>
    </row>
    <row r="819" spans="3:12" x14ac:dyDescent="0.3">
      <c r="C819" s="16"/>
      <c r="D819" s="57"/>
      <c r="E819" s="19"/>
      <c r="F819" s="19"/>
      <c r="G819" s="54"/>
      <c r="H819" s="19"/>
      <c r="L819"/>
    </row>
    <row r="820" spans="3:12" x14ac:dyDescent="0.3">
      <c r="C820" s="16"/>
      <c r="D820" s="57"/>
      <c r="E820" s="19"/>
      <c r="F820" s="19"/>
      <c r="G820" s="54"/>
      <c r="H820" s="19"/>
      <c r="L820"/>
    </row>
    <row r="821" spans="3:12" x14ac:dyDescent="0.3">
      <c r="C821" s="16"/>
      <c r="D821" s="57"/>
      <c r="E821" s="19"/>
      <c r="F821" s="19"/>
      <c r="G821" s="54"/>
      <c r="H821" s="19"/>
      <c r="L821"/>
    </row>
    <row r="822" spans="3:12" x14ac:dyDescent="0.3">
      <c r="C822" s="16"/>
      <c r="D822" s="57"/>
      <c r="E822" s="19"/>
      <c r="F822" s="19"/>
      <c r="G822" s="54"/>
      <c r="H822" s="19"/>
      <c r="L822"/>
    </row>
    <row r="823" spans="3:12" x14ac:dyDescent="0.3">
      <c r="C823" s="16"/>
      <c r="D823" s="57"/>
      <c r="E823" s="19"/>
      <c r="F823" s="19"/>
      <c r="G823" s="54"/>
      <c r="H823" s="19"/>
      <c r="L823"/>
    </row>
    <row r="824" spans="3:12" x14ac:dyDescent="0.3">
      <c r="C824" s="16"/>
      <c r="D824" s="57"/>
      <c r="E824" s="19"/>
      <c r="F824" s="19"/>
      <c r="G824" s="54"/>
      <c r="H824" s="19"/>
      <c r="L824"/>
    </row>
    <row r="825" spans="3:12" x14ac:dyDescent="0.3">
      <c r="C825" s="16"/>
      <c r="D825" s="57"/>
      <c r="E825" s="19"/>
      <c r="F825" s="19"/>
      <c r="G825" s="54"/>
      <c r="H825" s="19"/>
      <c r="L825"/>
    </row>
    <row r="826" spans="3:12" x14ac:dyDescent="0.3">
      <c r="C826" s="16"/>
      <c r="D826" s="57"/>
      <c r="E826" s="19"/>
      <c r="F826" s="19"/>
      <c r="G826" s="54"/>
      <c r="H826" s="19"/>
      <c r="L826"/>
    </row>
    <row r="827" spans="3:12" x14ac:dyDescent="0.3">
      <c r="C827" s="16"/>
      <c r="D827" s="57"/>
      <c r="E827" s="19"/>
      <c r="F827" s="19"/>
      <c r="G827" s="54"/>
      <c r="H827" s="19"/>
      <c r="L827"/>
    </row>
    <row r="828" spans="3:12" x14ac:dyDescent="0.3">
      <c r="C828" s="16"/>
      <c r="D828" s="57"/>
      <c r="E828" s="19"/>
      <c r="F828" s="19"/>
      <c r="G828" s="54"/>
      <c r="H828" s="19"/>
      <c r="L828"/>
    </row>
    <row r="829" spans="3:12" x14ac:dyDescent="0.3">
      <c r="C829" s="16"/>
      <c r="D829" s="57"/>
      <c r="E829" s="19"/>
      <c r="F829" s="19"/>
      <c r="G829" s="54"/>
      <c r="H829" s="19"/>
      <c r="L829"/>
    </row>
    <row r="830" spans="3:12" x14ac:dyDescent="0.3">
      <c r="C830" s="16"/>
      <c r="D830" s="57"/>
      <c r="E830" s="19"/>
      <c r="F830" s="19"/>
      <c r="G830" s="54"/>
      <c r="H830" s="19"/>
      <c r="L830"/>
    </row>
    <row r="831" spans="3:12" x14ac:dyDescent="0.3">
      <c r="C831" s="16"/>
      <c r="D831" s="57"/>
      <c r="E831" s="19"/>
      <c r="F831" s="19"/>
      <c r="G831" s="54"/>
      <c r="H831" s="19"/>
      <c r="L831"/>
    </row>
    <row r="832" spans="3:12" x14ac:dyDescent="0.3">
      <c r="C832" s="16"/>
      <c r="D832" s="57"/>
      <c r="E832" s="19"/>
      <c r="F832" s="19"/>
      <c r="G832" s="54"/>
      <c r="H832" s="19"/>
      <c r="L832"/>
    </row>
    <row r="833" spans="3:12" x14ac:dyDescent="0.3">
      <c r="C833" s="16"/>
      <c r="D833" s="57"/>
      <c r="E833" s="19"/>
      <c r="F833" s="19"/>
      <c r="G833" s="54"/>
      <c r="H833" s="19"/>
      <c r="L833"/>
    </row>
    <row r="834" spans="3:12" x14ac:dyDescent="0.3">
      <c r="C834" s="16"/>
      <c r="D834" s="57"/>
      <c r="E834" s="19"/>
      <c r="F834" s="19"/>
      <c r="G834" s="54"/>
      <c r="H834" s="19"/>
      <c r="L834"/>
    </row>
    <row r="835" spans="3:12" x14ac:dyDescent="0.3">
      <c r="C835" s="16"/>
      <c r="D835" s="57"/>
      <c r="E835" s="19"/>
      <c r="F835" s="19"/>
      <c r="G835" s="54"/>
      <c r="H835" s="19"/>
      <c r="L835"/>
    </row>
    <row r="836" spans="3:12" x14ac:dyDescent="0.3">
      <c r="C836" s="16"/>
      <c r="D836" s="57"/>
      <c r="E836" s="19"/>
      <c r="F836" s="19"/>
      <c r="G836" s="54"/>
      <c r="H836" s="19"/>
      <c r="L836"/>
    </row>
    <row r="837" spans="3:12" x14ac:dyDescent="0.3">
      <c r="C837" s="16"/>
      <c r="D837" s="57"/>
      <c r="E837" s="19"/>
      <c r="F837" s="19"/>
      <c r="G837" s="54"/>
      <c r="H837" s="19"/>
      <c r="L837"/>
    </row>
    <row r="838" spans="3:12" x14ac:dyDescent="0.3">
      <c r="C838" s="16"/>
      <c r="D838" s="57"/>
      <c r="E838" s="19"/>
      <c r="F838" s="19"/>
      <c r="G838" s="54"/>
      <c r="H838" s="19"/>
      <c r="L838"/>
    </row>
    <row r="839" spans="3:12" x14ac:dyDescent="0.3">
      <c r="C839" s="16"/>
      <c r="D839" s="57"/>
      <c r="E839" s="19"/>
      <c r="F839" s="19"/>
      <c r="G839" s="54"/>
      <c r="H839" s="19"/>
      <c r="L839"/>
    </row>
    <row r="840" spans="3:12" x14ac:dyDescent="0.3">
      <c r="C840" s="16"/>
      <c r="D840" s="57"/>
      <c r="E840" s="19"/>
      <c r="F840" s="19"/>
      <c r="G840" s="54"/>
      <c r="H840" s="19"/>
      <c r="L840"/>
    </row>
    <row r="841" spans="3:12" x14ac:dyDescent="0.3">
      <c r="C841" s="16"/>
      <c r="D841" s="57"/>
      <c r="E841" s="19"/>
      <c r="F841" s="19"/>
      <c r="G841" s="54"/>
      <c r="H841" s="19"/>
      <c r="L841"/>
    </row>
    <row r="842" spans="3:12" x14ac:dyDescent="0.3">
      <c r="C842" s="16"/>
      <c r="D842" s="57"/>
      <c r="E842" s="19"/>
      <c r="F842" s="19"/>
      <c r="G842" s="54"/>
      <c r="H842" s="19"/>
      <c r="L842"/>
    </row>
    <row r="843" spans="3:12" x14ac:dyDescent="0.3">
      <c r="C843" s="16"/>
      <c r="D843" s="57"/>
      <c r="E843" s="19"/>
      <c r="F843" s="19"/>
      <c r="G843" s="54"/>
      <c r="H843" s="19"/>
      <c r="L843"/>
    </row>
    <row r="844" spans="3:12" x14ac:dyDescent="0.3">
      <c r="C844" s="16"/>
      <c r="D844" s="57"/>
      <c r="E844" s="19"/>
      <c r="F844" s="19"/>
      <c r="G844" s="54"/>
      <c r="H844" s="19"/>
      <c r="L844"/>
    </row>
    <row r="845" spans="3:12" x14ac:dyDescent="0.3">
      <c r="C845" s="16"/>
      <c r="D845" s="57"/>
      <c r="E845" s="19"/>
      <c r="F845" s="19"/>
      <c r="G845" s="54"/>
      <c r="H845" s="19"/>
      <c r="L845"/>
    </row>
    <row r="846" spans="3:12" x14ac:dyDescent="0.3">
      <c r="C846" s="16"/>
      <c r="D846" s="57"/>
      <c r="E846" s="19"/>
      <c r="F846" s="19"/>
      <c r="G846" s="54"/>
      <c r="H846" s="19"/>
      <c r="L846"/>
    </row>
    <row r="847" spans="3:12" x14ac:dyDescent="0.3">
      <c r="C847" s="16"/>
      <c r="D847" s="57"/>
      <c r="E847" s="19"/>
      <c r="F847" s="19"/>
      <c r="G847" s="54"/>
      <c r="H847" s="19"/>
      <c r="L847"/>
    </row>
    <row r="848" spans="3:12" x14ac:dyDescent="0.3">
      <c r="C848" s="16"/>
      <c r="D848" s="57"/>
      <c r="E848" s="19"/>
      <c r="F848" s="19"/>
      <c r="G848" s="54"/>
      <c r="H848" s="19"/>
      <c r="L848"/>
    </row>
    <row r="849" spans="3:12" x14ac:dyDescent="0.3">
      <c r="C849" s="16"/>
      <c r="D849" s="57"/>
      <c r="E849" s="19"/>
      <c r="F849" s="19"/>
      <c r="G849" s="54"/>
      <c r="H849" s="19"/>
      <c r="L849"/>
    </row>
    <row r="850" spans="3:12" x14ac:dyDescent="0.3">
      <c r="C850" s="16"/>
      <c r="D850" s="57"/>
      <c r="E850" s="19"/>
      <c r="F850" s="19"/>
      <c r="G850" s="54"/>
      <c r="H850" s="19"/>
      <c r="L850"/>
    </row>
    <row r="851" spans="3:12" x14ac:dyDescent="0.3">
      <c r="C851" s="16"/>
      <c r="D851" s="57"/>
      <c r="E851" s="19"/>
      <c r="F851" s="19"/>
      <c r="G851" s="54"/>
      <c r="H851" s="19"/>
      <c r="L851"/>
    </row>
    <row r="852" spans="3:12" x14ac:dyDescent="0.3">
      <c r="C852" s="16"/>
      <c r="D852" s="57"/>
      <c r="E852" s="19"/>
      <c r="F852" s="19"/>
      <c r="G852" s="54"/>
      <c r="H852" s="19"/>
      <c r="L852"/>
    </row>
    <row r="853" spans="3:12" x14ac:dyDescent="0.3">
      <c r="C853" s="16"/>
      <c r="D853" s="57"/>
      <c r="E853" s="19"/>
      <c r="F853" s="19"/>
      <c r="G853" s="54"/>
      <c r="H853" s="19"/>
      <c r="L853"/>
    </row>
    <row r="854" spans="3:12" x14ac:dyDescent="0.3">
      <c r="C854" s="16"/>
      <c r="D854" s="57"/>
      <c r="E854" s="19"/>
      <c r="F854" s="19"/>
      <c r="G854" s="54"/>
      <c r="H854" s="19"/>
      <c r="L854"/>
    </row>
    <row r="855" spans="3:12" x14ac:dyDescent="0.3">
      <c r="C855" s="16"/>
      <c r="D855" s="57"/>
      <c r="E855" s="19"/>
      <c r="F855" s="19"/>
      <c r="G855" s="54"/>
      <c r="H855" s="19"/>
      <c r="L855"/>
    </row>
    <row r="856" spans="3:12" x14ac:dyDescent="0.3">
      <c r="C856" s="16"/>
      <c r="D856" s="57"/>
      <c r="E856" s="19"/>
      <c r="F856" s="19"/>
      <c r="G856" s="54"/>
      <c r="H856" s="19"/>
      <c r="L856"/>
    </row>
    <row r="857" spans="3:12" x14ac:dyDescent="0.3">
      <c r="C857" s="16"/>
      <c r="D857" s="57"/>
      <c r="E857" s="19"/>
      <c r="F857" s="19"/>
      <c r="G857" s="54"/>
      <c r="H857" s="19"/>
      <c r="L857"/>
    </row>
    <row r="858" spans="3:12" x14ac:dyDescent="0.3">
      <c r="C858" s="16"/>
      <c r="D858" s="57"/>
      <c r="E858" s="19"/>
      <c r="F858" s="19"/>
      <c r="G858" s="54"/>
      <c r="H858" s="19"/>
      <c r="L858"/>
    </row>
    <row r="859" spans="3:12" x14ac:dyDescent="0.3">
      <c r="C859" s="16"/>
      <c r="D859" s="57"/>
      <c r="E859" s="19"/>
      <c r="F859" s="19"/>
      <c r="G859" s="54"/>
      <c r="H859" s="19"/>
      <c r="L859"/>
    </row>
    <row r="860" spans="3:12" x14ac:dyDescent="0.3">
      <c r="C860" s="16"/>
      <c r="D860" s="57"/>
      <c r="E860" s="19"/>
      <c r="F860" s="19"/>
      <c r="G860" s="54"/>
      <c r="H860" s="19"/>
      <c r="L860"/>
    </row>
    <row r="861" spans="3:12" x14ac:dyDescent="0.3">
      <c r="C861" s="16"/>
      <c r="D861" s="57"/>
      <c r="E861" s="19"/>
      <c r="F861" s="19"/>
      <c r="G861" s="54"/>
      <c r="H861" s="19"/>
      <c r="L861"/>
    </row>
    <row r="862" spans="3:12" x14ac:dyDescent="0.3">
      <c r="C862" s="16"/>
      <c r="D862" s="57"/>
      <c r="E862" s="19"/>
      <c r="F862" s="19"/>
      <c r="G862" s="54"/>
      <c r="H862" s="19"/>
      <c r="L862"/>
    </row>
    <row r="863" spans="3:12" x14ac:dyDescent="0.3">
      <c r="C863" s="16"/>
      <c r="D863" s="57"/>
      <c r="E863" s="19"/>
      <c r="F863" s="19"/>
      <c r="G863" s="54"/>
      <c r="H863" s="19"/>
      <c r="L863"/>
    </row>
    <row r="864" spans="3:12" x14ac:dyDescent="0.3">
      <c r="C864" s="16"/>
      <c r="D864" s="57"/>
      <c r="E864" s="19"/>
      <c r="F864" s="19"/>
      <c r="G864" s="54"/>
      <c r="H864" s="19"/>
      <c r="L864"/>
    </row>
    <row r="865" spans="3:12" x14ac:dyDescent="0.3">
      <c r="C865" s="16"/>
      <c r="D865" s="57"/>
      <c r="E865" s="19"/>
      <c r="F865" s="19"/>
      <c r="G865" s="54"/>
      <c r="H865" s="19"/>
      <c r="L865"/>
    </row>
    <row r="866" spans="3:12" x14ac:dyDescent="0.3">
      <c r="C866" s="16"/>
      <c r="D866" s="57"/>
      <c r="E866" s="19"/>
      <c r="F866" s="19"/>
      <c r="G866" s="54"/>
      <c r="H866" s="19"/>
      <c r="L866"/>
    </row>
    <row r="867" spans="3:12" x14ac:dyDescent="0.3">
      <c r="C867" s="16"/>
      <c r="D867" s="57"/>
      <c r="E867" s="19"/>
      <c r="F867" s="19"/>
      <c r="G867" s="54"/>
      <c r="H867" s="19"/>
      <c r="L867"/>
    </row>
    <row r="868" spans="3:12" x14ac:dyDescent="0.3">
      <c r="C868" s="16"/>
      <c r="D868" s="57"/>
      <c r="E868" s="19"/>
      <c r="F868" s="19"/>
      <c r="G868" s="54"/>
      <c r="H868" s="19"/>
      <c r="L868"/>
    </row>
    <row r="869" spans="3:12" x14ac:dyDescent="0.3">
      <c r="C869" s="16"/>
      <c r="D869" s="57"/>
      <c r="E869" s="19"/>
      <c r="F869" s="19"/>
      <c r="G869" s="54"/>
      <c r="H869" s="19"/>
      <c r="L869"/>
    </row>
    <row r="870" spans="3:12" x14ac:dyDescent="0.3">
      <c r="C870" s="16"/>
      <c r="D870" s="57"/>
      <c r="E870" s="19"/>
      <c r="F870" s="19"/>
      <c r="G870" s="54"/>
      <c r="H870" s="19"/>
      <c r="L870"/>
    </row>
    <row r="871" spans="3:12" x14ac:dyDescent="0.3">
      <c r="C871" s="16"/>
      <c r="D871" s="57"/>
      <c r="E871" s="19"/>
      <c r="F871" s="19"/>
      <c r="G871" s="54"/>
      <c r="H871" s="19"/>
      <c r="L871"/>
    </row>
    <row r="872" spans="3:12" x14ac:dyDescent="0.3">
      <c r="C872" s="16"/>
      <c r="D872" s="57"/>
      <c r="E872" s="19"/>
      <c r="F872" s="19"/>
      <c r="G872" s="54"/>
      <c r="H872" s="19"/>
      <c r="L872"/>
    </row>
    <row r="873" spans="3:12" x14ac:dyDescent="0.3">
      <c r="C873" s="16"/>
      <c r="D873" s="57"/>
      <c r="E873" s="19"/>
      <c r="F873" s="19"/>
      <c r="G873" s="54"/>
      <c r="H873" s="19"/>
      <c r="L873"/>
    </row>
    <row r="874" spans="3:12" x14ac:dyDescent="0.3">
      <c r="C874" s="16"/>
      <c r="D874" s="57"/>
      <c r="E874" s="19"/>
      <c r="F874" s="19"/>
      <c r="G874" s="54"/>
      <c r="H874" s="19"/>
      <c r="L874"/>
    </row>
    <row r="875" spans="3:12" x14ac:dyDescent="0.3">
      <c r="C875" s="16"/>
      <c r="D875" s="57"/>
      <c r="E875" s="19"/>
      <c r="F875" s="19"/>
      <c r="G875" s="54"/>
      <c r="H875" s="19"/>
      <c r="L875"/>
    </row>
    <row r="876" spans="3:12" x14ac:dyDescent="0.3">
      <c r="C876" s="16"/>
      <c r="D876" s="57"/>
      <c r="E876" s="19"/>
      <c r="F876" s="19"/>
      <c r="G876" s="54"/>
      <c r="H876" s="19"/>
      <c r="L876"/>
    </row>
    <row r="877" spans="3:12" x14ac:dyDescent="0.3">
      <c r="C877" s="16"/>
      <c r="D877" s="57"/>
      <c r="E877" s="19"/>
      <c r="F877" s="19"/>
      <c r="G877" s="54"/>
      <c r="H877" s="19"/>
      <c r="L877"/>
    </row>
    <row r="878" spans="3:12" x14ac:dyDescent="0.3">
      <c r="C878" s="16"/>
      <c r="D878" s="57"/>
      <c r="E878" s="19"/>
      <c r="F878" s="19"/>
      <c r="G878" s="54"/>
      <c r="H878" s="19"/>
      <c r="L878"/>
    </row>
    <row r="879" spans="3:12" x14ac:dyDescent="0.3">
      <c r="C879" s="16"/>
      <c r="D879" s="57"/>
      <c r="E879" s="19"/>
      <c r="F879" s="19"/>
      <c r="G879" s="54"/>
      <c r="H879" s="19"/>
      <c r="L879"/>
    </row>
    <row r="880" spans="3:12" x14ac:dyDescent="0.3">
      <c r="C880" s="16"/>
      <c r="D880" s="57"/>
      <c r="E880" s="19"/>
      <c r="F880" s="19"/>
      <c r="G880" s="54"/>
      <c r="H880" s="19"/>
      <c r="L880"/>
    </row>
    <row r="881" spans="3:12" x14ac:dyDescent="0.3">
      <c r="C881" s="16"/>
      <c r="D881" s="57"/>
      <c r="E881" s="19"/>
      <c r="F881" s="19"/>
      <c r="G881" s="54"/>
      <c r="H881" s="19"/>
      <c r="L881"/>
    </row>
    <row r="882" spans="3:12" x14ac:dyDescent="0.3">
      <c r="C882" s="16"/>
      <c r="D882" s="57"/>
      <c r="E882" s="19"/>
      <c r="F882" s="19"/>
      <c r="G882" s="54"/>
      <c r="H882" s="19"/>
      <c r="L882"/>
    </row>
    <row r="883" spans="3:12" x14ac:dyDescent="0.3">
      <c r="C883" s="16"/>
      <c r="D883" s="57"/>
      <c r="E883" s="19"/>
      <c r="F883" s="19"/>
      <c r="G883" s="54"/>
      <c r="H883" s="19"/>
      <c r="L883"/>
    </row>
    <row r="884" spans="3:12" x14ac:dyDescent="0.3">
      <c r="C884" s="16"/>
      <c r="D884" s="57"/>
      <c r="E884" s="19"/>
      <c r="F884" s="19"/>
      <c r="G884" s="54"/>
      <c r="H884" s="19"/>
      <c r="L884"/>
    </row>
    <row r="885" spans="3:12" x14ac:dyDescent="0.3">
      <c r="C885" s="16"/>
      <c r="D885" s="57"/>
      <c r="E885" s="19"/>
      <c r="F885" s="19"/>
      <c r="G885" s="54"/>
      <c r="H885" s="19"/>
      <c r="L885"/>
    </row>
    <row r="886" spans="3:12" x14ac:dyDescent="0.3">
      <c r="C886" s="16"/>
      <c r="D886" s="57"/>
      <c r="E886" s="19"/>
      <c r="F886" s="19"/>
      <c r="G886" s="54"/>
      <c r="H886" s="19"/>
      <c r="L886"/>
    </row>
    <row r="887" spans="3:12" x14ac:dyDescent="0.3">
      <c r="C887" s="16"/>
      <c r="D887" s="57"/>
      <c r="E887" s="19"/>
      <c r="F887" s="19"/>
      <c r="G887" s="54"/>
      <c r="H887" s="19"/>
      <c r="L887"/>
    </row>
    <row r="888" spans="3:12" x14ac:dyDescent="0.3">
      <c r="C888" s="16"/>
      <c r="D888" s="57"/>
      <c r="E888" s="19"/>
      <c r="F888" s="19"/>
      <c r="G888" s="54"/>
      <c r="H888" s="19"/>
      <c r="L888"/>
    </row>
    <row r="889" spans="3:12" x14ac:dyDescent="0.3">
      <c r="C889" s="16"/>
      <c r="D889" s="57"/>
      <c r="E889" s="19"/>
      <c r="F889" s="19"/>
      <c r="G889" s="54"/>
      <c r="H889" s="19"/>
      <c r="L889"/>
    </row>
    <row r="890" spans="3:12" x14ac:dyDescent="0.3">
      <c r="C890" s="16"/>
      <c r="D890" s="57"/>
      <c r="E890" s="19"/>
      <c r="F890" s="19"/>
      <c r="G890" s="54"/>
      <c r="H890" s="19"/>
      <c r="L890"/>
    </row>
    <row r="891" spans="3:12" x14ac:dyDescent="0.3">
      <c r="C891" s="16"/>
      <c r="D891" s="57"/>
      <c r="E891" s="19"/>
      <c r="F891" s="19"/>
      <c r="G891" s="54"/>
      <c r="H891" s="19"/>
      <c r="L891"/>
    </row>
    <row r="892" spans="3:12" x14ac:dyDescent="0.3">
      <c r="C892" s="16"/>
      <c r="D892" s="57"/>
      <c r="E892" s="19"/>
      <c r="F892" s="19"/>
      <c r="G892" s="54"/>
      <c r="H892" s="19"/>
      <c r="L892"/>
    </row>
    <row r="893" spans="3:12" x14ac:dyDescent="0.3">
      <c r="C893" s="16"/>
      <c r="D893" s="57"/>
      <c r="E893" s="19"/>
      <c r="F893" s="19"/>
      <c r="G893" s="54"/>
      <c r="H893" s="19"/>
      <c r="L893"/>
    </row>
    <row r="894" spans="3:12" x14ac:dyDescent="0.3">
      <c r="C894" s="16"/>
      <c r="D894" s="57"/>
      <c r="E894" s="19"/>
      <c r="F894" s="19"/>
      <c r="G894" s="54"/>
      <c r="H894" s="19"/>
      <c r="L894"/>
    </row>
    <row r="895" spans="3:12" x14ac:dyDescent="0.3">
      <c r="C895" s="16"/>
      <c r="D895" s="57"/>
      <c r="E895" s="19"/>
      <c r="F895" s="19"/>
      <c r="G895" s="54"/>
      <c r="H895" s="19"/>
      <c r="L895"/>
    </row>
    <row r="896" spans="3:12" x14ac:dyDescent="0.3">
      <c r="C896" s="16"/>
      <c r="D896" s="57"/>
      <c r="E896" s="19"/>
      <c r="F896" s="19"/>
      <c r="G896" s="54"/>
      <c r="H896" s="19"/>
      <c r="L896"/>
    </row>
    <row r="897" spans="3:12" x14ac:dyDescent="0.3">
      <c r="C897" s="16"/>
      <c r="D897" s="57"/>
      <c r="E897" s="19"/>
      <c r="F897" s="19"/>
      <c r="G897" s="54"/>
      <c r="H897" s="19"/>
      <c r="L897"/>
    </row>
    <row r="898" spans="3:12" x14ac:dyDescent="0.3">
      <c r="C898" s="16"/>
      <c r="D898" s="57"/>
      <c r="E898" s="19"/>
      <c r="F898" s="19"/>
      <c r="G898" s="54"/>
      <c r="H898" s="19"/>
      <c r="L898"/>
    </row>
    <row r="899" spans="3:12" x14ac:dyDescent="0.3">
      <c r="C899" s="16"/>
      <c r="D899" s="57"/>
      <c r="E899" s="19"/>
      <c r="F899" s="19"/>
      <c r="G899" s="54"/>
      <c r="H899" s="19"/>
      <c r="L899"/>
    </row>
    <row r="900" spans="3:12" x14ac:dyDescent="0.3">
      <c r="C900" s="16"/>
      <c r="D900" s="57"/>
      <c r="E900" s="19"/>
      <c r="F900" s="19"/>
      <c r="G900" s="54"/>
      <c r="H900" s="19"/>
      <c r="L900"/>
    </row>
    <row r="901" spans="3:12" x14ac:dyDescent="0.3">
      <c r="C901" s="16"/>
      <c r="D901" s="57"/>
      <c r="E901" s="19"/>
      <c r="F901" s="19"/>
      <c r="G901" s="54"/>
      <c r="H901" s="19"/>
      <c r="L901"/>
    </row>
    <row r="902" spans="3:12" x14ac:dyDescent="0.3">
      <c r="C902" s="16"/>
      <c r="D902" s="57"/>
      <c r="E902" s="19"/>
      <c r="F902" s="19"/>
      <c r="G902" s="54"/>
      <c r="H902" s="19"/>
      <c r="L902"/>
    </row>
    <row r="903" spans="3:12" x14ac:dyDescent="0.3">
      <c r="C903" s="16"/>
      <c r="D903" s="57"/>
      <c r="E903" s="19"/>
      <c r="F903" s="19"/>
      <c r="G903" s="54"/>
      <c r="H903" s="19"/>
      <c r="L903"/>
    </row>
    <row r="904" spans="3:12" x14ac:dyDescent="0.3">
      <c r="C904" s="16"/>
      <c r="D904" s="57"/>
      <c r="E904" s="19"/>
      <c r="F904" s="19"/>
      <c r="G904" s="54"/>
      <c r="H904" s="19"/>
      <c r="L904"/>
    </row>
    <row r="905" spans="3:12" x14ac:dyDescent="0.3">
      <c r="C905" s="16"/>
      <c r="D905" s="57"/>
      <c r="E905" s="19"/>
      <c r="F905" s="19"/>
      <c r="G905" s="54"/>
      <c r="H905" s="19"/>
      <c r="L905"/>
    </row>
    <row r="906" spans="3:12" x14ac:dyDescent="0.3">
      <c r="C906" s="16"/>
      <c r="D906" s="57"/>
      <c r="E906" s="19"/>
      <c r="F906" s="19"/>
      <c r="G906" s="54"/>
      <c r="H906" s="19"/>
      <c r="L906"/>
    </row>
    <row r="907" spans="3:12" x14ac:dyDescent="0.3">
      <c r="C907" s="16"/>
      <c r="D907" s="57"/>
      <c r="E907" s="19"/>
      <c r="F907" s="19"/>
      <c r="G907" s="54"/>
      <c r="H907" s="19"/>
      <c r="L907"/>
    </row>
    <row r="908" spans="3:12" x14ac:dyDescent="0.3">
      <c r="C908" s="16"/>
      <c r="D908" s="57"/>
      <c r="E908" s="19"/>
      <c r="F908" s="19"/>
      <c r="G908" s="54"/>
      <c r="H908" s="19"/>
      <c r="L908"/>
    </row>
    <row r="909" spans="3:12" x14ac:dyDescent="0.3">
      <c r="C909" s="16"/>
      <c r="D909" s="57"/>
      <c r="E909" s="19"/>
      <c r="F909" s="19"/>
      <c r="G909" s="54"/>
      <c r="H909" s="19"/>
      <c r="L909"/>
    </row>
    <row r="910" spans="3:12" x14ac:dyDescent="0.3">
      <c r="C910" s="16"/>
      <c r="D910" s="57"/>
      <c r="E910" s="19"/>
      <c r="F910" s="19"/>
      <c r="G910" s="54"/>
      <c r="H910" s="19"/>
      <c r="L910"/>
    </row>
    <row r="911" spans="3:12" x14ac:dyDescent="0.3">
      <c r="C911" s="16"/>
      <c r="D911" s="57"/>
      <c r="E911" s="19"/>
      <c r="F911" s="19"/>
      <c r="G911" s="54"/>
      <c r="H911" s="19"/>
      <c r="L911"/>
    </row>
    <row r="912" spans="3:12" x14ac:dyDescent="0.3">
      <c r="C912" s="16"/>
      <c r="D912" s="57"/>
      <c r="E912" s="19"/>
      <c r="F912" s="19"/>
      <c r="G912" s="54"/>
      <c r="H912" s="19"/>
      <c r="L912"/>
    </row>
    <row r="913" spans="3:12" x14ac:dyDescent="0.3">
      <c r="C913" s="16"/>
      <c r="D913" s="57"/>
      <c r="E913" s="19"/>
      <c r="F913" s="19"/>
      <c r="G913" s="54"/>
      <c r="H913" s="19"/>
      <c r="L913"/>
    </row>
    <row r="914" spans="3:12" x14ac:dyDescent="0.3">
      <c r="C914" s="16"/>
      <c r="D914" s="57"/>
      <c r="E914" s="19"/>
      <c r="F914" s="19"/>
      <c r="G914" s="54"/>
      <c r="H914" s="19"/>
      <c r="L914"/>
    </row>
    <row r="915" spans="3:12" x14ac:dyDescent="0.3">
      <c r="C915" s="16"/>
      <c r="D915" s="57"/>
      <c r="E915" s="19"/>
      <c r="F915" s="19"/>
      <c r="G915" s="54"/>
      <c r="H915" s="19"/>
      <c r="L915"/>
    </row>
    <row r="916" spans="3:12" x14ac:dyDescent="0.3">
      <c r="C916" s="16"/>
      <c r="D916" s="57"/>
      <c r="E916" s="19"/>
      <c r="F916" s="19"/>
      <c r="G916" s="54"/>
      <c r="H916" s="19"/>
      <c r="L916"/>
    </row>
    <row r="917" spans="3:12" x14ac:dyDescent="0.3">
      <c r="C917" s="16"/>
      <c r="D917" s="57"/>
      <c r="E917" s="19"/>
      <c r="F917" s="19"/>
      <c r="G917" s="54"/>
      <c r="H917" s="19"/>
      <c r="L917"/>
    </row>
    <row r="918" spans="3:12" x14ac:dyDescent="0.3">
      <c r="C918" s="16"/>
      <c r="D918" s="57"/>
      <c r="E918" s="19"/>
      <c r="F918" s="19"/>
      <c r="G918" s="54"/>
      <c r="H918" s="19"/>
      <c r="L918"/>
    </row>
    <row r="919" spans="3:12" x14ac:dyDescent="0.3">
      <c r="C919" s="16"/>
      <c r="D919" s="57"/>
      <c r="E919" s="19"/>
      <c r="F919" s="19"/>
      <c r="G919" s="54"/>
      <c r="H919" s="19"/>
      <c r="L919"/>
    </row>
    <row r="920" spans="3:12" x14ac:dyDescent="0.3">
      <c r="C920" s="16"/>
      <c r="D920" s="57"/>
      <c r="E920" s="19"/>
      <c r="F920" s="19"/>
      <c r="G920" s="54"/>
      <c r="H920" s="19"/>
      <c r="L920"/>
    </row>
    <row r="921" spans="3:12" x14ac:dyDescent="0.3">
      <c r="C921" s="16"/>
      <c r="D921" s="57"/>
      <c r="E921" s="19"/>
      <c r="F921" s="19"/>
      <c r="G921" s="54"/>
      <c r="H921" s="19"/>
      <c r="L921"/>
    </row>
    <row r="922" spans="3:12" x14ac:dyDescent="0.3">
      <c r="C922" s="16"/>
      <c r="D922" s="57"/>
      <c r="E922" s="19"/>
      <c r="F922" s="19"/>
      <c r="G922" s="54"/>
      <c r="H922" s="19"/>
      <c r="L922"/>
    </row>
    <row r="923" spans="3:12" x14ac:dyDescent="0.3">
      <c r="C923" s="16"/>
      <c r="D923" s="57"/>
      <c r="E923" s="19"/>
      <c r="F923" s="19"/>
      <c r="G923" s="54"/>
      <c r="H923" s="19"/>
      <c r="L923"/>
    </row>
    <row r="924" spans="3:12" x14ac:dyDescent="0.3">
      <c r="C924" s="16"/>
      <c r="D924" s="57"/>
      <c r="E924" s="19"/>
      <c r="F924" s="19"/>
      <c r="G924" s="54"/>
      <c r="H924" s="19"/>
      <c r="L924"/>
    </row>
    <row r="925" spans="3:12" x14ac:dyDescent="0.3">
      <c r="C925" s="16"/>
      <c r="D925" s="57"/>
      <c r="E925" s="19"/>
      <c r="F925" s="19"/>
      <c r="G925" s="54"/>
      <c r="H925" s="19"/>
      <c r="L925"/>
    </row>
    <row r="926" spans="3:12" x14ac:dyDescent="0.3">
      <c r="C926" s="16"/>
      <c r="D926" s="57"/>
      <c r="E926" s="19"/>
      <c r="F926" s="19"/>
      <c r="G926" s="54"/>
      <c r="H926" s="19"/>
      <c r="L926"/>
    </row>
    <row r="927" spans="3:12" x14ac:dyDescent="0.3">
      <c r="C927" s="16"/>
      <c r="D927" s="57"/>
      <c r="E927" s="19"/>
      <c r="F927" s="19"/>
      <c r="G927" s="54"/>
      <c r="H927" s="19"/>
      <c r="L927"/>
    </row>
    <row r="928" spans="3:12" x14ac:dyDescent="0.3">
      <c r="C928" s="16"/>
      <c r="D928" s="57"/>
      <c r="E928" s="19"/>
      <c r="F928" s="19"/>
      <c r="G928" s="54"/>
      <c r="H928" s="19"/>
      <c r="L928"/>
    </row>
    <row r="929" spans="3:12" x14ac:dyDescent="0.3">
      <c r="C929" s="16"/>
      <c r="D929" s="57"/>
      <c r="E929" s="19"/>
      <c r="F929" s="19"/>
      <c r="G929" s="54"/>
      <c r="H929" s="19"/>
      <c r="L929"/>
    </row>
    <row r="930" spans="3:12" x14ac:dyDescent="0.3">
      <c r="C930" s="16"/>
      <c r="D930" s="57"/>
      <c r="E930" s="19"/>
      <c r="F930" s="19"/>
      <c r="G930" s="54"/>
      <c r="H930" s="19"/>
      <c r="L930"/>
    </row>
    <row r="931" spans="3:12" x14ac:dyDescent="0.3">
      <c r="C931" s="16"/>
      <c r="D931" s="57"/>
      <c r="E931" s="19"/>
      <c r="F931" s="19"/>
      <c r="G931" s="54"/>
      <c r="H931" s="19"/>
      <c r="L931"/>
    </row>
    <row r="932" spans="3:12" x14ac:dyDescent="0.3">
      <c r="C932" s="16"/>
      <c r="D932" s="57"/>
      <c r="E932" s="19"/>
      <c r="F932" s="19"/>
      <c r="G932" s="54"/>
      <c r="H932" s="19"/>
      <c r="L932"/>
    </row>
    <row r="933" spans="3:12" x14ac:dyDescent="0.3">
      <c r="C933" s="16"/>
      <c r="D933" s="57"/>
      <c r="E933" s="19"/>
      <c r="F933" s="19"/>
      <c r="G933" s="54"/>
      <c r="H933" s="19"/>
      <c r="L933"/>
    </row>
    <row r="934" spans="3:12" x14ac:dyDescent="0.3">
      <c r="C934" s="16"/>
      <c r="D934" s="57"/>
      <c r="E934" s="19"/>
      <c r="F934" s="19"/>
      <c r="G934" s="54"/>
      <c r="H934" s="19"/>
      <c r="L934"/>
    </row>
    <row r="935" spans="3:12" x14ac:dyDescent="0.3">
      <c r="C935" s="16"/>
      <c r="D935" s="57"/>
      <c r="E935" s="19"/>
      <c r="F935" s="19"/>
      <c r="G935" s="54"/>
      <c r="H935" s="19"/>
      <c r="L935"/>
    </row>
    <row r="936" spans="3:12" x14ac:dyDescent="0.3">
      <c r="C936" s="16"/>
      <c r="D936" s="57"/>
      <c r="E936" s="19"/>
      <c r="F936" s="19"/>
      <c r="G936" s="54"/>
      <c r="H936" s="19"/>
      <c r="L936"/>
    </row>
    <row r="937" spans="3:12" x14ac:dyDescent="0.3">
      <c r="C937" s="16"/>
      <c r="D937" s="57"/>
      <c r="E937" s="19"/>
      <c r="F937" s="19"/>
      <c r="G937" s="54"/>
      <c r="H937" s="19"/>
      <c r="L937"/>
    </row>
    <row r="938" spans="3:12" x14ac:dyDescent="0.3">
      <c r="C938" s="16"/>
      <c r="D938" s="57"/>
      <c r="E938" s="19"/>
      <c r="F938" s="19"/>
      <c r="G938" s="54"/>
      <c r="H938" s="19"/>
      <c r="L938"/>
    </row>
    <row r="939" spans="3:12" x14ac:dyDescent="0.3">
      <c r="C939" s="16"/>
      <c r="D939" s="57"/>
      <c r="E939" s="19"/>
      <c r="F939" s="19"/>
      <c r="G939" s="54"/>
      <c r="H939" s="19"/>
      <c r="L939"/>
    </row>
    <row r="940" spans="3:12" x14ac:dyDescent="0.3">
      <c r="C940" s="16"/>
      <c r="D940" s="57"/>
      <c r="E940" s="19"/>
      <c r="F940" s="19"/>
      <c r="G940" s="54"/>
      <c r="H940" s="19"/>
      <c r="L940"/>
    </row>
    <row r="941" spans="3:12" x14ac:dyDescent="0.3">
      <c r="C941" s="16"/>
      <c r="D941" s="57"/>
      <c r="E941" s="19"/>
      <c r="F941" s="19"/>
      <c r="G941" s="54"/>
      <c r="H941" s="19"/>
      <c r="L941"/>
    </row>
    <row r="942" spans="3:12" x14ac:dyDescent="0.3">
      <c r="C942" s="16"/>
      <c r="D942" s="57"/>
      <c r="E942" s="19"/>
      <c r="F942" s="19"/>
      <c r="G942" s="54"/>
      <c r="H942" s="19"/>
      <c r="L942"/>
    </row>
    <row r="943" spans="3:12" x14ac:dyDescent="0.3">
      <c r="C943" s="16"/>
      <c r="D943" s="57"/>
      <c r="E943" s="19"/>
      <c r="F943" s="19"/>
      <c r="G943" s="54"/>
      <c r="H943" s="19"/>
      <c r="L943"/>
    </row>
    <row r="944" spans="3:12" x14ac:dyDescent="0.3">
      <c r="C944" s="16"/>
      <c r="D944" s="57"/>
      <c r="E944" s="19"/>
      <c r="F944" s="19"/>
      <c r="G944" s="54"/>
      <c r="H944" s="19"/>
      <c r="L944"/>
    </row>
    <row r="945" spans="3:12" x14ac:dyDescent="0.3">
      <c r="C945" s="16"/>
      <c r="D945" s="57"/>
      <c r="E945" s="19"/>
      <c r="F945" s="19"/>
      <c r="G945" s="54"/>
      <c r="H945" s="19"/>
      <c r="L945"/>
    </row>
    <row r="946" spans="3:12" x14ac:dyDescent="0.3">
      <c r="C946" s="16"/>
      <c r="D946" s="57"/>
      <c r="E946" s="19"/>
      <c r="F946" s="19"/>
      <c r="G946" s="54"/>
      <c r="H946" s="19"/>
      <c r="L946"/>
    </row>
    <row r="947" spans="3:12" x14ac:dyDescent="0.3">
      <c r="C947" s="16"/>
      <c r="D947" s="57"/>
      <c r="E947" s="19"/>
      <c r="F947" s="19"/>
      <c r="G947" s="54"/>
      <c r="H947" s="19"/>
      <c r="L947"/>
    </row>
    <row r="948" spans="3:12" x14ac:dyDescent="0.3">
      <c r="C948" s="16"/>
      <c r="D948" s="57"/>
      <c r="E948" s="19"/>
      <c r="F948" s="19"/>
      <c r="G948" s="54"/>
      <c r="H948" s="19"/>
      <c r="L948"/>
    </row>
    <row r="949" spans="3:12" x14ac:dyDescent="0.3">
      <c r="C949" s="16"/>
      <c r="D949" s="57"/>
      <c r="E949" s="19"/>
      <c r="F949" s="19"/>
      <c r="G949" s="54"/>
      <c r="H949" s="19"/>
      <c r="L949"/>
    </row>
    <row r="950" spans="3:12" x14ac:dyDescent="0.3">
      <c r="C950" s="16"/>
      <c r="D950" s="57"/>
      <c r="E950" s="19"/>
      <c r="F950" s="19"/>
      <c r="G950" s="54"/>
      <c r="H950" s="19"/>
      <c r="L950"/>
    </row>
    <row r="951" spans="3:12" x14ac:dyDescent="0.3">
      <c r="C951" s="16"/>
      <c r="D951" s="57"/>
      <c r="E951" s="19"/>
      <c r="F951" s="19"/>
      <c r="G951" s="54"/>
      <c r="H951" s="19"/>
      <c r="L951"/>
    </row>
    <row r="952" spans="3:12" x14ac:dyDescent="0.3">
      <c r="C952" s="16"/>
      <c r="D952" s="57"/>
      <c r="E952" s="19"/>
      <c r="F952" s="19"/>
      <c r="G952" s="54"/>
      <c r="H952" s="19"/>
      <c r="L952"/>
    </row>
    <row r="953" spans="3:12" x14ac:dyDescent="0.3">
      <c r="C953" s="16"/>
      <c r="D953" s="57"/>
      <c r="E953" s="19"/>
      <c r="F953" s="19"/>
      <c r="G953" s="54"/>
      <c r="H953" s="19"/>
      <c r="L953"/>
    </row>
    <row r="954" spans="3:12" x14ac:dyDescent="0.3">
      <c r="C954" s="16"/>
      <c r="D954" s="57"/>
      <c r="E954" s="19"/>
      <c r="F954" s="19"/>
      <c r="G954" s="54"/>
      <c r="H954" s="19"/>
      <c r="L954"/>
    </row>
    <row r="955" spans="3:12" x14ac:dyDescent="0.3">
      <c r="C955" s="16"/>
      <c r="D955" s="57"/>
      <c r="E955" s="19"/>
      <c r="F955" s="19"/>
      <c r="G955" s="54"/>
      <c r="H955" s="19"/>
      <c r="L955"/>
    </row>
    <row r="956" spans="3:12" x14ac:dyDescent="0.3">
      <c r="C956" s="16"/>
      <c r="D956" s="57"/>
      <c r="E956" s="19"/>
      <c r="F956" s="19"/>
      <c r="G956" s="54"/>
      <c r="H956" s="19"/>
      <c r="L956"/>
    </row>
    <row r="957" spans="3:12" x14ac:dyDescent="0.3">
      <c r="C957" s="16"/>
      <c r="D957" s="57"/>
      <c r="E957" s="19"/>
      <c r="F957" s="19"/>
      <c r="G957" s="54"/>
      <c r="H957" s="19"/>
      <c r="L957"/>
    </row>
    <row r="958" spans="3:12" x14ac:dyDescent="0.3">
      <c r="C958" s="16"/>
      <c r="D958" s="57"/>
      <c r="E958" s="19"/>
      <c r="F958" s="19"/>
      <c r="G958" s="54"/>
      <c r="H958" s="19"/>
      <c r="L958"/>
    </row>
    <row r="959" spans="3:12" x14ac:dyDescent="0.3">
      <c r="C959" s="16"/>
      <c r="D959" s="57"/>
      <c r="E959" s="19"/>
      <c r="F959" s="19"/>
      <c r="G959" s="54"/>
      <c r="H959" s="19"/>
      <c r="L959"/>
    </row>
    <row r="960" spans="3:12" x14ac:dyDescent="0.3">
      <c r="C960" s="16"/>
      <c r="D960" s="57"/>
      <c r="E960" s="19"/>
      <c r="F960" s="19"/>
      <c r="G960" s="54"/>
      <c r="H960" s="19"/>
      <c r="L960"/>
    </row>
    <row r="961" spans="3:12" x14ac:dyDescent="0.3">
      <c r="C961" s="16"/>
      <c r="D961" s="57"/>
      <c r="E961" s="19"/>
      <c r="F961" s="19"/>
      <c r="G961" s="54"/>
      <c r="H961" s="19"/>
      <c r="L961"/>
    </row>
    <row r="962" spans="3:12" x14ac:dyDescent="0.3">
      <c r="C962" s="16"/>
      <c r="D962" s="57"/>
      <c r="E962" s="19"/>
      <c r="F962" s="19"/>
      <c r="G962" s="54"/>
      <c r="H962" s="19"/>
      <c r="L962"/>
    </row>
    <row r="963" spans="3:12" x14ac:dyDescent="0.3">
      <c r="C963" s="16"/>
      <c r="D963" s="57"/>
      <c r="E963" s="19"/>
      <c r="F963" s="19"/>
      <c r="G963" s="54"/>
      <c r="H963" s="19"/>
      <c r="L963"/>
    </row>
    <row r="964" spans="3:12" x14ac:dyDescent="0.3">
      <c r="C964" s="16"/>
      <c r="D964" s="57"/>
      <c r="E964" s="19"/>
      <c r="F964" s="19"/>
      <c r="G964" s="54"/>
      <c r="H964" s="19"/>
      <c r="L964"/>
    </row>
    <row r="965" spans="3:12" x14ac:dyDescent="0.3">
      <c r="C965" s="16"/>
      <c r="D965" s="57"/>
      <c r="E965" s="19"/>
      <c r="F965" s="19"/>
      <c r="G965" s="54"/>
      <c r="H965" s="19"/>
      <c r="L965"/>
    </row>
    <row r="966" spans="3:12" x14ac:dyDescent="0.3">
      <c r="C966" s="16"/>
      <c r="D966" s="57"/>
      <c r="E966" s="19"/>
      <c r="F966" s="19"/>
      <c r="G966" s="54"/>
      <c r="H966" s="19"/>
      <c r="L966"/>
    </row>
    <row r="967" spans="3:12" x14ac:dyDescent="0.3">
      <c r="C967" s="16"/>
      <c r="D967" s="57"/>
      <c r="E967" s="19"/>
      <c r="F967" s="19"/>
      <c r="G967" s="54"/>
      <c r="H967" s="19"/>
      <c r="L967"/>
    </row>
    <row r="968" spans="3:12" x14ac:dyDescent="0.3">
      <c r="C968" s="16"/>
      <c r="D968" s="57"/>
      <c r="E968" s="19"/>
      <c r="F968" s="19"/>
      <c r="G968" s="54"/>
      <c r="H968" s="19"/>
      <c r="L968"/>
    </row>
    <row r="969" spans="3:12" x14ac:dyDescent="0.3">
      <c r="C969" s="16"/>
      <c r="D969" s="57"/>
      <c r="E969" s="19"/>
      <c r="F969" s="19"/>
      <c r="G969" s="54"/>
      <c r="H969" s="19"/>
      <c r="L969"/>
    </row>
    <row r="970" spans="3:12" x14ac:dyDescent="0.3">
      <c r="C970" s="16"/>
      <c r="D970" s="57"/>
      <c r="E970" s="19"/>
      <c r="F970" s="19"/>
      <c r="G970" s="54"/>
      <c r="H970" s="19"/>
      <c r="L970"/>
    </row>
    <row r="971" spans="3:12" x14ac:dyDescent="0.3">
      <c r="C971" s="16"/>
      <c r="D971" s="57"/>
      <c r="E971" s="19"/>
      <c r="F971" s="19"/>
      <c r="G971" s="54"/>
      <c r="H971" s="19"/>
      <c r="L971"/>
    </row>
    <row r="972" spans="3:12" x14ac:dyDescent="0.3">
      <c r="C972" s="16"/>
      <c r="D972" s="57"/>
      <c r="E972" s="19"/>
      <c r="F972" s="19"/>
      <c r="G972" s="54"/>
      <c r="H972" s="19"/>
      <c r="L972"/>
    </row>
    <row r="973" spans="3:12" x14ac:dyDescent="0.3">
      <c r="C973" s="16"/>
      <c r="D973" s="57"/>
      <c r="E973" s="19"/>
      <c r="F973" s="19"/>
      <c r="G973" s="54"/>
      <c r="H973" s="19"/>
      <c r="L973"/>
    </row>
    <row r="974" spans="3:12" x14ac:dyDescent="0.3">
      <c r="C974" s="16"/>
      <c r="D974" s="57"/>
      <c r="E974" s="19"/>
      <c r="F974" s="19"/>
      <c r="G974" s="54"/>
      <c r="H974" s="19"/>
      <c r="L974"/>
    </row>
    <row r="975" spans="3:12" x14ac:dyDescent="0.3">
      <c r="C975" s="16"/>
      <c r="D975" s="57"/>
      <c r="E975" s="19"/>
      <c r="F975" s="19"/>
      <c r="G975" s="54"/>
      <c r="H975" s="19"/>
      <c r="L975"/>
    </row>
    <row r="976" spans="3:12" x14ac:dyDescent="0.3">
      <c r="C976" s="16"/>
      <c r="D976" s="57"/>
      <c r="E976" s="19"/>
      <c r="F976" s="19"/>
      <c r="G976" s="54"/>
      <c r="H976" s="19"/>
      <c r="L976"/>
    </row>
    <row r="977" spans="3:12" x14ac:dyDescent="0.3">
      <c r="C977" s="16"/>
      <c r="D977" s="57"/>
      <c r="E977" s="19"/>
      <c r="F977" s="19"/>
      <c r="G977" s="54"/>
      <c r="H977" s="19"/>
      <c r="L977"/>
    </row>
    <row r="978" spans="3:12" x14ac:dyDescent="0.3">
      <c r="C978" s="16"/>
      <c r="D978" s="57"/>
      <c r="E978" s="19"/>
      <c r="F978" s="19"/>
      <c r="G978" s="54"/>
      <c r="H978" s="19"/>
      <c r="L978"/>
    </row>
    <row r="979" spans="3:12" x14ac:dyDescent="0.3">
      <c r="C979" s="16"/>
      <c r="D979" s="57"/>
      <c r="E979" s="19"/>
      <c r="F979" s="19"/>
      <c r="G979" s="54"/>
      <c r="H979" s="19"/>
      <c r="L979"/>
    </row>
    <row r="980" spans="3:12" x14ac:dyDescent="0.3">
      <c r="C980" s="16"/>
      <c r="D980" s="57"/>
      <c r="E980" s="19"/>
      <c r="F980" s="19"/>
      <c r="G980" s="54"/>
      <c r="H980" s="19"/>
      <c r="L980"/>
    </row>
    <row r="981" spans="3:12" x14ac:dyDescent="0.3">
      <c r="C981" s="16"/>
      <c r="D981" s="57"/>
      <c r="E981" s="19"/>
      <c r="F981" s="19"/>
      <c r="G981" s="54"/>
      <c r="H981" s="19"/>
      <c r="L981"/>
    </row>
    <row r="982" spans="3:12" x14ac:dyDescent="0.3">
      <c r="C982" s="16"/>
      <c r="D982" s="57"/>
      <c r="E982" s="19"/>
      <c r="F982" s="19"/>
      <c r="G982" s="54"/>
      <c r="H982" s="19"/>
      <c r="L982"/>
    </row>
    <row r="983" spans="3:12" x14ac:dyDescent="0.3">
      <c r="C983" s="16"/>
      <c r="D983" s="57"/>
      <c r="E983" s="19"/>
      <c r="F983" s="19"/>
      <c r="G983" s="54"/>
      <c r="H983" s="19"/>
      <c r="L983"/>
    </row>
    <row r="984" spans="3:12" x14ac:dyDescent="0.3">
      <c r="C984" s="16"/>
      <c r="D984" s="57"/>
      <c r="E984" s="19"/>
      <c r="F984" s="19"/>
      <c r="G984" s="54"/>
      <c r="H984" s="19"/>
      <c r="L984"/>
    </row>
    <row r="985" spans="3:12" x14ac:dyDescent="0.3">
      <c r="C985" s="16"/>
      <c r="D985" s="57"/>
      <c r="E985" s="19"/>
      <c r="F985" s="19"/>
      <c r="G985" s="54"/>
      <c r="H985" s="19"/>
      <c r="L985"/>
    </row>
    <row r="986" spans="3:12" x14ac:dyDescent="0.3">
      <c r="C986" s="16"/>
      <c r="D986" s="57"/>
      <c r="E986" s="19"/>
      <c r="F986" s="19"/>
      <c r="G986" s="54"/>
      <c r="H986" s="19"/>
      <c r="L986"/>
    </row>
    <row r="987" spans="3:12" x14ac:dyDescent="0.3">
      <c r="C987" s="16"/>
      <c r="D987" s="57"/>
      <c r="E987" s="19"/>
      <c r="F987" s="19"/>
      <c r="G987" s="54"/>
      <c r="H987" s="19"/>
      <c r="L987"/>
    </row>
    <row r="988" spans="3:12" x14ac:dyDescent="0.3">
      <c r="C988" s="16"/>
      <c r="D988" s="57"/>
      <c r="E988" s="19"/>
      <c r="F988" s="19"/>
      <c r="G988" s="54"/>
      <c r="H988" s="19"/>
      <c r="L988"/>
    </row>
    <row r="989" spans="3:12" x14ac:dyDescent="0.3">
      <c r="C989" s="16"/>
      <c r="D989" s="57"/>
      <c r="E989" s="19"/>
      <c r="F989" s="19"/>
      <c r="G989" s="54"/>
      <c r="H989" s="19"/>
      <c r="L989"/>
    </row>
    <row r="990" spans="3:12" x14ac:dyDescent="0.3">
      <c r="C990" s="16"/>
      <c r="D990" s="57"/>
      <c r="E990" s="19"/>
      <c r="F990" s="19"/>
      <c r="G990" s="54"/>
      <c r="H990" s="19"/>
      <c r="L990"/>
    </row>
    <row r="991" spans="3:12" x14ac:dyDescent="0.3">
      <c r="L991"/>
    </row>
    <row r="992" spans="3:12" x14ac:dyDescent="0.3">
      <c r="L992"/>
    </row>
    <row r="993" spans="12:12" x14ac:dyDescent="0.3">
      <c r="L993"/>
    </row>
    <row r="994" spans="12:12" x14ac:dyDescent="0.3">
      <c r="L994"/>
    </row>
    <row r="995" spans="12:12" x14ac:dyDescent="0.3">
      <c r="L995"/>
    </row>
    <row r="996" spans="12:12" x14ac:dyDescent="0.3">
      <c r="L996"/>
    </row>
    <row r="997" spans="12:12" x14ac:dyDescent="0.3">
      <c r="L997"/>
    </row>
    <row r="998" spans="12:12" x14ac:dyDescent="0.3">
      <c r="L998"/>
    </row>
    <row r="999" spans="12:12" x14ac:dyDescent="0.3">
      <c r="L999"/>
    </row>
    <row r="1000" spans="12:12" x14ac:dyDescent="0.3">
      <c r="L1000"/>
    </row>
    <row r="1001" spans="12:12" x14ac:dyDescent="0.3">
      <c r="L1001"/>
    </row>
    <row r="1002" spans="12:12" x14ac:dyDescent="0.3">
      <c r="L1002"/>
    </row>
    <row r="1003" spans="12:12" x14ac:dyDescent="0.3">
      <c r="L1003"/>
    </row>
    <row r="1004" spans="12:12" x14ac:dyDescent="0.3">
      <c r="L1004"/>
    </row>
    <row r="1005" spans="12:12" x14ac:dyDescent="0.3">
      <c r="L1005"/>
    </row>
    <row r="1006" spans="12:12" x14ac:dyDescent="0.3">
      <c r="L1006"/>
    </row>
    <row r="1007" spans="12:12" x14ac:dyDescent="0.3">
      <c r="L1007"/>
    </row>
    <row r="1008" spans="12:12" x14ac:dyDescent="0.3">
      <c r="L1008"/>
    </row>
    <row r="1009" spans="12:12" x14ac:dyDescent="0.3">
      <c r="L1009"/>
    </row>
    <row r="1010" spans="12:12" x14ac:dyDescent="0.3">
      <c r="L1010"/>
    </row>
    <row r="1011" spans="12:12" x14ac:dyDescent="0.3">
      <c r="L1011"/>
    </row>
    <row r="1012" spans="12:12" x14ac:dyDescent="0.3">
      <c r="L1012"/>
    </row>
    <row r="1013" spans="12:12" x14ac:dyDescent="0.3">
      <c r="L1013"/>
    </row>
    <row r="1014" spans="12:12" x14ac:dyDescent="0.3">
      <c r="L1014"/>
    </row>
    <row r="1015" spans="12:12" x14ac:dyDescent="0.3">
      <c r="L1015"/>
    </row>
    <row r="1016" spans="12:12" x14ac:dyDescent="0.3">
      <c r="L1016"/>
    </row>
    <row r="1017" spans="12:12" x14ac:dyDescent="0.3">
      <c r="L1017"/>
    </row>
    <row r="1018" spans="12:12" x14ac:dyDescent="0.3">
      <c r="L1018"/>
    </row>
    <row r="1019" spans="12:12" x14ac:dyDescent="0.3">
      <c r="L1019"/>
    </row>
    <row r="1020" spans="12:12" x14ac:dyDescent="0.3">
      <c r="L1020"/>
    </row>
    <row r="1021" spans="12:12" x14ac:dyDescent="0.3">
      <c r="L1021"/>
    </row>
    <row r="1022" spans="12:12" x14ac:dyDescent="0.3">
      <c r="L1022"/>
    </row>
    <row r="1023" spans="12:12" x14ac:dyDescent="0.3">
      <c r="L1023"/>
    </row>
    <row r="1024" spans="12:12" x14ac:dyDescent="0.3">
      <c r="L1024"/>
    </row>
    <row r="1025" spans="12:12" x14ac:dyDescent="0.3">
      <c r="L1025"/>
    </row>
    <row r="1026" spans="12:12" x14ac:dyDescent="0.3">
      <c r="L1026"/>
    </row>
    <row r="1027" spans="12:12" x14ac:dyDescent="0.3">
      <c r="L1027"/>
    </row>
    <row r="1028" spans="12:12" x14ac:dyDescent="0.3">
      <c r="L1028"/>
    </row>
    <row r="1029" spans="12:12" x14ac:dyDescent="0.3">
      <c r="L1029"/>
    </row>
    <row r="1030" spans="12:12" x14ac:dyDescent="0.3">
      <c r="L1030"/>
    </row>
    <row r="1031" spans="12:12" x14ac:dyDescent="0.3">
      <c r="L1031"/>
    </row>
    <row r="1032" spans="12:12" x14ac:dyDescent="0.3">
      <c r="L1032"/>
    </row>
    <row r="1033" spans="12:12" x14ac:dyDescent="0.3">
      <c r="L1033"/>
    </row>
    <row r="1034" spans="12:12" x14ac:dyDescent="0.3">
      <c r="L1034"/>
    </row>
    <row r="1035" spans="12:12" x14ac:dyDescent="0.3">
      <c r="L1035"/>
    </row>
    <row r="1036" spans="12:12" x14ac:dyDescent="0.3">
      <c r="L1036"/>
    </row>
    <row r="1037" spans="12:12" x14ac:dyDescent="0.3">
      <c r="L1037"/>
    </row>
    <row r="1038" spans="12:12" x14ac:dyDescent="0.3">
      <c r="L1038"/>
    </row>
    <row r="1039" spans="12:12" x14ac:dyDescent="0.3">
      <c r="L1039"/>
    </row>
    <row r="1040" spans="12:12" x14ac:dyDescent="0.3">
      <c r="L1040"/>
    </row>
    <row r="1041" spans="12:12" x14ac:dyDescent="0.3">
      <c r="L1041"/>
    </row>
    <row r="1042" spans="12:12" x14ac:dyDescent="0.3">
      <c r="L1042"/>
    </row>
    <row r="1043" spans="12:12" x14ac:dyDescent="0.3">
      <c r="L1043"/>
    </row>
    <row r="1044" spans="12:12" x14ac:dyDescent="0.3">
      <c r="L1044"/>
    </row>
    <row r="1045" spans="12:12" x14ac:dyDescent="0.3">
      <c r="L1045"/>
    </row>
    <row r="1046" spans="12:12" x14ac:dyDescent="0.3">
      <c r="L1046"/>
    </row>
    <row r="1047" spans="12:12" x14ac:dyDescent="0.3">
      <c r="L1047"/>
    </row>
    <row r="1048" spans="12:12" x14ac:dyDescent="0.3">
      <c r="L1048"/>
    </row>
    <row r="1049" spans="12:12" x14ac:dyDescent="0.3">
      <c r="L1049"/>
    </row>
    <row r="1050" spans="12:12" x14ac:dyDescent="0.3">
      <c r="L1050"/>
    </row>
    <row r="1051" spans="12:12" x14ac:dyDescent="0.3">
      <c r="L1051"/>
    </row>
    <row r="1052" spans="12:12" x14ac:dyDescent="0.3">
      <c r="L1052"/>
    </row>
    <row r="1053" spans="12:12" x14ac:dyDescent="0.3">
      <c r="L1053"/>
    </row>
    <row r="1054" spans="12:12" x14ac:dyDescent="0.3">
      <c r="L1054"/>
    </row>
    <row r="1055" spans="12:12" x14ac:dyDescent="0.3">
      <c r="L1055"/>
    </row>
    <row r="1056" spans="12:12" x14ac:dyDescent="0.3">
      <c r="L1056"/>
    </row>
    <row r="1057" spans="12:12" x14ac:dyDescent="0.3">
      <c r="L1057"/>
    </row>
    <row r="1058" spans="12:12" x14ac:dyDescent="0.3">
      <c r="L1058"/>
    </row>
    <row r="1059" spans="12:12" x14ac:dyDescent="0.3">
      <c r="L1059"/>
    </row>
    <row r="1060" spans="12:12" x14ac:dyDescent="0.3">
      <c r="L1060"/>
    </row>
    <row r="1061" spans="12:12" x14ac:dyDescent="0.3">
      <c r="L1061"/>
    </row>
    <row r="1062" spans="12:12" x14ac:dyDescent="0.3">
      <c r="L1062"/>
    </row>
    <row r="1063" spans="12:12" x14ac:dyDescent="0.3">
      <c r="L1063"/>
    </row>
    <row r="1064" spans="12:12" x14ac:dyDescent="0.3">
      <c r="L1064"/>
    </row>
    <row r="1065" spans="12:12" x14ac:dyDescent="0.3">
      <c r="L1065"/>
    </row>
    <row r="1066" spans="12:12" x14ac:dyDescent="0.3">
      <c r="L1066"/>
    </row>
    <row r="1067" spans="12:12" x14ac:dyDescent="0.3">
      <c r="L1067"/>
    </row>
    <row r="1068" spans="12:12" x14ac:dyDescent="0.3">
      <c r="L1068"/>
    </row>
    <row r="1069" spans="12:12" x14ac:dyDescent="0.3">
      <c r="L1069"/>
    </row>
    <row r="1070" spans="12:12" x14ac:dyDescent="0.3">
      <c r="L1070"/>
    </row>
    <row r="1071" spans="12:12" x14ac:dyDescent="0.3">
      <c r="L1071"/>
    </row>
    <row r="1072" spans="12:12" x14ac:dyDescent="0.3">
      <c r="L1072"/>
    </row>
    <row r="1073" spans="12:12" x14ac:dyDescent="0.3">
      <c r="L1073"/>
    </row>
    <row r="1074" spans="12:12" x14ac:dyDescent="0.3">
      <c r="L1074"/>
    </row>
    <row r="1075" spans="12:12" x14ac:dyDescent="0.3">
      <c r="L1075"/>
    </row>
    <row r="1076" spans="12:12" x14ac:dyDescent="0.3">
      <c r="L1076"/>
    </row>
    <row r="1077" spans="12:12" x14ac:dyDescent="0.3">
      <c r="L1077"/>
    </row>
    <row r="1078" spans="12:12" x14ac:dyDescent="0.3">
      <c r="L1078"/>
    </row>
    <row r="1079" spans="12:12" x14ac:dyDescent="0.3">
      <c r="L1079"/>
    </row>
    <row r="1080" spans="12:12" x14ac:dyDescent="0.3">
      <c r="L1080"/>
    </row>
    <row r="1081" spans="12:12" x14ac:dyDescent="0.3">
      <c r="L1081"/>
    </row>
    <row r="1082" spans="12:12" x14ac:dyDescent="0.3">
      <c r="L1082"/>
    </row>
    <row r="1083" spans="12:12" x14ac:dyDescent="0.3">
      <c r="L1083"/>
    </row>
    <row r="1084" spans="12:12" x14ac:dyDescent="0.3">
      <c r="L1084"/>
    </row>
    <row r="1085" spans="12:12" x14ac:dyDescent="0.3">
      <c r="L1085"/>
    </row>
    <row r="1086" spans="12:12" x14ac:dyDescent="0.3">
      <c r="L1086"/>
    </row>
    <row r="1087" spans="12:12" x14ac:dyDescent="0.3">
      <c r="L1087"/>
    </row>
    <row r="1088" spans="12:12" x14ac:dyDescent="0.3">
      <c r="L1088"/>
    </row>
    <row r="1089" spans="12:12" x14ac:dyDescent="0.3">
      <c r="L1089"/>
    </row>
    <row r="1090" spans="12:12" x14ac:dyDescent="0.3">
      <c r="L1090"/>
    </row>
    <row r="1091" spans="12:12" x14ac:dyDescent="0.3">
      <c r="L1091"/>
    </row>
    <row r="1092" spans="12:12" x14ac:dyDescent="0.3">
      <c r="L1092"/>
    </row>
    <row r="1093" spans="12:12" x14ac:dyDescent="0.3">
      <c r="L1093"/>
    </row>
    <row r="1094" spans="12:12" x14ac:dyDescent="0.3">
      <c r="L1094"/>
    </row>
    <row r="1095" spans="12:12" x14ac:dyDescent="0.3">
      <c r="L1095"/>
    </row>
    <row r="1096" spans="12:12" x14ac:dyDescent="0.3">
      <c r="L1096"/>
    </row>
    <row r="1097" spans="12:12" x14ac:dyDescent="0.3">
      <c r="L1097"/>
    </row>
    <row r="1098" spans="12:12" x14ac:dyDescent="0.3">
      <c r="L1098"/>
    </row>
    <row r="1099" spans="12:12" x14ac:dyDescent="0.3">
      <c r="L1099"/>
    </row>
    <row r="1100" spans="12:12" x14ac:dyDescent="0.3">
      <c r="L1100"/>
    </row>
    <row r="1101" spans="12:12" x14ac:dyDescent="0.3">
      <c r="L1101"/>
    </row>
    <row r="1102" spans="12:12" x14ac:dyDescent="0.3">
      <c r="L1102"/>
    </row>
    <row r="1103" spans="12:12" x14ac:dyDescent="0.3">
      <c r="L1103"/>
    </row>
    <row r="1104" spans="12:12" x14ac:dyDescent="0.3">
      <c r="L1104"/>
    </row>
    <row r="1105" spans="12:12" x14ac:dyDescent="0.3">
      <c r="L1105"/>
    </row>
    <row r="1106" spans="12:12" x14ac:dyDescent="0.3">
      <c r="L1106"/>
    </row>
    <row r="1107" spans="12:12" x14ac:dyDescent="0.3">
      <c r="L1107"/>
    </row>
    <row r="1108" spans="12:12" x14ac:dyDescent="0.3">
      <c r="L1108"/>
    </row>
    <row r="1109" spans="12:12" x14ac:dyDescent="0.3">
      <c r="L1109"/>
    </row>
    <row r="1110" spans="12:12" x14ac:dyDescent="0.3">
      <c r="L1110"/>
    </row>
    <row r="1111" spans="12:12" x14ac:dyDescent="0.3">
      <c r="L1111"/>
    </row>
    <row r="1112" spans="12:12" x14ac:dyDescent="0.3">
      <c r="L1112"/>
    </row>
    <row r="1113" spans="12:12" x14ac:dyDescent="0.3">
      <c r="L1113"/>
    </row>
    <row r="1114" spans="12:12" x14ac:dyDescent="0.3">
      <c r="L1114"/>
    </row>
    <row r="1115" spans="12:12" x14ac:dyDescent="0.3">
      <c r="L1115"/>
    </row>
    <row r="1116" spans="12:12" x14ac:dyDescent="0.3">
      <c r="L1116"/>
    </row>
    <row r="1117" spans="12:12" x14ac:dyDescent="0.3">
      <c r="L1117"/>
    </row>
    <row r="1118" spans="12:12" x14ac:dyDescent="0.3">
      <c r="L1118"/>
    </row>
    <row r="1119" spans="12:12" x14ac:dyDescent="0.3">
      <c r="L1119"/>
    </row>
    <row r="1120" spans="12:12" x14ac:dyDescent="0.3">
      <c r="L1120"/>
    </row>
    <row r="1121" spans="12:12" x14ac:dyDescent="0.3">
      <c r="L1121"/>
    </row>
    <row r="1122" spans="12:12" x14ac:dyDescent="0.3">
      <c r="L1122"/>
    </row>
    <row r="1123" spans="12:12" x14ac:dyDescent="0.3">
      <c r="L1123"/>
    </row>
    <row r="1124" spans="12:12" x14ac:dyDescent="0.3">
      <c r="L1124"/>
    </row>
    <row r="1125" spans="12:12" x14ac:dyDescent="0.3">
      <c r="L1125"/>
    </row>
    <row r="1126" spans="12:12" x14ac:dyDescent="0.3">
      <c r="L1126"/>
    </row>
    <row r="1127" spans="12:12" x14ac:dyDescent="0.3">
      <c r="L1127"/>
    </row>
    <row r="1128" spans="12:12" x14ac:dyDescent="0.3">
      <c r="L1128"/>
    </row>
    <row r="1129" spans="12:12" x14ac:dyDescent="0.3">
      <c r="L1129"/>
    </row>
    <row r="1130" spans="12:12" x14ac:dyDescent="0.3">
      <c r="L1130"/>
    </row>
    <row r="1131" spans="12:12" x14ac:dyDescent="0.3">
      <c r="L1131"/>
    </row>
    <row r="1132" spans="12:12" x14ac:dyDescent="0.3">
      <c r="L1132"/>
    </row>
    <row r="1133" spans="12:12" x14ac:dyDescent="0.3">
      <c r="L1133"/>
    </row>
    <row r="1134" spans="12:12" x14ac:dyDescent="0.3">
      <c r="L1134"/>
    </row>
    <row r="1135" spans="12:12" x14ac:dyDescent="0.3">
      <c r="L1135"/>
    </row>
    <row r="1136" spans="12:12" x14ac:dyDescent="0.3">
      <c r="L1136"/>
    </row>
    <row r="1137" spans="12:12" x14ac:dyDescent="0.3">
      <c r="L1137"/>
    </row>
    <row r="1138" spans="12:12" x14ac:dyDescent="0.3">
      <c r="L1138"/>
    </row>
    <row r="1139" spans="12:12" x14ac:dyDescent="0.3">
      <c r="L1139"/>
    </row>
    <row r="1140" spans="12:12" x14ac:dyDescent="0.3">
      <c r="L1140"/>
    </row>
    <row r="1141" spans="12:12" x14ac:dyDescent="0.3">
      <c r="L1141"/>
    </row>
    <row r="1142" spans="12:12" x14ac:dyDescent="0.3">
      <c r="L1142"/>
    </row>
    <row r="1143" spans="12:12" x14ac:dyDescent="0.3">
      <c r="L1143"/>
    </row>
    <row r="1144" spans="12:12" x14ac:dyDescent="0.3">
      <c r="L1144"/>
    </row>
    <row r="1145" spans="12:12" x14ac:dyDescent="0.3">
      <c r="L1145"/>
    </row>
    <row r="1146" spans="12:12" x14ac:dyDescent="0.3">
      <c r="L1146"/>
    </row>
    <row r="1147" spans="12:12" x14ac:dyDescent="0.3">
      <c r="L1147"/>
    </row>
    <row r="1148" spans="12:12" x14ac:dyDescent="0.3">
      <c r="L1148"/>
    </row>
    <row r="1149" spans="12:12" x14ac:dyDescent="0.3">
      <c r="L1149"/>
    </row>
    <row r="1150" spans="12:12" x14ac:dyDescent="0.3">
      <c r="L1150"/>
    </row>
    <row r="1151" spans="12:12" x14ac:dyDescent="0.3">
      <c r="L1151"/>
    </row>
    <row r="1152" spans="12:12" x14ac:dyDescent="0.3">
      <c r="L1152"/>
    </row>
    <row r="1153" spans="12:12" x14ac:dyDescent="0.3">
      <c r="L1153"/>
    </row>
    <row r="1154" spans="12:12" x14ac:dyDescent="0.3">
      <c r="L1154"/>
    </row>
    <row r="1155" spans="12:12" x14ac:dyDescent="0.3">
      <c r="L1155"/>
    </row>
    <row r="1156" spans="12:12" x14ac:dyDescent="0.3">
      <c r="L1156"/>
    </row>
    <row r="1157" spans="12:12" x14ac:dyDescent="0.3">
      <c r="L1157"/>
    </row>
    <row r="1158" spans="12:12" x14ac:dyDescent="0.3">
      <c r="L1158"/>
    </row>
    <row r="1159" spans="12:12" x14ac:dyDescent="0.3">
      <c r="L1159"/>
    </row>
    <row r="1160" spans="12:12" x14ac:dyDescent="0.3">
      <c r="L1160"/>
    </row>
    <row r="1161" spans="12:12" x14ac:dyDescent="0.3">
      <c r="L1161"/>
    </row>
    <row r="1162" spans="12:12" x14ac:dyDescent="0.3">
      <c r="L1162"/>
    </row>
    <row r="1163" spans="12:12" x14ac:dyDescent="0.3">
      <c r="L1163"/>
    </row>
    <row r="1164" spans="12:12" x14ac:dyDescent="0.3">
      <c r="L1164"/>
    </row>
    <row r="1165" spans="12:12" x14ac:dyDescent="0.3">
      <c r="L1165"/>
    </row>
    <row r="1166" spans="12:12" x14ac:dyDescent="0.3">
      <c r="L1166"/>
    </row>
    <row r="1167" spans="12:12" x14ac:dyDescent="0.3">
      <c r="L1167"/>
    </row>
    <row r="1168" spans="12:12" x14ac:dyDescent="0.3">
      <c r="L1168"/>
    </row>
    <row r="1169" spans="12:12" x14ac:dyDescent="0.3">
      <c r="L1169"/>
    </row>
    <row r="1170" spans="12:12" x14ac:dyDescent="0.3">
      <c r="L1170"/>
    </row>
    <row r="1171" spans="12:12" x14ac:dyDescent="0.3">
      <c r="L1171"/>
    </row>
    <row r="1172" spans="12:12" x14ac:dyDescent="0.3">
      <c r="L1172"/>
    </row>
    <row r="1173" spans="12:12" x14ac:dyDescent="0.3">
      <c r="L1173"/>
    </row>
    <row r="1174" spans="12:12" x14ac:dyDescent="0.3">
      <c r="L1174"/>
    </row>
    <row r="1175" spans="12:12" x14ac:dyDescent="0.3">
      <c r="L1175"/>
    </row>
    <row r="1176" spans="12:12" x14ac:dyDescent="0.3">
      <c r="L1176"/>
    </row>
    <row r="1177" spans="12:12" x14ac:dyDescent="0.3">
      <c r="L1177"/>
    </row>
    <row r="1178" spans="12:12" x14ac:dyDescent="0.3">
      <c r="L1178"/>
    </row>
    <row r="1179" spans="12:12" x14ac:dyDescent="0.3">
      <c r="L1179"/>
    </row>
    <row r="1180" spans="12:12" x14ac:dyDescent="0.3">
      <c r="L1180"/>
    </row>
    <row r="1181" spans="12:12" x14ac:dyDescent="0.3">
      <c r="L1181"/>
    </row>
    <row r="1182" spans="12:12" x14ac:dyDescent="0.3">
      <c r="L1182"/>
    </row>
    <row r="1183" spans="12:12" x14ac:dyDescent="0.3">
      <c r="L1183"/>
    </row>
    <row r="1184" spans="12:12" x14ac:dyDescent="0.3">
      <c r="L1184"/>
    </row>
    <row r="1185" spans="12:12" x14ac:dyDescent="0.3">
      <c r="L1185"/>
    </row>
    <row r="1186" spans="12:12" x14ac:dyDescent="0.3">
      <c r="L1186"/>
    </row>
    <row r="1187" spans="12:12" x14ac:dyDescent="0.3">
      <c r="L1187"/>
    </row>
    <row r="1188" spans="12:12" x14ac:dyDescent="0.3">
      <c r="L1188"/>
    </row>
    <row r="1189" spans="12:12" x14ac:dyDescent="0.3">
      <c r="L1189"/>
    </row>
    <row r="1190" spans="12:12" x14ac:dyDescent="0.3">
      <c r="L1190"/>
    </row>
    <row r="1191" spans="12:12" x14ac:dyDescent="0.3">
      <c r="L1191"/>
    </row>
    <row r="1192" spans="12:12" x14ac:dyDescent="0.3">
      <c r="L1192"/>
    </row>
    <row r="1193" spans="12:12" x14ac:dyDescent="0.3">
      <c r="L1193"/>
    </row>
    <row r="1194" spans="12:12" x14ac:dyDescent="0.3">
      <c r="L1194"/>
    </row>
    <row r="1195" spans="12:12" x14ac:dyDescent="0.3">
      <c r="L1195"/>
    </row>
    <row r="1196" spans="12:12" x14ac:dyDescent="0.3">
      <c r="L1196"/>
    </row>
    <row r="1197" spans="12:12" x14ac:dyDescent="0.3">
      <c r="L1197"/>
    </row>
    <row r="1198" spans="12:12" x14ac:dyDescent="0.3">
      <c r="L1198"/>
    </row>
    <row r="1199" spans="12:12" x14ac:dyDescent="0.3">
      <c r="L1199"/>
    </row>
    <row r="1200" spans="12:12" x14ac:dyDescent="0.3">
      <c r="L1200"/>
    </row>
    <row r="1201" spans="12:12" x14ac:dyDescent="0.3">
      <c r="L1201"/>
    </row>
    <row r="1202" spans="12:12" x14ac:dyDescent="0.3">
      <c r="L1202"/>
    </row>
    <row r="1203" spans="12:12" x14ac:dyDescent="0.3">
      <c r="L1203"/>
    </row>
    <row r="1204" spans="12:12" x14ac:dyDescent="0.3">
      <c r="L1204"/>
    </row>
    <row r="1205" spans="12:12" x14ac:dyDescent="0.3">
      <c r="L1205"/>
    </row>
    <row r="1206" spans="12:12" x14ac:dyDescent="0.3">
      <c r="L1206"/>
    </row>
    <row r="1207" spans="12:12" x14ac:dyDescent="0.3">
      <c r="L1207"/>
    </row>
    <row r="1208" spans="12:12" x14ac:dyDescent="0.3">
      <c r="L1208"/>
    </row>
    <row r="1209" spans="12:12" x14ac:dyDescent="0.3">
      <c r="L1209"/>
    </row>
    <row r="1210" spans="12:12" x14ac:dyDescent="0.3">
      <c r="L1210"/>
    </row>
    <row r="1211" spans="12:12" x14ac:dyDescent="0.3">
      <c r="L1211"/>
    </row>
    <row r="1212" spans="12:12" x14ac:dyDescent="0.3">
      <c r="L1212"/>
    </row>
    <row r="1213" spans="12:12" x14ac:dyDescent="0.3">
      <c r="L1213"/>
    </row>
    <row r="1214" spans="12:12" x14ac:dyDescent="0.3">
      <c r="L1214"/>
    </row>
    <row r="1215" spans="12:12" x14ac:dyDescent="0.3">
      <c r="L1215"/>
    </row>
    <row r="1216" spans="12:12" x14ac:dyDescent="0.3">
      <c r="L1216"/>
    </row>
    <row r="1217" spans="12:12" x14ac:dyDescent="0.3">
      <c r="L1217"/>
    </row>
    <row r="1218" spans="12:12" x14ac:dyDescent="0.3">
      <c r="L1218"/>
    </row>
    <row r="1219" spans="12:12" x14ac:dyDescent="0.3">
      <c r="L1219"/>
    </row>
    <row r="1220" spans="12:12" x14ac:dyDescent="0.3">
      <c r="L1220"/>
    </row>
    <row r="1221" spans="12:12" x14ac:dyDescent="0.3">
      <c r="L1221"/>
    </row>
    <row r="1222" spans="12:12" x14ac:dyDescent="0.3">
      <c r="L1222"/>
    </row>
    <row r="1223" spans="12:12" x14ac:dyDescent="0.3">
      <c r="L1223"/>
    </row>
    <row r="1224" spans="12:12" x14ac:dyDescent="0.3">
      <c r="L1224"/>
    </row>
    <row r="1225" spans="12:12" x14ac:dyDescent="0.3">
      <c r="L1225"/>
    </row>
    <row r="1226" spans="12:12" x14ac:dyDescent="0.3">
      <c r="L1226"/>
    </row>
    <row r="1227" spans="12:12" x14ac:dyDescent="0.3">
      <c r="L1227"/>
    </row>
    <row r="1228" spans="12:12" x14ac:dyDescent="0.3">
      <c r="L1228"/>
    </row>
    <row r="1229" spans="12:12" x14ac:dyDescent="0.3">
      <c r="L1229"/>
    </row>
    <row r="1230" spans="12:12" x14ac:dyDescent="0.3">
      <c r="L1230"/>
    </row>
    <row r="1231" spans="12:12" x14ac:dyDescent="0.3">
      <c r="L1231"/>
    </row>
    <row r="1232" spans="12:12" x14ac:dyDescent="0.3">
      <c r="L1232"/>
    </row>
    <row r="1233" spans="12:12" x14ac:dyDescent="0.3">
      <c r="L1233"/>
    </row>
    <row r="1234" spans="12:12" x14ac:dyDescent="0.3">
      <c r="L1234"/>
    </row>
    <row r="1235" spans="12:12" x14ac:dyDescent="0.3">
      <c r="L1235"/>
    </row>
    <row r="1236" spans="12:12" x14ac:dyDescent="0.3">
      <c r="L1236"/>
    </row>
    <row r="1237" spans="12:12" x14ac:dyDescent="0.3">
      <c r="L1237"/>
    </row>
    <row r="1238" spans="12:12" x14ac:dyDescent="0.3">
      <c r="L1238"/>
    </row>
    <row r="1239" spans="12:12" x14ac:dyDescent="0.3">
      <c r="L1239"/>
    </row>
    <row r="1240" spans="12:12" x14ac:dyDescent="0.3">
      <c r="L1240"/>
    </row>
    <row r="1241" spans="12:12" x14ac:dyDescent="0.3">
      <c r="L1241"/>
    </row>
    <row r="1242" spans="12:12" x14ac:dyDescent="0.3">
      <c r="L1242"/>
    </row>
    <row r="1243" spans="12:12" x14ac:dyDescent="0.3">
      <c r="L1243"/>
    </row>
    <row r="1244" spans="12:12" x14ac:dyDescent="0.3">
      <c r="L1244"/>
    </row>
    <row r="1245" spans="12:12" x14ac:dyDescent="0.3">
      <c r="L1245"/>
    </row>
    <row r="1246" spans="12:12" x14ac:dyDescent="0.3">
      <c r="L1246"/>
    </row>
    <row r="1247" spans="12:12" x14ac:dyDescent="0.3">
      <c r="L1247"/>
    </row>
    <row r="1248" spans="12:12" x14ac:dyDescent="0.3">
      <c r="L1248"/>
    </row>
    <row r="1249" spans="12:12" x14ac:dyDescent="0.3">
      <c r="L1249"/>
    </row>
    <row r="1250" spans="12:12" x14ac:dyDescent="0.3">
      <c r="L1250"/>
    </row>
    <row r="1251" spans="12:12" x14ac:dyDescent="0.3">
      <c r="L1251"/>
    </row>
    <row r="1252" spans="12:12" x14ac:dyDescent="0.3">
      <c r="L1252"/>
    </row>
    <row r="1253" spans="12:12" x14ac:dyDescent="0.3">
      <c r="L1253"/>
    </row>
    <row r="1254" spans="12:12" x14ac:dyDescent="0.3">
      <c r="L1254"/>
    </row>
    <row r="1255" spans="12:12" x14ac:dyDescent="0.3">
      <c r="L1255"/>
    </row>
    <row r="1256" spans="12:12" x14ac:dyDescent="0.3">
      <c r="L1256"/>
    </row>
    <row r="1257" spans="12:12" x14ac:dyDescent="0.3">
      <c r="L1257"/>
    </row>
    <row r="1258" spans="12:12" x14ac:dyDescent="0.3">
      <c r="L1258"/>
    </row>
    <row r="1259" spans="12:12" x14ac:dyDescent="0.3">
      <c r="L1259"/>
    </row>
    <row r="1260" spans="12:12" x14ac:dyDescent="0.3">
      <c r="L1260"/>
    </row>
    <row r="1261" spans="12:12" x14ac:dyDescent="0.3">
      <c r="L1261"/>
    </row>
    <row r="1262" spans="12:12" x14ac:dyDescent="0.3">
      <c r="L1262"/>
    </row>
    <row r="1263" spans="12:12" x14ac:dyDescent="0.3">
      <c r="L1263"/>
    </row>
    <row r="1264" spans="12:12" x14ac:dyDescent="0.3">
      <c r="L1264"/>
    </row>
    <row r="1265" spans="12:12" x14ac:dyDescent="0.3">
      <c r="L1265"/>
    </row>
    <row r="1266" spans="12:12" x14ac:dyDescent="0.3">
      <c r="L1266"/>
    </row>
    <row r="1267" spans="12:12" x14ac:dyDescent="0.3">
      <c r="L1267"/>
    </row>
    <row r="1268" spans="12:12" x14ac:dyDescent="0.3">
      <c r="L1268"/>
    </row>
    <row r="1269" spans="12:12" x14ac:dyDescent="0.3">
      <c r="L1269"/>
    </row>
    <row r="1270" spans="12:12" x14ac:dyDescent="0.3">
      <c r="L1270"/>
    </row>
    <row r="1271" spans="12:12" x14ac:dyDescent="0.3">
      <c r="L1271"/>
    </row>
    <row r="1272" spans="12:12" x14ac:dyDescent="0.3">
      <c r="L1272"/>
    </row>
    <row r="1273" spans="12:12" x14ac:dyDescent="0.3">
      <c r="L1273"/>
    </row>
    <row r="1274" spans="12:12" x14ac:dyDescent="0.3">
      <c r="L1274"/>
    </row>
    <row r="1275" spans="12:12" x14ac:dyDescent="0.3">
      <c r="L1275"/>
    </row>
    <row r="1276" spans="12:12" x14ac:dyDescent="0.3">
      <c r="L1276"/>
    </row>
    <row r="1277" spans="12:12" x14ac:dyDescent="0.3">
      <c r="L1277"/>
    </row>
    <row r="1278" spans="12:12" x14ac:dyDescent="0.3">
      <c r="L1278"/>
    </row>
    <row r="1279" spans="12:12" x14ac:dyDescent="0.3">
      <c r="L1279"/>
    </row>
    <row r="1280" spans="12:12" x14ac:dyDescent="0.3">
      <c r="L1280"/>
    </row>
    <row r="1281" spans="12:12" x14ac:dyDescent="0.3">
      <c r="L1281"/>
    </row>
    <row r="1282" spans="12:12" x14ac:dyDescent="0.3">
      <c r="L1282"/>
    </row>
    <row r="1283" spans="12:12" x14ac:dyDescent="0.3">
      <c r="L1283"/>
    </row>
    <row r="1284" spans="12:12" x14ac:dyDescent="0.3">
      <c r="L1284"/>
    </row>
    <row r="1285" spans="12:12" x14ac:dyDescent="0.3">
      <c r="L1285"/>
    </row>
    <row r="1286" spans="12:12" x14ac:dyDescent="0.3">
      <c r="L1286"/>
    </row>
    <row r="1287" spans="12:12" x14ac:dyDescent="0.3">
      <c r="L1287"/>
    </row>
    <row r="1288" spans="12:12" x14ac:dyDescent="0.3">
      <c r="L1288"/>
    </row>
    <row r="1289" spans="12:12" x14ac:dyDescent="0.3">
      <c r="L1289"/>
    </row>
    <row r="1290" spans="12:12" x14ac:dyDescent="0.3">
      <c r="L1290"/>
    </row>
    <row r="1291" spans="12:12" x14ac:dyDescent="0.3">
      <c r="L1291"/>
    </row>
    <row r="1292" spans="12:12" x14ac:dyDescent="0.3">
      <c r="L1292"/>
    </row>
    <row r="1293" spans="12:12" x14ac:dyDescent="0.3">
      <c r="L1293"/>
    </row>
    <row r="1294" spans="12:12" x14ac:dyDescent="0.3">
      <c r="L1294"/>
    </row>
    <row r="1295" spans="12:12" x14ac:dyDescent="0.3">
      <c r="L1295"/>
    </row>
    <row r="1296" spans="12:12" x14ac:dyDescent="0.3">
      <c r="L1296"/>
    </row>
    <row r="1297" spans="12:12" x14ac:dyDescent="0.3">
      <c r="L1297"/>
    </row>
    <row r="1298" spans="12:12" x14ac:dyDescent="0.3">
      <c r="L1298"/>
    </row>
    <row r="1299" spans="12:12" x14ac:dyDescent="0.3">
      <c r="L1299"/>
    </row>
    <row r="1300" spans="12:12" x14ac:dyDescent="0.3">
      <c r="L1300"/>
    </row>
    <row r="1301" spans="12:12" x14ac:dyDescent="0.3">
      <c r="L1301"/>
    </row>
    <row r="1302" spans="12:12" x14ac:dyDescent="0.3">
      <c r="L1302"/>
    </row>
    <row r="1303" spans="12:12" x14ac:dyDescent="0.3">
      <c r="L1303"/>
    </row>
    <row r="1304" spans="12:12" x14ac:dyDescent="0.3">
      <c r="L1304"/>
    </row>
    <row r="1305" spans="12:12" x14ac:dyDescent="0.3">
      <c r="L1305"/>
    </row>
    <row r="1306" spans="12:12" x14ac:dyDescent="0.3">
      <c r="L1306"/>
    </row>
    <row r="1307" spans="12:12" x14ac:dyDescent="0.3">
      <c r="L1307"/>
    </row>
    <row r="1308" spans="12:12" x14ac:dyDescent="0.3">
      <c r="L1308"/>
    </row>
    <row r="1309" spans="12:12" x14ac:dyDescent="0.3">
      <c r="L1309"/>
    </row>
    <row r="1310" spans="12:12" x14ac:dyDescent="0.3">
      <c r="L1310"/>
    </row>
    <row r="1311" spans="12:12" x14ac:dyDescent="0.3">
      <c r="L1311"/>
    </row>
    <row r="1312" spans="12:12" x14ac:dyDescent="0.3">
      <c r="L1312"/>
    </row>
    <row r="1313" spans="12:12" x14ac:dyDescent="0.3">
      <c r="L1313"/>
    </row>
    <row r="1314" spans="12:12" x14ac:dyDescent="0.3">
      <c r="L1314"/>
    </row>
    <row r="1315" spans="12:12" x14ac:dyDescent="0.3">
      <c r="L1315"/>
    </row>
    <row r="1316" spans="12:12" x14ac:dyDescent="0.3">
      <c r="L1316"/>
    </row>
    <row r="1317" spans="12:12" x14ac:dyDescent="0.3">
      <c r="L1317"/>
    </row>
    <row r="1318" spans="12:12" x14ac:dyDescent="0.3">
      <c r="L1318"/>
    </row>
    <row r="1319" spans="12:12" x14ac:dyDescent="0.3">
      <c r="L1319"/>
    </row>
    <row r="1320" spans="12:12" x14ac:dyDescent="0.3">
      <c r="L1320"/>
    </row>
    <row r="1321" spans="12:12" x14ac:dyDescent="0.3">
      <c r="L1321"/>
    </row>
    <row r="1322" spans="12:12" x14ac:dyDescent="0.3">
      <c r="L1322"/>
    </row>
    <row r="1323" spans="12:12" x14ac:dyDescent="0.3">
      <c r="L1323"/>
    </row>
    <row r="1324" spans="12:12" x14ac:dyDescent="0.3">
      <c r="L1324"/>
    </row>
    <row r="1325" spans="12:12" x14ac:dyDescent="0.3">
      <c r="L1325"/>
    </row>
    <row r="1326" spans="12:12" x14ac:dyDescent="0.3">
      <c r="L1326"/>
    </row>
    <row r="1327" spans="12:12" x14ac:dyDescent="0.3">
      <c r="L1327"/>
    </row>
    <row r="1328" spans="12:12" x14ac:dyDescent="0.3">
      <c r="L1328"/>
    </row>
    <row r="1329" spans="12:12" x14ac:dyDescent="0.3">
      <c r="L1329"/>
    </row>
    <row r="1330" spans="12:12" x14ac:dyDescent="0.3">
      <c r="L1330"/>
    </row>
    <row r="1331" spans="12:12" x14ac:dyDescent="0.3">
      <c r="L1331"/>
    </row>
    <row r="1332" spans="12:12" x14ac:dyDescent="0.3">
      <c r="L1332"/>
    </row>
    <row r="1333" spans="12:12" x14ac:dyDescent="0.3">
      <c r="L1333"/>
    </row>
    <row r="1334" spans="12:12" x14ac:dyDescent="0.3">
      <c r="L1334"/>
    </row>
    <row r="1335" spans="12:12" x14ac:dyDescent="0.3">
      <c r="L1335"/>
    </row>
    <row r="1336" spans="12:12" x14ac:dyDescent="0.3">
      <c r="L1336"/>
    </row>
    <row r="1337" spans="12:12" x14ac:dyDescent="0.3">
      <c r="L1337"/>
    </row>
    <row r="1338" spans="12:12" x14ac:dyDescent="0.3">
      <c r="L1338"/>
    </row>
    <row r="1339" spans="12:12" x14ac:dyDescent="0.3">
      <c r="L1339"/>
    </row>
    <row r="1340" spans="12:12" x14ac:dyDescent="0.3">
      <c r="L1340"/>
    </row>
    <row r="1341" spans="12:12" x14ac:dyDescent="0.3">
      <c r="L1341"/>
    </row>
    <row r="1342" spans="12:12" x14ac:dyDescent="0.3">
      <c r="L1342"/>
    </row>
    <row r="1343" spans="12:12" x14ac:dyDescent="0.3">
      <c r="L1343"/>
    </row>
    <row r="1344" spans="12:12" x14ac:dyDescent="0.3">
      <c r="L1344"/>
    </row>
    <row r="1345" spans="12:12" x14ac:dyDescent="0.3">
      <c r="L1345"/>
    </row>
    <row r="1346" spans="12:12" x14ac:dyDescent="0.3">
      <c r="L1346"/>
    </row>
    <row r="1347" spans="12:12" x14ac:dyDescent="0.3">
      <c r="L1347"/>
    </row>
    <row r="1348" spans="12:12" x14ac:dyDescent="0.3">
      <c r="L1348"/>
    </row>
    <row r="1349" spans="12:12" x14ac:dyDescent="0.3">
      <c r="L1349"/>
    </row>
    <row r="1350" spans="12:12" x14ac:dyDescent="0.3">
      <c r="L1350"/>
    </row>
    <row r="1351" spans="12:12" x14ac:dyDescent="0.3">
      <c r="L1351"/>
    </row>
    <row r="1352" spans="12:12" x14ac:dyDescent="0.3">
      <c r="L1352"/>
    </row>
    <row r="1353" spans="12:12" x14ac:dyDescent="0.3">
      <c r="L1353"/>
    </row>
    <row r="1354" spans="12:12" x14ac:dyDescent="0.3">
      <c r="L1354"/>
    </row>
    <row r="1355" spans="12:12" x14ac:dyDescent="0.3">
      <c r="L1355"/>
    </row>
    <row r="1356" spans="12:12" x14ac:dyDescent="0.3">
      <c r="L1356"/>
    </row>
    <row r="1357" spans="12:12" x14ac:dyDescent="0.3">
      <c r="L1357"/>
    </row>
    <row r="1358" spans="12:12" x14ac:dyDescent="0.3">
      <c r="L1358"/>
    </row>
    <row r="1359" spans="12:12" x14ac:dyDescent="0.3">
      <c r="L1359"/>
    </row>
    <row r="1360" spans="12:12" x14ac:dyDescent="0.3">
      <c r="L1360"/>
    </row>
    <row r="1361" spans="12:12" x14ac:dyDescent="0.3">
      <c r="L1361"/>
    </row>
    <row r="1362" spans="12:12" x14ac:dyDescent="0.3">
      <c r="L1362"/>
    </row>
    <row r="1363" spans="12:12" x14ac:dyDescent="0.3">
      <c r="L1363"/>
    </row>
    <row r="1364" spans="12:12" x14ac:dyDescent="0.3">
      <c r="L1364"/>
    </row>
    <row r="1365" spans="12:12" x14ac:dyDescent="0.3">
      <c r="L1365"/>
    </row>
    <row r="1366" spans="12:12" x14ac:dyDescent="0.3">
      <c r="L1366"/>
    </row>
    <row r="1367" spans="12:12" x14ac:dyDescent="0.3">
      <c r="L1367"/>
    </row>
    <row r="1368" spans="12:12" x14ac:dyDescent="0.3">
      <c r="L1368"/>
    </row>
    <row r="1369" spans="12:12" x14ac:dyDescent="0.3">
      <c r="L1369"/>
    </row>
    <row r="1370" spans="12:12" x14ac:dyDescent="0.3">
      <c r="L1370"/>
    </row>
    <row r="1371" spans="12:12" x14ac:dyDescent="0.3">
      <c r="L1371"/>
    </row>
    <row r="1372" spans="12:12" x14ac:dyDescent="0.3">
      <c r="L1372"/>
    </row>
    <row r="1373" spans="12:12" x14ac:dyDescent="0.3">
      <c r="L1373"/>
    </row>
    <row r="1374" spans="12:12" x14ac:dyDescent="0.3">
      <c r="L1374"/>
    </row>
    <row r="1375" spans="12:12" x14ac:dyDescent="0.3">
      <c r="L1375"/>
    </row>
    <row r="1376" spans="12:12" x14ac:dyDescent="0.3">
      <c r="L1376"/>
    </row>
    <row r="1377" spans="12:12" x14ac:dyDescent="0.3">
      <c r="L1377"/>
    </row>
    <row r="1378" spans="12:12" x14ac:dyDescent="0.3">
      <c r="L1378"/>
    </row>
    <row r="1379" spans="12:12" x14ac:dyDescent="0.3">
      <c r="L1379"/>
    </row>
    <row r="1380" spans="12:12" x14ac:dyDescent="0.3">
      <c r="L1380"/>
    </row>
    <row r="1381" spans="12:12" x14ac:dyDescent="0.3">
      <c r="L1381"/>
    </row>
    <row r="1382" spans="12:12" x14ac:dyDescent="0.3">
      <c r="L1382"/>
    </row>
    <row r="1383" spans="12:12" x14ac:dyDescent="0.3">
      <c r="L1383"/>
    </row>
    <row r="1384" spans="12:12" x14ac:dyDescent="0.3">
      <c r="L1384"/>
    </row>
    <row r="1385" spans="12:12" x14ac:dyDescent="0.3">
      <c r="L1385"/>
    </row>
    <row r="1386" spans="12:12" x14ac:dyDescent="0.3">
      <c r="L1386"/>
    </row>
    <row r="1387" spans="12:12" x14ac:dyDescent="0.3">
      <c r="L1387"/>
    </row>
    <row r="1388" spans="12:12" x14ac:dyDescent="0.3">
      <c r="L1388"/>
    </row>
    <row r="1389" spans="12:12" x14ac:dyDescent="0.3">
      <c r="L1389"/>
    </row>
    <row r="1390" spans="12:12" x14ac:dyDescent="0.3">
      <c r="L1390"/>
    </row>
    <row r="1391" spans="12:12" x14ac:dyDescent="0.3">
      <c r="L1391"/>
    </row>
    <row r="1392" spans="12:12" x14ac:dyDescent="0.3">
      <c r="L1392"/>
    </row>
    <row r="1393" spans="12:12" x14ac:dyDescent="0.3">
      <c r="L1393"/>
    </row>
    <row r="1394" spans="12:12" x14ac:dyDescent="0.3">
      <c r="L1394"/>
    </row>
    <row r="1395" spans="12:12" x14ac:dyDescent="0.3">
      <c r="L1395"/>
    </row>
    <row r="1396" spans="12:12" x14ac:dyDescent="0.3">
      <c r="L1396"/>
    </row>
    <row r="1397" spans="12:12" x14ac:dyDescent="0.3">
      <c r="L1397"/>
    </row>
    <row r="1398" spans="12:12" x14ac:dyDescent="0.3">
      <c r="L1398"/>
    </row>
    <row r="1399" spans="12:12" x14ac:dyDescent="0.3">
      <c r="L1399"/>
    </row>
    <row r="1400" spans="12:12" x14ac:dyDescent="0.3">
      <c r="L1400"/>
    </row>
    <row r="1401" spans="12:12" x14ac:dyDescent="0.3">
      <c r="L1401"/>
    </row>
    <row r="1402" spans="12:12" x14ac:dyDescent="0.3">
      <c r="L1402"/>
    </row>
    <row r="1403" spans="12:12" x14ac:dyDescent="0.3">
      <c r="L1403"/>
    </row>
    <row r="1404" spans="12:12" x14ac:dyDescent="0.3">
      <c r="L1404"/>
    </row>
    <row r="1405" spans="12:12" x14ac:dyDescent="0.3">
      <c r="L1405"/>
    </row>
    <row r="1406" spans="12:12" x14ac:dyDescent="0.3">
      <c r="L1406"/>
    </row>
    <row r="1407" spans="12:12" x14ac:dyDescent="0.3">
      <c r="L1407"/>
    </row>
    <row r="1408" spans="12:12" x14ac:dyDescent="0.3">
      <c r="L1408"/>
    </row>
    <row r="1409" spans="12:12" x14ac:dyDescent="0.3">
      <c r="L1409"/>
    </row>
    <row r="1410" spans="12:12" x14ac:dyDescent="0.3">
      <c r="L1410"/>
    </row>
    <row r="1411" spans="12:12" x14ac:dyDescent="0.3">
      <c r="L1411"/>
    </row>
    <row r="1412" spans="12:12" x14ac:dyDescent="0.3">
      <c r="L1412"/>
    </row>
    <row r="1413" spans="12:12" x14ac:dyDescent="0.3">
      <c r="L1413"/>
    </row>
    <row r="1414" spans="12:12" x14ac:dyDescent="0.3">
      <c r="L1414"/>
    </row>
    <row r="1415" spans="12:12" x14ac:dyDescent="0.3">
      <c r="L1415"/>
    </row>
    <row r="1416" spans="12:12" x14ac:dyDescent="0.3">
      <c r="L1416"/>
    </row>
    <row r="1417" spans="12:12" x14ac:dyDescent="0.3">
      <c r="L1417"/>
    </row>
    <row r="1418" spans="12:12" x14ac:dyDescent="0.3">
      <c r="L1418"/>
    </row>
    <row r="1419" spans="12:12" x14ac:dyDescent="0.3">
      <c r="L1419"/>
    </row>
    <row r="1420" spans="12:12" x14ac:dyDescent="0.3">
      <c r="L1420"/>
    </row>
    <row r="1421" spans="12:12" x14ac:dyDescent="0.3">
      <c r="L1421"/>
    </row>
    <row r="1422" spans="12:12" x14ac:dyDescent="0.3">
      <c r="L1422"/>
    </row>
    <row r="1423" spans="12:12" x14ac:dyDescent="0.3">
      <c r="L1423"/>
    </row>
    <row r="1424" spans="12:12" x14ac:dyDescent="0.3">
      <c r="L1424"/>
    </row>
    <row r="1425" spans="12:12" x14ac:dyDescent="0.3">
      <c r="L1425"/>
    </row>
    <row r="1426" spans="12:12" x14ac:dyDescent="0.3">
      <c r="L1426"/>
    </row>
    <row r="1427" spans="12:12" x14ac:dyDescent="0.3">
      <c r="L1427"/>
    </row>
    <row r="1428" spans="12:12" x14ac:dyDescent="0.3">
      <c r="L1428"/>
    </row>
    <row r="1429" spans="12:12" x14ac:dyDescent="0.3">
      <c r="L1429"/>
    </row>
    <row r="1430" spans="12:12" x14ac:dyDescent="0.3">
      <c r="L1430"/>
    </row>
    <row r="1431" spans="12:12" x14ac:dyDescent="0.3">
      <c r="L1431"/>
    </row>
    <row r="1432" spans="12:12" x14ac:dyDescent="0.3">
      <c r="L1432"/>
    </row>
    <row r="1433" spans="12:12" x14ac:dyDescent="0.3">
      <c r="L1433"/>
    </row>
    <row r="1434" spans="12:12" x14ac:dyDescent="0.3">
      <c r="L1434"/>
    </row>
    <row r="1435" spans="12:12" x14ac:dyDescent="0.3">
      <c r="L1435"/>
    </row>
    <row r="1436" spans="12:12" x14ac:dyDescent="0.3">
      <c r="L1436"/>
    </row>
    <row r="1437" spans="12:12" x14ac:dyDescent="0.3">
      <c r="L1437"/>
    </row>
    <row r="1438" spans="12:12" x14ac:dyDescent="0.3">
      <c r="L1438"/>
    </row>
    <row r="1439" spans="12:12" x14ac:dyDescent="0.3">
      <c r="L1439"/>
    </row>
    <row r="1440" spans="12:12" x14ac:dyDescent="0.3">
      <c r="L1440"/>
    </row>
    <row r="1441" spans="12:12" x14ac:dyDescent="0.3">
      <c r="L1441"/>
    </row>
    <row r="1442" spans="12:12" x14ac:dyDescent="0.3">
      <c r="L1442"/>
    </row>
    <row r="1443" spans="12:12" x14ac:dyDescent="0.3">
      <c r="L1443"/>
    </row>
    <row r="1444" spans="12:12" x14ac:dyDescent="0.3">
      <c r="L1444"/>
    </row>
    <row r="1445" spans="12:12" x14ac:dyDescent="0.3">
      <c r="L1445"/>
    </row>
    <row r="1446" spans="12:12" x14ac:dyDescent="0.3">
      <c r="L1446"/>
    </row>
    <row r="1447" spans="12:12" x14ac:dyDescent="0.3">
      <c r="L1447"/>
    </row>
    <row r="1448" spans="12:12" x14ac:dyDescent="0.3">
      <c r="L1448"/>
    </row>
    <row r="1449" spans="12:12" x14ac:dyDescent="0.3">
      <c r="L1449"/>
    </row>
    <row r="1450" spans="12:12" x14ac:dyDescent="0.3">
      <c r="L1450"/>
    </row>
    <row r="1451" spans="12:12" x14ac:dyDescent="0.3">
      <c r="L1451"/>
    </row>
    <row r="1452" spans="12:12" x14ac:dyDescent="0.3">
      <c r="L1452"/>
    </row>
    <row r="1453" spans="12:12" x14ac:dyDescent="0.3">
      <c r="L1453"/>
    </row>
    <row r="1454" spans="12:12" x14ac:dyDescent="0.3">
      <c r="L1454"/>
    </row>
    <row r="1455" spans="12:12" x14ac:dyDescent="0.3">
      <c r="L1455"/>
    </row>
    <row r="1456" spans="12:12" x14ac:dyDescent="0.3">
      <c r="L1456"/>
    </row>
    <row r="1457" spans="12:12" x14ac:dyDescent="0.3">
      <c r="L1457"/>
    </row>
    <row r="1458" spans="12:12" x14ac:dyDescent="0.3">
      <c r="L1458"/>
    </row>
    <row r="1459" spans="12:12" x14ac:dyDescent="0.3">
      <c r="L1459"/>
    </row>
    <row r="1460" spans="12:12" x14ac:dyDescent="0.3">
      <c r="L1460"/>
    </row>
    <row r="1461" spans="12:12" x14ac:dyDescent="0.3">
      <c r="L1461"/>
    </row>
    <row r="1462" spans="12:12" x14ac:dyDescent="0.3">
      <c r="L1462"/>
    </row>
    <row r="1463" spans="12:12" x14ac:dyDescent="0.3">
      <c r="L1463"/>
    </row>
    <row r="1464" spans="12:12" x14ac:dyDescent="0.3">
      <c r="L1464"/>
    </row>
    <row r="1465" spans="12:12" x14ac:dyDescent="0.3">
      <c r="L1465"/>
    </row>
    <row r="1466" spans="12:12" x14ac:dyDescent="0.3">
      <c r="L1466"/>
    </row>
    <row r="1467" spans="12:12" x14ac:dyDescent="0.3">
      <c r="L1467"/>
    </row>
    <row r="1468" spans="12:12" x14ac:dyDescent="0.3">
      <c r="L1468"/>
    </row>
    <row r="1469" spans="12:12" x14ac:dyDescent="0.3">
      <c r="L1469"/>
    </row>
    <row r="1470" spans="12:12" x14ac:dyDescent="0.3">
      <c r="L1470"/>
    </row>
    <row r="1471" spans="12:12" x14ac:dyDescent="0.3">
      <c r="L1471"/>
    </row>
    <row r="1472" spans="12:12" x14ac:dyDescent="0.3">
      <c r="L1472"/>
    </row>
    <row r="1473" spans="12:12" x14ac:dyDescent="0.3">
      <c r="L1473"/>
    </row>
    <row r="1474" spans="12:12" x14ac:dyDescent="0.3">
      <c r="L1474"/>
    </row>
    <row r="1475" spans="12:12" x14ac:dyDescent="0.3">
      <c r="L1475"/>
    </row>
    <row r="1476" spans="12:12" x14ac:dyDescent="0.3">
      <c r="L1476"/>
    </row>
    <row r="1477" spans="12:12" x14ac:dyDescent="0.3">
      <c r="L1477"/>
    </row>
    <row r="1478" spans="12:12" x14ac:dyDescent="0.3">
      <c r="L1478"/>
    </row>
    <row r="1479" spans="12:12" x14ac:dyDescent="0.3">
      <c r="L1479"/>
    </row>
    <row r="1480" spans="12:12" x14ac:dyDescent="0.3">
      <c r="L1480"/>
    </row>
    <row r="1481" spans="12:12" x14ac:dyDescent="0.3">
      <c r="L1481"/>
    </row>
    <row r="1482" spans="12:12" x14ac:dyDescent="0.3">
      <c r="L1482"/>
    </row>
    <row r="1483" spans="12:12" x14ac:dyDescent="0.3">
      <c r="L1483"/>
    </row>
    <row r="1484" spans="12:12" x14ac:dyDescent="0.3">
      <c r="L1484"/>
    </row>
    <row r="1485" spans="12:12" x14ac:dyDescent="0.3">
      <c r="L1485"/>
    </row>
    <row r="1486" spans="12:12" x14ac:dyDescent="0.3">
      <c r="L1486"/>
    </row>
    <row r="1487" spans="12:12" x14ac:dyDescent="0.3">
      <c r="L1487"/>
    </row>
    <row r="1488" spans="12:12" x14ac:dyDescent="0.3">
      <c r="L1488"/>
    </row>
    <row r="1489" spans="12:12" x14ac:dyDescent="0.3">
      <c r="L1489"/>
    </row>
    <row r="1490" spans="12:12" x14ac:dyDescent="0.3">
      <c r="L1490"/>
    </row>
    <row r="1491" spans="12:12" x14ac:dyDescent="0.3">
      <c r="L1491"/>
    </row>
    <row r="1492" spans="12:12" x14ac:dyDescent="0.3">
      <c r="L1492"/>
    </row>
    <row r="1493" spans="12:12" x14ac:dyDescent="0.3">
      <c r="L1493"/>
    </row>
    <row r="1494" spans="12:12" x14ac:dyDescent="0.3">
      <c r="L1494"/>
    </row>
    <row r="1495" spans="12:12" x14ac:dyDescent="0.3">
      <c r="L1495"/>
    </row>
    <row r="1496" spans="12:12" x14ac:dyDescent="0.3">
      <c r="L1496"/>
    </row>
    <row r="1497" spans="12:12" x14ac:dyDescent="0.3">
      <c r="L1497"/>
    </row>
    <row r="1498" spans="12:12" x14ac:dyDescent="0.3">
      <c r="L1498"/>
    </row>
    <row r="1499" spans="12:12" x14ac:dyDescent="0.3">
      <c r="L1499"/>
    </row>
    <row r="1500" spans="12:12" x14ac:dyDescent="0.3">
      <c r="L1500"/>
    </row>
    <row r="1501" spans="12:12" x14ac:dyDescent="0.3">
      <c r="L1501"/>
    </row>
    <row r="1502" spans="12:12" x14ac:dyDescent="0.3">
      <c r="L1502"/>
    </row>
    <row r="1503" spans="12:12" x14ac:dyDescent="0.3">
      <c r="L1503"/>
    </row>
    <row r="1504" spans="12:12" x14ac:dyDescent="0.3">
      <c r="L1504"/>
    </row>
    <row r="1505" spans="12:12" x14ac:dyDescent="0.3">
      <c r="L1505"/>
    </row>
    <row r="1506" spans="12:12" x14ac:dyDescent="0.3">
      <c r="L1506"/>
    </row>
    <row r="1507" spans="12:12" x14ac:dyDescent="0.3">
      <c r="L1507"/>
    </row>
    <row r="1508" spans="12:12" x14ac:dyDescent="0.3">
      <c r="L1508"/>
    </row>
    <row r="1509" spans="12:12" x14ac:dyDescent="0.3">
      <c r="L1509"/>
    </row>
    <row r="1510" spans="12:12" x14ac:dyDescent="0.3">
      <c r="L1510"/>
    </row>
    <row r="1511" spans="12:12" x14ac:dyDescent="0.3">
      <c r="L1511"/>
    </row>
    <row r="1512" spans="12:12" x14ac:dyDescent="0.3">
      <c r="L1512"/>
    </row>
    <row r="1513" spans="12:12" x14ac:dyDescent="0.3">
      <c r="L1513"/>
    </row>
    <row r="1514" spans="12:12" x14ac:dyDescent="0.3">
      <c r="L1514"/>
    </row>
    <row r="1515" spans="12:12" x14ac:dyDescent="0.3">
      <c r="L1515"/>
    </row>
    <row r="1516" spans="12:12" x14ac:dyDescent="0.3">
      <c r="L1516"/>
    </row>
    <row r="1517" spans="12:12" x14ac:dyDescent="0.3">
      <c r="L1517"/>
    </row>
    <row r="1518" spans="12:12" x14ac:dyDescent="0.3">
      <c r="L1518"/>
    </row>
    <row r="1519" spans="12:12" x14ac:dyDescent="0.3">
      <c r="L1519"/>
    </row>
    <row r="1520" spans="12:12" x14ac:dyDescent="0.3">
      <c r="L1520"/>
    </row>
    <row r="1521" spans="12:12" x14ac:dyDescent="0.3">
      <c r="L1521"/>
    </row>
    <row r="1522" spans="12:12" x14ac:dyDescent="0.3">
      <c r="L1522"/>
    </row>
    <row r="1523" spans="12:12" x14ac:dyDescent="0.3">
      <c r="L1523"/>
    </row>
    <row r="1524" spans="12:12" x14ac:dyDescent="0.3">
      <c r="L1524"/>
    </row>
    <row r="1525" spans="12:12" x14ac:dyDescent="0.3">
      <c r="L1525"/>
    </row>
    <row r="1526" spans="12:12" x14ac:dyDescent="0.3">
      <c r="L1526"/>
    </row>
    <row r="1527" spans="12:12" x14ac:dyDescent="0.3">
      <c r="L1527"/>
    </row>
    <row r="1528" spans="12:12" x14ac:dyDescent="0.3">
      <c r="L1528"/>
    </row>
    <row r="1529" spans="12:12" x14ac:dyDescent="0.3">
      <c r="L1529"/>
    </row>
    <row r="1530" spans="12:12" x14ac:dyDescent="0.3">
      <c r="L1530"/>
    </row>
    <row r="1531" spans="12:12" x14ac:dyDescent="0.3">
      <c r="L1531"/>
    </row>
    <row r="1532" spans="12:12" x14ac:dyDescent="0.3">
      <c r="L1532"/>
    </row>
    <row r="1533" spans="12:12" x14ac:dyDescent="0.3">
      <c r="L1533"/>
    </row>
    <row r="1534" spans="12:12" x14ac:dyDescent="0.3">
      <c r="L1534"/>
    </row>
    <row r="1535" spans="12:12" x14ac:dyDescent="0.3">
      <c r="L1535"/>
    </row>
    <row r="1536" spans="12:12" x14ac:dyDescent="0.3">
      <c r="L1536"/>
    </row>
    <row r="1537" spans="12:12" x14ac:dyDescent="0.3">
      <c r="L1537"/>
    </row>
    <row r="1538" spans="12:12" x14ac:dyDescent="0.3">
      <c r="L1538"/>
    </row>
    <row r="1539" spans="12:12" x14ac:dyDescent="0.3">
      <c r="L1539"/>
    </row>
    <row r="1540" spans="12:12" x14ac:dyDescent="0.3">
      <c r="L1540"/>
    </row>
    <row r="1541" spans="12:12" x14ac:dyDescent="0.3">
      <c r="L1541"/>
    </row>
    <row r="1542" spans="12:12" x14ac:dyDescent="0.3">
      <c r="L1542"/>
    </row>
    <row r="1543" spans="12:12" x14ac:dyDescent="0.3">
      <c r="L1543"/>
    </row>
    <row r="1544" spans="12:12" x14ac:dyDescent="0.3">
      <c r="L1544"/>
    </row>
    <row r="1545" spans="12:12" x14ac:dyDescent="0.3">
      <c r="L1545"/>
    </row>
    <row r="1546" spans="12:12" x14ac:dyDescent="0.3">
      <c r="L1546"/>
    </row>
    <row r="1547" spans="12:12" x14ac:dyDescent="0.3">
      <c r="L1547"/>
    </row>
    <row r="1548" spans="12:12" x14ac:dyDescent="0.3">
      <c r="L1548"/>
    </row>
    <row r="1549" spans="12:12" x14ac:dyDescent="0.3">
      <c r="L1549"/>
    </row>
    <row r="1550" spans="12:12" x14ac:dyDescent="0.3">
      <c r="L1550"/>
    </row>
    <row r="1551" spans="12:12" x14ac:dyDescent="0.3">
      <c r="L1551"/>
    </row>
    <row r="1552" spans="12:12" x14ac:dyDescent="0.3">
      <c r="L1552"/>
    </row>
    <row r="1553" spans="12:12" x14ac:dyDescent="0.3">
      <c r="L1553"/>
    </row>
    <row r="1554" spans="12:12" x14ac:dyDescent="0.3">
      <c r="L1554"/>
    </row>
    <row r="1555" spans="12:12" x14ac:dyDescent="0.3">
      <c r="L1555"/>
    </row>
    <row r="1556" spans="12:12" x14ac:dyDescent="0.3">
      <c r="L1556"/>
    </row>
    <row r="1557" spans="12:12" x14ac:dyDescent="0.3">
      <c r="L1557"/>
    </row>
    <row r="1558" spans="12:12" x14ac:dyDescent="0.3">
      <c r="L1558"/>
    </row>
    <row r="1559" spans="12:12" x14ac:dyDescent="0.3">
      <c r="L1559"/>
    </row>
    <row r="1560" spans="12:12" x14ac:dyDescent="0.3">
      <c r="L1560"/>
    </row>
    <row r="1561" spans="12:12" x14ac:dyDescent="0.3">
      <c r="L1561"/>
    </row>
    <row r="1562" spans="12:12" x14ac:dyDescent="0.3">
      <c r="L1562"/>
    </row>
    <row r="1563" spans="12:12" x14ac:dyDescent="0.3">
      <c r="L1563"/>
    </row>
    <row r="1564" spans="12:12" x14ac:dyDescent="0.3">
      <c r="L1564"/>
    </row>
    <row r="1565" spans="12:12" x14ac:dyDescent="0.3">
      <c r="L1565"/>
    </row>
    <row r="1566" spans="12:12" x14ac:dyDescent="0.3">
      <c r="L1566"/>
    </row>
    <row r="1567" spans="12:12" x14ac:dyDescent="0.3">
      <c r="L1567"/>
    </row>
    <row r="1568" spans="12:12" x14ac:dyDescent="0.3">
      <c r="L1568"/>
    </row>
    <row r="1569" spans="12:12" x14ac:dyDescent="0.3">
      <c r="L1569"/>
    </row>
    <row r="1570" spans="12:12" x14ac:dyDescent="0.3">
      <c r="L1570"/>
    </row>
    <row r="1571" spans="12:12" x14ac:dyDescent="0.3">
      <c r="L1571"/>
    </row>
    <row r="1572" spans="12:12" x14ac:dyDescent="0.3">
      <c r="L1572"/>
    </row>
    <row r="1573" spans="12:12" x14ac:dyDescent="0.3">
      <c r="L1573"/>
    </row>
    <row r="1574" spans="12:12" x14ac:dyDescent="0.3">
      <c r="L1574"/>
    </row>
    <row r="1575" spans="12:12" x14ac:dyDescent="0.3">
      <c r="L1575"/>
    </row>
    <row r="1576" spans="12:12" x14ac:dyDescent="0.3">
      <c r="L1576"/>
    </row>
    <row r="1577" spans="12:12" x14ac:dyDescent="0.3">
      <c r="L1577"/>
    </row>
    <row r="1578" spans="12:12" x14ac:dyDescent="0.3">
      <c r="L1578"/>
    </row>
    <row r="1579" spans="12:12" x14ac:dyDescent="0.3">
      <c r="L1579"/>
    </row>
    <row r="1580" spans="12:12" x14ac:dyDescent="0.3">
      <c r="L1580"/>
    </row>
    <row r="1581" spans="12:12" x14ac:dyDescent="0.3">
      <c r="L1581"/>
    </row>
    <row r="1582" spans="12:12" x14ac:dyDescent="0.3">
      <c r="L1582"/>
    </row>
    <row r="1583" spans="12:12" x14ac:dyDescent="0.3">
      <c r="L1583"/>
    </row>
    <row r="1584" spans="12:12" x14ac:dyDescent="0.3">
      <c r="L1584"/>
    </row>
    <row r="1585" spans="12:12" x14ac:dyDescent="0.3">
      <c r="L1585"/>
    </row>
    <row r="1586" spans="12:12" x14ac:dyDescent="0.3">
      <c r="L1586"/>
    </row>
    <row r="1587" spans="12:12" x14ac:dyDescent="0.3">
      <c r="L1587"/>
    </row>
    <row r="1588" spans="12:12" x14ac:dyDescent="0.3">
      <c r="L1588"/>
    </row>
    <row r="1589" spans="12:12" x14ac:dyDescent="0.3">
      <c r="L1589"/>
    </row>
    <row r="1590" spans="12:12" x14ac:dyDescent="0.3">
      <c r="L1590"/>
    </row>
    <row r="1591" spans="12:12" x14ac:dyDescent="0.3">
      <c r="L1591"/>
    </row>
    <row r="1592" spans="12:12" x14ac:dyDescent="0.3">
      <c r="L1592"/>
    </row>
    <row r="1593" spans="12:12" x14ac:dyDescent="0.3">
      <c r="L1593"/>
    </row>
    <row r="1594" spans="12:12" x14ac:dyDescent="0.3">
      <c r="L1594"/>
    </row>
    <row r="1595" spans="12:12" x14ac:dyDescent="0.3">
      <c r="L1595"/>
    </row>
    <row r="1596" spans="12:12" x14ac:dyDescent="0.3">
      <c r="L1596"/>
    </row>
    <row r="1597" spans="12:12" x14ac:dyDescent="0.3">
      <c r="L1597"/>
    </row>
    <row r="1598" spans="12:12" x14ac:dyDescent="0.3">
      <c r="L1598"/>
    </row>
    <row r="1599" spans="12:12" x14ac:dyDescent="0.3">
      <c r="L1599"/>
    </row>
    <row r="1600" spans="12:12" x14ac:dyDescent="0.3">
      <c r="L1600"/>
    </row>
    <row r="1601" spans="12:12" x14ac:dyDescent="0.3">
      <c r="L1601"/>
    </row>
    <row r="1602" spans="12:12" x14ac:dyDescent="0.3">
      <c r="L1602"/>
    </row>
    <row r="1603" spans="12:12" x14ac:dyDescent="0.3">
      <c r="L1603"/>
    </row>
    <row r="1604" spans="12:12" x14ac:dyDescent="0.3">
      <c r="L1604"/>
    </row>
    <row r="1605" spans="12:12" x14ac:dyDescent="0.3">
      <c r="L1605"/>
    </row>
    <row r="1606" spans="12:12" x14ac:dyDescent="0.3">
      <c r="L1606"/>
    </row>
    <row r="1607" spans="12:12" x14ac:dyDescent="0.3">
      <c r="L1607"/>
    </row>
    <row r="1608" spans="12:12" x14ac:dyDescent="0.3">
      <c r="L1608"/>
    </row>
    <row r="1609" spans="12:12" x14ac:dyDescent="0.3">
      <c r="L1609"/>
    </row>
    <row r="1610" spans="12:12" x14ac:dyDescent="0.3">
      <c r="L1610"/>
    </row>
    <row r="1611" spans="12:12" x14ac:dyDescent="0.3">
      <c r="L1611"/>
    </row>
    <row r="1612" spans="12:12" x14ac:dyDescent="0.3">
      <c r="L1612"/>
    </row>
    <row r="1613" spans="12:12" x14ac:dyDescent="0.3">
      <c r="L1613"/>
    </row>
    <row r="1614" spans="12:12" x14ac:dyDescent="0.3">
      <c r="L1614"/>
    </row>
    <row r="1615" spans="12:12" x14ac:dyDescent="0.3">
      <c r="L1615"/>
    </row>
    <row r="1616" spans="12:12" x14ac:dyDescent="0.3">
      <c r="L1616"/>
    </row>
    <row r="1617" spans="12:12" x14ac:dyDescent="0.3">
      <c r="L1617"/>
    </row>
    <row r="1618" spans="12:12" x14ac:dyDescent="0.3">
      <c r="L1618"/>
    </row>
    <row r="1619" spans="12:12" x14ac:dyDescent="0.3">
      <c r="L1619"/>
    </row>
    <row r="1620" spans="12:12" x14ac:dyDescent="0.3">
      <c r="L1620"/>
    </row>
    <row r="1621" spans="12:12" x14ac:dyDescent="0.3">
      <c r="L1621"/>
    </row>
    <row r="1622" spans="12:12" x14ac:dyDescent="0.3">
      <c r="L1622"/>
    </row>
    <row r="1623" spans="12:12" x14ac:dyDescent="0.3">
      <c r="L1623"/>
    </row>
    <row r="1624" spans="12:12" x14ac:dyDescent="0.3">
      <c r="L1624"/>
    </row>
    <row r="1625" spans="12:12" x14ac:dyDescent="0.3">
      <c r="L1625"/>
    </row>
    <row r="1626" spans="12:12" x14ac:dyDescent="0.3">
      <c r="L1626"/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F483-E009-470C-B455-7BA27BF09FD3}">
  <dimension ref="B5:AA139"/>
  <sheetViews>
    <sheetView tabSelected="1" topLeftCell="A7" zoomScale="40" zoomScaleNormal="40" workbookViewId="0">
      <selection activeCell="P15" sqref="P15"/>
    </sheetView>
  </sheetViews>
  <sheetFormatPr baseColWidth="10" defaultColWidth="8.77734375" defaultRowHeight="14.4" x14ac:dyDescent="0.3"/>
  <cols>
    <col min="2" max="2" width="31.21875" bestFit="1" customWidth="1"/>
    <col min="3" max="4" width="15" customWidth="1"/>
    <col min="5" max="8" width="14.5546875" customWidth="1"/>
    <col min="9" max="9" width="23.88671875" bestFit="1" customWidth="1"/>
    <col min="10" max="10" width="13.77734375" customWidth="1"/>
    <col min="11" max="11" width="17.77734375" bestFit="1" customWidth="1"/>
    <col min="12" max="12" width="17.77734375" customWidth="1"/>
    <col min="13" max="13" width="23.21875" bestFit="1" customWidth="1"/>
    <col min="14" max="14" width="12.21875" customWidth="1"/>
    <col min="15" max="15" width="27.109375" bestFit="1" customWidth="1"/>
    <col min="16" max="16" width="11.33203125" customWidth="1"/>
    <col min="17" max="17" width="10.77734375" customWidth="1"/>
    <col min="18" max="18" width="8.21875" customWidth="1"/>
    <col min="19" max="19" width="10.44140625" customWidth="1"/>
    <col min="20" max="20" width="11.77734375" bestFit="1" customWidth="1"/>
    <col min="23" max="23" width="47.77734375" bestFit="1" customWidth="1"/>
    <col min="24" max="24" width="6.21875" bestFit="1" customWidth="1"/>
    <col min="25" max="25" width="13.77734375" bestFit="1" customWidth="1"/>
    <col min="26" max="26" width="12.77734375" customWidth="1"/>
    <col min="27" max="27" width="17.21875" customWidth="1"/>
    <col min="28" max="28" width="14.77734375" customWidth="1"/>
    <col min="29" max="29" width="16.109375" bestFit="1" customWidth="1"/>
    <col min="30" max="30" width="19.77734375" customWidth="1"/>
    <col min="31" max="31" width="18.6640625" bestFit="1" customWidth="1"/>
    <col min="32" max="32" width="19" customWidth="1"/>
    <col min="33" max="33" width="20.44140625" customWidth="1"/>
    <col min="34" max="34" width="18.21875" bestFit="1" customWidth="1"/>
    <col min="35" max="35" width="18.6640625" bestFit="1" customWidth="1"/>
    <col min="38" max="38" width="18.21875" bestFit="1" customWidth="1"/>
    <col min="39" max="39" width="18.6640625" bestFit="1" customWidth="1"/>
  </cols>
  <sheetData>
    <row r="5" spans="2:12" ht="15" thickBot="1" x14ac:dyDescent="0.35"/>
    <row r="6" spans="2:12" ht="15" thickBot="1" x14ac:dyDescent="0.35">
      <c r="C6" s="304" t="s">
        <v>285</v>
      </c>
      <c r="D6" s="305"/>
      <c r="E6" s="305"/>
      <c r="F6" s="305"/>
      <c r="G6" s="305"/>
      <c r="H6" s="305"/>
      <c r="I6" s="305"/>
      <c r="J6" s="306"/>
    </row>
    <row r="7" spans="2:12" ht="15" thickBot="1" x14ac:dyDescent="0.35">
      <c r="C7" s="7" t="s">
        <v>157</v>
      </c>
      <c r="D7" s="7" t="s">
        <v>300</v>
      </c>
      <c r="E7" s="7" t="s">
        <v>158</v>
      </c>
      <c r="F7" s="64" t="s">
        <v>300</v>
      </c>
      <c r="G7" s="181" t="s">
        <v>147</v>
      </c>
      <c r="H7" s="181" t="s">
        <v>181</v>
      </c>
      <c r="I7" s="10"/>
      <c r="J7" s="184" t="s">
        <v>147</v>
      </c>
    </row>
    <row r="8" spans="2:12" ht="15" thickBot="1" x14ac:dyDescent="0.35">
      <c r="B8" s="180" t="s">
        <v>286</v>
      </c>
      <c r="C8" s="185">
        <f>PpCB20!D11</f>
        <v>19.83361721573678</v>
      </c>
      <c r="D8" s="183" t="s">
        <v>301</v>
      </c>
      <c r="E8" s="186">
        <f>PpCB20!D25</f>
        <v>20.696481242989492</v>
      </c>
      <c r="F8" s="183" t="s">
        <v>301</v>
      </c>
      <c r="G8" s="197">
        <f>AVERAGE(C8,E8)</f>
        <v>20.265049229363136</v>
      </c>
      <c r="H8" s="197">
        <f>STDEV(C8,E8)</f>
        <v>0.6101370049123267</v>
      </c>
      <c r="I8" s="205" t="s">
        <v>292</v>
      </c>
      <c r="J8" s="206">
        <f>G8</f>
        <v>20.265049229363136</v>
      </c>
    </row>
    <row r="9" spans="2:12" ht="15" thickBot="1" x14ac:dyDescent="0.35">
      <c r="B9" s="180" t="s">
        <v>287</v>
      </c>
      <c r="C9" s="186">
        <f>(PpCB20!D11-PpCB20!D4)/PpCB20!B11</f>
        <v>0.45135250656880732</v>
      </c>
      <c r="D9" s="183" t="s">
        <v>301</v>
      </c>
      <c r="E9" s="186">
        <f>(PpCB20!D25-PpCB20!D18)/PpCB20!B25</f>
        <v>0.46874253198210092</v>
      </c>
      <c r="F9" s="183" t="s">
        <v>301</v>
      </c>
      <c r="G9" s="199">
        <f>AVERAGE(C9,E9)</f>
        <v>0.46004751927545412</v>
      </c>
      <c r="H9" s="199">
        <f>STDEV(C9,E9)</f>
        <v>1.2296604894746297E-2</v>
      </c>
      <c r="I9" s="205" t="s">
        <v>293</v>
      </c>
      <c r="J9" s="207">
        <f>G9</f>
        <v>0.46004751927545412</v>
      </c>
      <c r="L9" s="19"/>
    </row>
    <row r="10" spans="2:12" ht="15" thickBot="1" x14ac:dyDescent="0.35">
      <c r="B10" s="180" t="s">
        <v>326</v>
      </c>
      <c r="C10" s="200">
        <v>0.33067059510558189</v>
      </c>
      <c r="D10" s="200">
        <f>C10*SQRT((D18/C18)^2+(D14/C14)^2)</f>
        <v>9.025550766478041E-3</v>
      </c>
      <c r="E10" s="200">
        <v>0.33744723123806414</v>
      </c>
      <c r="F10" s="200">
        <f>E10*SQRT((F18/E18)^2+(F14/E14)^2)</f>
        <v>9.2105169362704867E-3</v>
      </c>
      <c r="G10" s="201">
        <f t="shared" ref="G10:G18" si="0">AVERAGE(C10,E10)</f>
        <v>0.33405891317182301</v>
      </c>
      <c r="H10" s="201">
        <f>G10*SQRT((D10/C10)^2+(F10/E10)^2)</f>
        <v>1.289484713479047E-2</v>
      </c>
      <c r="I10" s="202" t="s">
        <v>291</v>
      </c>
      <c r="J10" s="208">
        <f>G10*($M$27/$M$24)</f>
        <v>0.27929767651207843</v>
      </c>
    </row>
    <row r="11" spans="2:12" ht="15" thickBot="1" x14ac:dyDescent="0.35">
      <c r="B11" s="180" t="s">
        <v>327</v>
      </c>
      <c r="C11" s="200">
        <v>0.15289385121707799</v>
      </c>
      <c r="D11" s="200">
        <f>C11*SQRT((D15/C15)^2+(D14/C14)^2)</f>
        <v>4.9989509191478657E-3</v>
      </c>
      <c r="E11" s="200">
        <v>0.15603651127669557</v>
      </c>
      <c r="F11" s="200">
        <f>E11*SQRT((F15/E15)^2+(F14/E14)^2)</f>
        <v>5.101701966809616E-3</v>
      </c>
      <c r="G11" s="201">
        <f t="shared" si="0"/>
        <v>0.1544651812468868</v>
      </c>
      <c r="H11" s="201">
        <f t="shared" ref="H11:H18" si="1">G11*SQRT((D11/C11)^2+(F11/E11)^2)</f>
        <v>7.1422401500720071E-3</v>
      </c>
      <c r="I11" s="202" t="s">
        <v>291</v>
      </c>
      <c r="J11" s="208">
        <f>G11*($M$30/$M$24)</f>
        <v>0.14475887980357433</v>
      </c>
    </row>
    <row r="12" spans="2:12" ht="15" thickBot="1" x14ac:dyDescent="0.35">
      <c r="B12" s="180" t="s">
        <v>328</v>
      </c>
      <c r="C12" s="200">
        <v>0.46237510525621373</v>
      </c>
      <c r="D12" s="200">
        <f>C12*SQRT((D15/C15)^2+(D18/C18)^2)</f>
        <v>1.7763871459509761E-2</v>
      </c>
      <c r="E12" s="200">
        <v>0.46240270131780714</v>
      </c>
      <c r="F12" s="200">
        <f>E12*SQRT((F15/E15)^2+(F18/E18)^2)</f>
        <v>1.7764931665574839E-2</v>
      </c>
      <c r="G12" s="201">
        <f t="shared" si="0"/>
        <v>0.46238890328701043</v>
      </c>
      <c r="H12" s="201">
        <f t="shared" si="1"/>
        <v>2.5122657617189119E-2</v>
      </c>
      <c r="I12" s="202" t="s">
        <v>291</v>
      </c>
      <c r="J12" s="208">
        <f>G12*($M$30/$M$27)</f>
        <v>0.51829588343536503</v>
      </c>
    </row>
    <row r="13" spans="2:12" ht="15" thickBot="1" x14ac:dyDescent="0.35">
      <c r="B13" s="180" t="s">
        <v>329</v>
      </c>
      <c r="C13" s="200">
        <v>0.51643555367733984</v>
      </c>
      <c r="D13" s="200">
        <f>C13*SQRT((D16/C16)^2+(D14/C14)^2)</f>
        <v>1.2755017266637962E-2</v>
      </c>
      <c r="E13" s="200">
        <v>0.50651625748524032</v>
      </c>
      <c r="F13" s="200">
        <f>E13*SQRT((F16/E16)^2+(F14/E14)^2)</f>
        <v>1.3825203279776989E-2</v>
      </c>
      <c r="G13" s="201">
        <f t="shared" si="0"/>
        <v>0.51147590558129008</v>
      </c>
      <c r="H13" s="201">
        <f t="shared" si="1"/>
        <v>1.8827594129275309E-2</v>
      </c>
      <c r="I13" s="202" t="s">
        <v>291</v>
      </c>
      <c r="J13" s="208">
        <f>G13*($M$21/$M$24)</f>
        <v>0.70256100513834507</v>
      </c>
      <c r="K13" s="19"/>
    </row>
    <row r="14" spans="2:12" ht="15" thickBot="1" x14ac:dyDescent="0.35">
      <c r="B14" s="180" t="s">
        <v>288</v>
      </c>
      <c r="C14" s="200">
        <v>8.7151057089784295E-2</v>
      </c>
      <c r="D14" s="200">
        <f>0.013*C14</f>
        <v>1.1329637421671958E-3</v>
      </c>
      <c r="E14" s="200">
        <v>8.5383006177220305E-2</v>
      </c>
      <c r="F14" s="200">
        <f>0.013*E14</f>
        <v>1.1099790803038639E-3</v>
      </c>
      <c r="G14" s="201">
        <f t="shared" si="0"/>
        <v>8.62670316335023E-2</v>
      </c>
      <c r="H14" s="201">
        <f t="shared" si="1"/>
        <v>1.586000079582981E-3</v>
      </c>
      <c r="I14" s="202" t="s">
        <v>296</v>
      </c>
      <c r="J14" s="208">
        <f>G14*($M$24/$M$27)</f>
        <v>0.10318120504951923</v>
      </c>
      <c r="K14" s="19"/>
      <c r="L14" s="19"/>
    </row>
    <row r="15" spans="2:12" ht="14.55" customHeight="1" thickBot="1" x14ac:dyDescent="0.35">
      <c r="B15" s="180" t="s">
        <v>289</v>
      </c>
      <c r="C15" s="200">
        <v>1.3324860756096573E-2</v>
      </c>
      <c r="D15" s="200">
        <f>0.03*C15</f>
        <v>3.9974582268289719E-4</v>
      </c>
      <c r="E15" s="200">
        <v>1.3322866406209999E-2</v>
      </c>
      <c r="F15" s="200">
        <f>0.03*E15</f>
        <v>3.9968599218629996E-4</v>
      </c>
      <c r="G15" s="201">
        <f t="shared" si="0"/>
        <v>1.3323863581153287E-2</v>
      </c>
      <c r="H15" s="201">
        <f t="shared" si="1"/>
        <v>5.6528365739027804E-4</v>
      </c>
      <c r="I15" s="202" t="s">
        <v>295</v>
      </c>
      <c r="J15" s="208">
        <f>G15*($M$30/$M$33)*(1000/$M$27)</f>
        <v>0.1657952776401688</v>
      </c>
      <c r="K15" s="19"/>
      <c r="L15" s="19"/>
    </row>
    <row r="16" spans="2:12" ht="15" thickBot="1" x14ac:dyDescent="0.35">
      <c r="B16" s="180" t="s">
        <v>325</v>
      </c>
      <c r="C16" s="200">
        <v>4.5007904421728209E-2</v>
      </c>
      <c r="D16" s="200">
        <f>0.021*C16</f>
        <v>9.451659928562925E-4</v>
      </c>
      <c r="E16" s="200">
        <v>4.3247880741724774E-2</v>
      </c>
      <c r="F16" s="200">
        <f>0.024*E16</f>
        <v>1.0379491378013947E-3</v>
      </c>
      <c r="G16" s="201">
        <f t="shared" si="0"/>
        <v>4.4127892581726488E-2</v>
      </c>
      <c r="H16" s="201">
        <f t="shared" si="1"/>
        <v>1.4072577976573328E-3</v>
      </c>
      <c r="I16" s="202" t="s">
        <v>335</v>
      </c>
      <c r="J16" s="208">
        <f>G16*(1000/$M$27)</f>
        <v>1.6473141197449002</v>
      </c>
      <c r="K16" s="19"/>
      <c r="L16" s="19"/>
    </row>
    <row r="17" spans="2:13" ht="16.95" customHeight="1" thickBot="1" x14ac:dyDescent="0.35">
      <c r="B17" s="180" t="s">
        <v>340</v>
      </c>
      <c r="C17" s="200">
        <v>8.8177169681647904E-2</v>
      </c>
      <c r="D17" s="200">
        <f>0.016*C17</f>
        <v>1.4108347149063664E-3</v>
      </c>
      <c r="E17" s="200">
        <v>8.5533205593384704E-2</v>
      </c>
      <c r="F17" s="200">
        <f>0.018*E17</f>
        <v>1.5395977006809245E-3</v>
      </c>
      <c r="G17" s="201">
        <f t="shared" si="0"/>
        <v>8.6855187637516304E-2</v>
      </c>
      <c r="H17" s="201">
        <f t="shared" si="1"/>
        <v>2.0917499131918081E-3</v>
      </c>
      <c r="I17" s="202" t="s">
        <v>339</v>
      </c>
      <c r="J17" s="208">
        <f>G17*(1000/$M$27)</f>
        <v>3.2423433025583077</v>
      </c>
      <c r="K17" s="19"/>
      <c r="L17" s="19"/>
      <c r="M17" s="182" t="s">
        <v>330</v>
      </c>
    </row>
    <row r="18" spans="2:13" ht="15" thickBot="1" x14ac:dyDescent="0.35">
      <c r="B18" s="180" t="s">
        <v>353</v>
      </c>
      <c r="C18" s="200">
        <v>2.8818291911959514E-2</v>
      </c>
      <c r="D18" s="200">
        <f>0.024*C18</f>
        <v>6.9163900588702836E-4</v>
      </c>
      <c r="E18" s="200">
        <v>2.8812259029285511E-2</v>
      </c>
      <c r="F18" s="200">
        <f>0.024*E18</f>
        <v>6.9149421670285224E-4</v>
      </c>
      <c r="G18" s="203">
        <f t="shared" si="0"/>
        <v>2.8815275470622514E-2</v>
      </c>
      <c r="H18" s="203">
        <f t="shared" si="1"/>
        <v>9.7802288097770707E-4</v>
      </c>
      <c r="I18" s="209" t="s">
        <v>294</v>
      </c>
      <c r="J18" s="210">
        <f>G18</f>
        <v>2.8815275470622514E-2</v>
      </c>
      <c r="K18" s="19"/>
      <c r="L18" s="19"/>
      <c r="M18" s="2">
        <v>44.01</v>
      </c>
    </row>
    <row r="19" spans="2:13" ht="15" thickBot="1" x14ac:dyDescent="0.35">
      <c r="J19" s="19"/>
    </row>
    <row r="20" spans="2:13" x14ac:dyDescent="0.3">
      <c r="D20" s="87"/>
      <c r="M20" s="182" t="s">
        <v>330</v>
      </c>
    </row>
    <row r="21" spans="2:13" ht="15" thickBot="1" x14ac:dyDescent="0.35">
      <c r="E21" s="19"/>
      <c r="F21" s="19"/>
      <c r="G21" s="19"/>
      <c r="H21" s="19"/>
      <c r="I21" s="19"/>
      <c r="J21" s="19"/>
      <c r="M21" s="2">
        <v>44.01</v>
      </c>
    </row>
    <row r="22" spans="2:13" ht="15" thickBot="1" x14ac:dyDescent="0.35">
      <c r="E22" s="19"/>
      <c r="F22" s="19"/>
      <c r="G22" s="19"/>
      <c r="H22" s="19"/>
      <c r="I22" s="19"/>
      <c r="J22" s="19"/>
    </row>
    <row r="23" spans="2:13" ht="15" thickBot="1" x14ac:dyDescent="0.35">
      <c r="C23" s="314" t="s">
        <v>290</v>
      </c>
      <c r="D23" s="315"/>
      <c r="E23" s="315"/>
      <c r="F23" s="315"/>
      <c r="G23" s="315"/>
      <c r="H23" s="315"/>
      <c r="I23" s="315"/>
      <c r="J23" s="316"/>
      <c r="M23" s="182" t="s">
        <v>331</v>
      </c>
    </row>
    <row r="24" spans="2:13" ht="15" thickBot="1" x14ac:dyDescent="0.35">
      <c r="C24" s="7" t="s">
        <v>157</v>
      </c>
      <c r="D24" s="7" t="s">
        <v>300</v>
      </c>
      <c r="E24" s="7" t="s">
        <v>158</v>
      </c>
      <c r="F24" s="7" t="s">
        <v>300</v>
      </c>
      <c r="G24" s="181" t="s">
        <v>147</v>
      </c>
      <c r="H24" s="181" t="s">
        <v>181</v>
      </c>
      <c r="I24" s="10"/>
      <c r="J24" s="184" t="s">
        <v>147</v>
      </c>
      <c r="M24" s="2">
        <v>32.04</v>
      </c>
    </row>
    <row r="25" spans="2:13" ht="15" thickBot="1" x14ac:dyDescent="0.35">
      <c r="B25" s="180" t="s">
        <v>286</v>
      </c>
      <c r="C25" s="185">
        <f>PpCB21!D11</f>
        <v>21.922126209962201</v>
      </c>
      <c r="D25" s="185" t="s">
        <v>301</v>
      </c>
      <c r="E25" s="186">
        <f>PpCB21!D25</f>
        <v>20.896186669547365</v>
      </c>
      <c r="F25" s="64" t="s">
        <v>301</v>
      </c>
      <c r="G25" s="197">
        <f>AVERAGE(C25,E25)</f>
        <v>21.409156439754781</v>
      </c>
      <c r="H25" s="197">
        <f>STDEV(C25,E25)</f>
        <v>0.72544880611474039</v>
      </c>
      <c r="I25" s="198" t="s">
        <v>292</v>
      </c>
      <c r="J25" s="206">
        <f>G25</f>
        <v>21.409156439754781</v>
      </c>
    </row>
    <row r="26" spans="2:13" ht="15" thickBot="1" x14ac:dyDescent="0.35">
      <c r="B26" s="180" t="s">
        <v>287</v>
      </c>
      <c r="C26" s="186">
        <f>(PpCB21!D11-PpCB21!D4)/PpCB21!B11</f>
        <v>0.49798360721114987</v>
      </c>
      <c r="D26" s="186" t="s">
        <v>301</v>
      </c>
      <c r="E26" s="186">
        <f>(PpCB21!D25-PpCB21!D18)/PpCB21!B25</f>
        <v>0.46689024604446228</v>
      </c>
      <c r="F26" s="183" t="s">
        <v>301</v>
      </c>
      <c r="G26" s="199">
        <f>AVERAGE(C26,E26)</f>
        <v>0.48243692662780607</v>
      </c>
      <c r="H26" s="199">
        <f>STDEV(C26,E26)</f>
        <v>2.1986326530847259E-2</v>
      </c>
      <c r="I26" s="198" t="s">
        <v>293</v>
      </c>
      <c r="J26" s="207">
        <f>G26</f>
        <v>0.48243692662780607</v>
      </c>
      <c r="L26" s="19"/>
      <c r="M26" s="182" t="s">
        <v>332</v>
      </c>
    </row>
    <row r="27" spans="2:13" ht="15" thickBot="1" x14ac:dyDescent="0.35">
      <c r="B27" s="180" t="s">
        <v>326</v>
      </c>
      <c r="C27" s="200">
        <v>0.30360911019770603</v>
      </c>
      <c r="D27" s="200">
        <f>C27*SQRT((D35/C35)^2+(D31/C31)^2)</f>
        <v>8.4357451162166489E-3</v>
      </c>
      <c r="E27" s="200">
        <v>0.2993299433568804</v>
      </c>
      <c r="F27" s="200">
        <f>E27*SQRT((F35/E35)^2+(F31/E31)^2)</f>
        <v>8.4716191136651464E-3</v>
      </c>
      <c r="G27" s="201">
        <f t="shared" ref="G27:G35" si="2">AVERAGE(C27,E27)</f>
        <v>0.30146952677729322</v>
      </c>
      <c r="H27" s="201">
        <f>G27*SQRT((D27/C27)^2+(F27/E27)^2)</f>
        <v>1.1956602204639346E-2</v>
      </c>
      <c r="I27" s="202" t="s">
        <v>291</v>
      </c>
      <c r="J27" s="208">
        <f>G27*($M$27/$M$24)</f>
        <v>0.25205056667590159</v>
      </c>
      <c r="M27" s="66">
        <v>26.787782641333788</v>
      </c>
    </row>
    <row r="28" spans="2:13" ht="15" thickBot="1" x14ac:dyDescent="0.35">
      <c r="B28" s="180" t="s">
        <v>327</v>
      </c>
      <c r="C28" s="200">
        <v>0.16462434693298095</v>
      </c>
      <c r="D28" s="200">
        <f>C28*SQRT((D32/C32)^2+(D31/C31)^2)</f>
        <v>5.4500356385081637E-3</v>
      </c>
      <c r="E28" s="200">
        <v>0.16405216101278747</v>
      </c>
      <c r="F28" s="200">
        <f>E28*SQRT((F32/E32)^2+(F31/E31)^2)</f>
        <v>5.3562465303737912E-3</v>
      </c>
      <c r="G28" s="201">
        <f t="shared" si="2"/>
        <v>0.16433825397288421</v>
      </c>
      <c r="H28" s="201">
        <f t="shared" ref="H28:H35" si="3">G28*SQRT((D28/C28)^2+(F28/E28)^2)</f>
        <v>7.6412870274690705E-3</v>
      </c>
      <c r="I28" s="202" t="s">
        <v>291</v>
      </c>
      <c r="J28" s="208">
        <f>G28*($M$30/$M$24)</f>
        <v>0.15401154721054316</v>
      </c>
    </row>
    <row r="29" spans="2:13" ht="15" customHeight="1" thickBot="1" x14ac:dyDescent="0.35">
      <c r="B29" s="180" t="s">
        <v>328</v>
      </c>
      <c r="C29" s="200">
        <v>0.5422246612619096</v>
      </c>
      <c r="D29" s="200">
        <f>C29*SQRT((D32/C32)^2+(D35/C35)^2)</f>
        <v>2.0831591223959698E-2</v>
      </c>
      <c r="E29" s="200">
        <v>0.54806465124404191</v>
      </c>
      <c r="F29" s="200">
        <f>E29*SQRT((F32/E32)^2+(F35/E35)^2)</f>
        <v>2.0630830796979312E-2</v>
      </c>
      <c r="G29" s="201">
        <f t="shared" si="2"/>
        <v>0.54514465625297581</v>
      </c>
      <c r="H29" s="201">
        <f t="shared" si="3"/>
        <v>2.9321485982564389E-2</v>
      </c>
      <c r="I29" s="202" t="s">
        <v>291</v>
      </c>
      <c r="J29" s="208">
        <f>G29*($M$30/$M$27)</f>
        <v>0.61105755177979393</v>
      </c>
      <c r="M29" s="182" t="s">
        <v>333</v>
      </c>
    </row>
    <row r="30" spans="2:13" ht="15" thickBot="1" x14ac:dyDescent="0.35">
      <c r="B30" s="180" t="s">
        <v>329</v>
      </c>
      <c r="C30" s="200">
        <v>0.53176654286931313</v>
      </c>
      <c r="D30" s="200">
        <f>C30*SQRT((D33/C33)^2+(D31/C31)^2)</f>
        <v>1.5236758633993111E-2</v>
      </c>
      <c r="E30" s="200">
        <v>0.53661789563033213</v>
      </c>
      <c r="F30" s="200">
        <f>E30*SQRT((F33/E33)^2+(F31/E31)^2)</f>
        <v>1.6107478017540925E-2</v>
      </c>
      <c r="G30" s="201">
        <f t="shared" si="2"/>
        <v>0.53419221924982263</v>
      </c>
      <c r="H30" s="201">
        <f t="shared" si="3"/>
        <v>2.2167368027764169E-2</v>
      </c>
      <c r="I30" s="202" t="s">
        <v>291</v>
      </c>
      <c r="J30" s="208">
        <f>G30*($M$21/$M$24)</f>
        <v>0.73376403149764968</v>
      </c>
      <c r="K30" s="19"/>
      <c r="M30" s="66">
        <v>30.026666666666667</v>
      </c>
    </row>
    <row r="31" spans="2:13" ht="15" customHeight="1" thickBot="1" x14ac:dyDescent="0.35">
      <c r="B31" s="180" t="s">
        <v>288</v>
      </c>
      <c r="C31" s="200">
        <v>9.1754794560554506E-2</v>
      </c>
      <c r="D31" s="200">
        <f>0.014*C31</f>
        <v>1.2845671238477631E-3</v>
      </c>
      <c r="E31" s="200">
        <v>8.7544707925085702E-2</v>
      </c>
      <c r="F31" s="200">
        <f>0.015*E31</f>
        <v>1.3131706188762855E-3</v>
      </c>
      <c r="G31" s="201">
        <f t="shared" si="2"/>
        <v>8.9649751242820097E-2</v>
      </c>
      <c r="H31" s="201">
        <f t="shared" si="3"/>
        <v>1.8394591039258524E-3</v>
      </c>
      <c r="I31" s="202" t="s">
        <v>296</v>
      </c>
      <c r="J31" s="208">
        <f>G31*($M$24/$M$27)</f>
        <v>0.10722716651388126</v>
      </c>
      <c r="K31" s="19"/>
      <c r="L31" s="19"/>
    </row>
    <row r="32" spans="2:13" ht="15" thickBot="1" x14ac:dyDescent="0.35">
      <c r="B32" s="180" t="s">
        <v>289</v>
      </c>
      <c r="C32" s="200">
        <v>1.5105073132501113E-2</v>
      </c>
      <c r="D32" s="200">
        <f>0.03*C32</f>
        <v>4.5315219397503337E-4</v>
      </c>
      <c r="E32" s="200">
        <v>1.4361898520343617E-2</v>
      </c>
      <c r="F32" s="200">
        <f>0.029*E32</f>
        <v>4.1649505708996493E-4</v>
      </c>
      <c r="G32" s="201">
        <f t="shared" si="2"/>
        <v>1.4733485826422366E-2</v>
      </c>
      <c r="H32" s="201">
        <f t="shared" si="3"/>
        <v>6.1475899961208687E-4</v>
      </c>
      <c r="I32" s="202" t="s">
        <v>295</v>
      </c>
      <c r="J32" s="208">
        <f>G32*($M$30/$M$33)*(1000/$M$27)</f>
        <v>0.18333588889745661</v>
      </c>
      <c r="K32" s="19"/>
      <c r="M32" s="182" t="s">
        <v>334</v>
      </c>
    </row>
    <row r="33" spans="2:13" ht="15" thickBot="1" x14ac:dyDescent="0.35">
      <c r="B33" s="180" t="s">
        <v>325</v>
      </c>
      <c r="C33" s="200">
        <v>4.879212989515011E-2</v>
      </c>
      <c r="D33" s="200">
        <f>0.025*C33</f>
        <v>1.2198032473787529E-3</v>
      </c>
      <c r="E33" s="200">
        <v>4.6978056940331574E-2</v>
      </c>
      <c r="F33" s="200">
        <f>0.026*E33</f>
        <v>1.2214294804486208E-3</v>
      </c>
      <c r="G33" s="201">
        <f t="shared" si="2"/>
        <v>4.7885093417740845E-2</v>
      </c>
      <c r="H33" s="201">
        <f t="shared" si="3"/>
        <v>1.7271855155961456E-3</v>
      </c>
      <c r="I33" s="202" t="s">
        <v>335</v>
      </c>
      <c r="J33" s="208">
        <f>G33*(1000/$M$27)</f>
        <v>1.7875721204282775</v>
      </c>
      <c r="K33" s="19"/>
      <c r="L33" s="19"/>
      <c r="M33" s="66">
        <v>90.08</v>
      </c>
    </row>
    <row r="34" spans="2:13" ht="15" thickBot="1" x14ac:dyDescent="0.35">
      <c r="B34" s="180" t="s">
        <v>340</v>
      </c>
      <c r="C34" s="200">
        <v>9.4276807277865304E-2</v>
      </c>
      <c r="D34" s="200">
        <f>0.019*C34</f>
        <v>1.7912593382794408E-3</v>
      </c>
      <c r="E34" s="200">
        <v>9.0380991755806106E-2</v>
      </c>
      <c r="F34" s="200">
        <f>0.02*E34</f>
        <v>1.8076198351161222E-3</v>
      </c>
      <c r="G34" s="201">
        <f>AVERAGE(C34,E34)</f>
        <v>9.2328899516835705E-2</v>
      </c>
      <c r="H34" s="201">
        <f t="shared" si="3"/>
        <v>2.5470061144485592E-3</v>
      </c>
      <c r="I34" s="202" t="s">
        <v>339</v>
      </c>
      <c r="J34" s="208">
        <f>G34*(1000/$M$27)</f>
        <v>3.4466794341675513</v>
      </c>
      <c r="K34" s="19"/>
      <c r="L34" s="19"/>
      <c r="M34" s="102"/>
    </row>
    <row r="35" spans="2:13" ht="15" thickBot="1" x14ac:dyDescent="0.35">
      <c r="B35" s="180" t="s">
        <v>353</v>
      </c>
      <c r="C35" s="200">
        <v>2.7857591532903261E-2</v>
      </c>
      <c r="D35" s="200">
        <f>0.024*C35</f>
        <v>6.6858219678967822E-4</v>
      </c>
      <c r="E35" s="200">
        <v>2.6204752464410556E-2</v>
      </c>
      <c r="F35" s="200">
        <f>0.024*E35</f>
        <v>6.2891405914585342E-4</v>
      </c>
      <c r="G35" s="203">
        <f t="shared" si="2"/>
        <v>2.7031171998656907E-2</v>
      </c>
      <c r="H35" s="203">
        <f t="shared" si="3"/>
        <v>9.1746840113617067E-4</v>
      </c>
      <c r="I35" s="204" t="s">
        <v>294</v>
      </c>
      <c r="J35" s="210">
        <f>G35</f>
        <v>2.7031171998656907E-2</v>
      </c>
      <c r="K35" s="19"/>
      <c r="L35" s="19"/>
    </row>
    <row r="39" spans="2:13" ht="15" thickBot="1" x14ac:dyDescent="0.35"/>
    <row r="40" spans="2:13" ht="15" thickBot="1" x14ac:dyDescent="0.35">
      <c r="C40" s="220" t="s">
        <v>324</v>
      </c>
      <c r="D40" s="221"/>
      <c r="E40" s="221"/>
      <c r="F40" s="221"/>
      <c r="G40" s="221"/>
      <c r="H40" s="221"/>
      <c r="I40" s="221"/>
      <c r="J40" s="222"/>
    </row>
    <row r="41" spans="2:13" ht="15" thickBot="1" x14ac:dyDescent="0.35">
      <c r="C41" s="7" t="s">
        <v>157</v>
      </c>
      <c r="D41" s="7" t="s">
        <v>300</v>
      </c>
      <c r="E41" s="7" t="s">
        <v>158</v>
      </c>
      <c r="F41" s="64" t="s">
        <v>300</v>
      </c>
      <c r="G41" s="181" t="s">
        <v>147</v>
      </c>
      <c r="H41" s="181" t="s">
        <v>181</v>
      </c>
      <c r="I41" s="10"/>
      <c r="J41" s="184" t="s">
        <v>147</v>
      </c>
    </row>
    <row r="42" spans="2:13" ht="15" thickBot="1" x14ac:dyDescent="0.35">
      <c r="B42" s="180" t="s">
        <v>286</v>
      </c>
      <c r="C42" s="51">
        <v>18.7014</v>
      </c>
      <c r="D42" s="183" t="s">
        <v>301</v>
      </c>
      <c r="E42" s="186">
        <f>PpCB21P!D25</f>
        <v>19.331800000000001</v>
      </c>
      <c r="F42" s="183" t="s">
        <v>301</v>
      </c>
      <c r="G42" s="197">
        <f>AVERAGE(C42,E42)</f>
        <v>19.0166</v>
      </c>
      <c r="H42" s="197">
        <f>STDEV(C42,E42)</f>
        <v>0.44576011486000072</v>
      </c>
      <c r="I42" s="205" t="s">
        <v>292</v>
      </c>
      <c r="J42" s="206">
        <f>G42</f>
        <v>19.0166</v>
      </c>
    </row>
    <row r="43" spans="2:13" ht="15" thickBot="1" x14ac:dyDescent="0.35">
      <c r="B43" s="180" t="s">
        <v>287</v>
      </c>
      <c r="C43" s="186">
        <f>(PpCB21P!D11-PpCB21P!D4)/PpCB21P!B11</f>
        <v>0.45022391857506361</v>
      </c>
      <c r="D43" s="183" t="s">
        <v>301</v>
      </c>
      <c r="E43" s="186">
        <f>(PpCB21P!D25-PpCB21P!D18)/PpCB21P!B25</f>
        <v>0.46262086513994916</v>
      </c>
      <c r="F43" s="183" t="s">
        <v>301</v>
      </c>
      <c r="G43" s="199">
        <f>AVERAGE(C43,E43)</f>
        <v>0.45642239185750638</v>
      </c>
      <c r="H43" s="199">
        <f>STDEV(C43,E43)</f>
        <v>8.7659649820378462E-3</v>
      </c>
      <c r="I43" s="205" t="s">
        <v>293</v>
      </c>
      <c r="J43" s="207">
        <f>G43</f>
        <v>0.45642239185750638</v>
      </c>
      <c r="L43" s="19"/>
    </row>
    <row r="44" spans="2:13" ht="15" thickBot="1" x14ac:dyDescent="0.35">
      <c r="B44" s="180" t="s">
        <v>326</v>
      </c>
      <c r="C44" s="200">
        <v>0.2463974462181073</v>
      </c>
      <c r="D44" s="200">
        <f>C44*SQRT((D52/C52)^2+(D48/C48)^2)</f>
        <v>6.1005141603982464E-3</v>
      </c>
      <c r="E44" s="200">
        <v>0.25610571753603417</v>
      </c>
      <c r="F44" s="200">
        <f>E44*SQRT((F52/E52)^2+(F48/E48)^2)</f>
        <v>6.2523373692219752E-3</v>
      </c>
      <c r="G44" s="201">
        <f t="shared" ref="G44:G52" si="4">AVERAGE(C44,E44)</f>
        <v>0.25125158187707075</v>
      </c>
      <c r="H44" s="201">
        <f>G44*SQRT((D44/C44)^2+(F44/E44)^2)</f>
        <v>8.7361876749207975E-3</v>
      </c>
      <c r="I44" s="202" t="s">
        <v>291</v>
      </c>
      <c r="J44" s="208">
        <f>G44*($M$27/$M$24)</f>
        <v>0.21006469299669947</v>
      </c>
      <c r="K44" s="19"/>
      <c r="L44" s="19"/>
    </row>
    <row r="45" spans="2:13" ht="15" thickBot="1" x14ac:dyDescent="0.35">
      <c r="B45" s="180" t="s">
        <v>327</v>
      </c>
      <c r="C45" s="200">
        <v>0.15252986677880845</v>
      </c>
      <c r="D45" s="200">
        <f>C45*SQRT((D49/C49)^2+(D48/C48)^2)</f>
        <v>5.2595164557797608E-3</v>
      </c>
      <c r="E45" s="200">
        <v>0.15854114598239671</v>
      </c>
      <c r="F45" s="200">
        <f>E45*SQRT((F49/E49)^2+(F48/E48)^2)</f>
        <v>5.1054187764844388E-3</v>
      </c>
      <c r="G45" s="201">
        <f t="shared" si="4"/>
        <v>0.1555355063806026</v>
      </c>
      <c r="H45" s="201">
        <f t="shared" ref="H45:H52" si="5">G45*SQRT((D45/C45)^2+(F45/E45)^2)</f>
        <v>7.338243650665115E-3</v>
      </c>
      <c r="I45" s="202" t="s">
        <v>291</v>
      </c>
      <c r="J45" s="208">
        <f>G45*($M$30/$M$24)</f>
        <v>0.14576194771914983</v>
      </c>
      <c r="K45" s="19"/>
      <c r="L45" s="19"/>
    </row>
    <row r="46" spans="2:13" ht="15" thickBot="1" x14ac:dyDescent="0.35">
      <c r="B46" s="180" t="s">
        <v>328</v>
      </c>
      <c r="C46" s="200">
        <v>0.61903996620075075</v>
      </c>
      <c r="D46" s="200">
        <f>C46*SQRT((D49/C49)^2+(D52/C52)^2)</f>
        <v>2.165755358341943E-2</v>
      </c>
      <c r="E46" s="200">
        <v>0.61904571091853866</v>
      </c>
      <c r="F46" s="200">
        <f>E46*SQRT((F49/E49)^2+(F52/E52)^2)</f>
        <v>2.1807637009278173E-2</v>
      </c>
      <c r="G46" s="201">
        <f t="shared" si="4"/>
        <v>0.6190428385596447</v>
      </c>
      <c r="H46" s="201">
        <f t="shared" si="5"/>
        <v>3.0734713251809213E-2</v>
      </c>
      <c r="I46" s="202" t="s">
        <v>291</v>
      </c>
      <c r="J46" s="208">
        <f>G46*($M$30/$M$27)</f>
        <v>0.69389068944946819</v>
      </c>
      <c r="K46" s="19"/>
      <c r="L46" s="19"/>
    </row>
    <row r="47" spans="2:13" ht="15" thickBot="1" x14ac:dyDescent="0.35">
      <c r="B47" s="180" t="s">
        <v>329</v>
      </c>
      <c r="C47" s="200">
        <v>0.60107268700308425</v>
      </c>
      <c r="D47" s="200">
        <f>C47*SQRT((D50/C50)^2+(D48/C48)^2)</f>
        <v>1.968914488850566E-2</v>
      </c>
      <c r="E47" s="200">
        <v>0.58535313648156906</v>
      </c>
      <c r="F47" s="200">
        <f>E47*SQRT((F50/E50)^2+(F48/E48)^2)</f>
        <v>1.6263971325237929E-2</v>
      </c>
      <c r="G47" s="201">
        <f t="shared" si="4"/>
        <v>0.5932129117423266</v>
      </c>
      <c r="H47" s="201">
        <f t="shared" si="5"/>
        <v>2.5480548968255339E-2</v>
      </c>
      <c r="I47" s="202" t="s">
        <v>291</v>
      </c>
      <c r="J47" s="208">
        <f>G47*($M$21/$M$24)</f>
        <v>0.81483458944381382</v>
      </c>
      <c r="K47" s="19"/>
      <c r="L47" s="19"/>
    </row>
    <row r="48" spans="2:13" ht="15" thickBot="1" x14ac:dyDescent="0.35">
      <c r="B48" s="180" t="s">
        <v>288</v>
      </c>
      <c r="C48" s="200">
        <v>0.10586441117079</v>
      </c>
      <c r="D48" s="200">
        <f>0.017*C48</f>
        <v>1.7996949899034302E-3</v>
      </c>
      <c r="E48" s="200">
        <v>0.10213235534394</v>
      </c>
      <c r="F48" s="200">
        <f>0.014*E48</f>
        <v>1.4298529748151599E-3</v>
      </c>
      <c r="G48" s="201">
        <f t="shared" si="4"/>
        <v>0.10399838325736499</v>
      </c>
      <c r="H48" s="201">
        <f t="shared" si="5"/>
        <v>2.290326811673544E-3</v>
      </c>
      <c r="I48" s="202" t="s">
        <v>296</v>
      </c>
      <c r="J48" s="208">
        <f>G48*($M$24/$M$27)</f>
        <v>0.12438910096367967</v>
      </c>
      <c r="K48" s="19"/>
      <c r="L48" s="19"/>
    </row>
    <row r="49" spans="2:12" ht="15" thickBot="1" x14ac:dyDescent="0.35">
      <c r="B49" s="180" t="s">
        <v>289</v>
      </c>
      <c r="C49" s="200">
        <v>1.6147484532497671E-2</v>
      </c>
      <c r="D49" s="200">
        <f>0.03*C49</f>
        <v>4.8442453597493014E-4</v>
      </c>
      <c r="E49" s="200">
        <v>1.6192180658109654E-2</v>
      </c>
      <c r="F49" s="200">
        <f>0.029*E49</f>
        <v>4.6957323908517997E-4</v>
      </c>
      <c r="G49" s="201">
        <f t="shared" si="4"/>
        <v>1.6169832595303663E-2</v>
      </c>
      <c r="H49" s="201">
        <f t="shared" si="5"/>
        <v>6.7469098808625868E-4</v>
      </c>
      <c r="I49" s="202" t="s">
        <v>295</v>
      </c>
      <c r="J49" s="208">
        <f>G49*($M$30/$M$33)*(1000/$M$27)</f>
        <v>0.201209046325388</v>
      </c>
      <c r="K49" s="19"/>
    </row>
    <row r="50" spans="2:12" ht="15" thickBot="1" x14ac:dyDescent="0.35">
      <c r="B50" s="180" t="s">
        <v>325</v>
      </c>
      <c r="C50" s="200">
        <v>6.3632206080426357E-2</v>
      </c>
      <c r="D50" s="200">
        <f>0.028*C50</f>
        <v>1.7817017702519381E-3</v>
      </c>
      <c r="E50" s="200">
        <v>5.9783494536825597E-2</v>
      </c>
      <c r="F50" s="200">
        <f>0.024*E50</f>
        <v>1.4348038688838144E-3</v>
      </c>
      <c r="G50" s="201">
        <f t="shared" si="4"/>
        <v>6.1707850308625981E-2</v>
      </c>
      <c r="H50" s="201">
        <f t="shared" si="5"/>
        <v>2.2756730771374073E-3</v>
      </c>
      <c r="I50" s="202" t="s">
        <v>335</v>
      </c>
      <c r="J50" s="208">
        <f>G50*(1000/$M$27)</f>
        <v>2.3035818654661702</v>
      </c>
      <c r="K50" s="19"/>
      <c r="L50" s="19"/>
    </row>
    <row r="51" spans="2:12" ht="15" thickBot="1" x14ac:dyDescent="0.35">
      <c r="B51" s="180" t="s">
        <v>340</v>
      </c>
      <c r="C51" s="200">
        <v>0.116196684657788</v>
      </c>
      <c r="D51" s="200">
        <f>0.023*C51</f>
        <v>2.6725237471291238E-3</v>
      </c>
      <c r="E51" s="200">
        <v>0.11048093075688099</v>
      </c>
      <c r="F51" s="200">
        <f>0.019*E51</f>
        <v>2.0991376843807388E-3</v>
      </c>
      <c r="G51" s="201">
        <f>AVERAGE(C51,E51)</f>
        <v>0.1133388077073345</v>
      </c>
      <c r="H51" s="201">
        <f t="shared" si="5"/>
        <v>3.3812216647157176E-3</v>
      </c>
      <c r="I51" s="202" t="s">
        <v>339</v>
      </c>
      <c r="J51" s="208">
        <f>G51*(1000/$M$27)</f>
        <v>4.2309887766690961</v>
      </c>
      <c r="K51" s="19"/>
      <c r="L51" s="19"/>
    </row>
    <row r="52" spans="2:12" ht="15" thickBot="1" x14ac:dyDescent="0.35">
      <c r="B52" s="180" t="s">
        <v>353</v>
      </c>
      <c r="C52" s="200">
        <v>2.6084720557866443E-2</v>
      </c>
      <c r="D52" s="200">
        <f>0.018*C52</f>
        <v>4.6952497004159596E-4</v>
      </c>
      <c r="E52" s="200">
        <v>2.6156680149005043E-2</v>
      </c>
      <c r="F52" s="200">
        <f>0.02*E52</f>
        <v>5.2313360298010092E-4</v>
      </c>
      <c r="G52" s="203">
        <f t="shared" si="4"/>
        <v>2.6120700353435743E-2</v>
      </c>
      <c r="H52" s="203">
        <f t="shared" si="5"/>
        <v>7.028361648027798E-4</v>
      </c>
      <c r="I52" s="209" t="s">
        <v>294</v>
      </c>
      <c r="J52" s="210">
        <f>G52</f>
        <v>2.6120700353435743E-2</v>
      </c>
      <c r="K52" s="19"/>
      <c r="L52" s="19"/>
    </row>
    <row r="54" spans="2:12" x14ac:dyDescent="0.3">
      <c r="H54" s="213"/>
    </row>
    <row r="55" spans="2:12" x14ac:dyDescent="0.3">
      <c r="H55" s="213"/>
    </row>
    <row r="56" spans="2:12" x14ac:dyDescent="0.3">
      <c r="H56" s="213"/>
    </row>
    <row r="57" spans="2:12" ht="15" thickBot="1" x14ac:dyDescent="0.35">
      <c r="H57" s="213"/>
    </row>
    <row r="58" spans="2:12" ht="15" thickBot="1" x14ac:dyDescent="0.35">
      <c r="C58" s="310" t="s">
        <v>336</v>
      </c>
      <c r="D58" s="311"/>
      <c r="E58" s="312" t="s">
        <v>337</v>
      </c>
      <c r="F58" s="313"/>
      <c r="G58" s="220" t="s">
        <v>338</v>
      </c>
      <c r="H58" s="222"/>
    </row>
    <row r="59" spans="2:12" ht="15" thickBot="1" x14ac:dyDescent="0.35">
      <c r="C59" s="64" t="s">
        <v>157</v>
      </c>
      <c r="D59" s="64" t="s">
        <v>158</v>
      </c>
      <c r="E59" s="64" t="s">
        <v>157</v>
      </c>
      <c r="F59" s="64" t="s">
        <v>158</v>
      </c>
      <c r="G59" s="64" t="s">
        <v>157</v>
      </c>
      <c r="H59" s="64" t="s">
        <v>158</v>
      </c>
    </row>
    <row r="60" spans="2:12" ht="15" thickBot="1" x14ac:dyDescent="0.35">
      <c r="B60" s="180" t="s">
        <v>329</v>
      </c>
      <c r="C60" s="108">
        <v>0.51643555367733984</v>
      </c>
      <c r="D60" s="108">
        <v>0.50651625748524032</v>
      </c>
      <c r="E60" s="108">
        <v>0.53176654286931313</v>
      </c>
      <c r="F60" s="108">
        <v>0.53661789563033213</v>
      </c>
      <c r="G60" s="108">
        <v>0.60107268700308425</v>
      </c>
      <c r="H60" s="108">
        <v>0.58535313648156906</v>
      </c>
    </row>
    <row r="61" spans="2:12" ht="15" thickBot="1" x14ac:dyDescent="0.35">
      <c r="B61" s="180" t="s">
        <v>325</v>
      </c>
      <c r="C61" s="200">
        <v>4.5007904421728209E-2</v>
      </c>
      <c r="D61" s="200">
        <v>4.3247880741724774E-2</v>
      </c>
      <c r="E61" s="200">
        <v>4.879212989515011E-2</v>
      </c>
      <c r="F61" s="200">
        <v>4.6978056940331574E-2</v>
      </c>
      <c r="G61" s="200">
        <v>6.3632206080426357E-2</v>
      </c>
      <c r="H61" s="200">
        <v>5.9783494536825597E-2</v>
      </c>
    </row>
    <row r="62" spans="2:12" ht="15" thickBot="1" x14ac:dyDescent="0.35">
      <c r="B62" s="180" t="s">
        <v>288</v>
      </c>
      <c r="C62" s="200">
        <v>8.7151057089784295E-2</v>
      </c>
      <c r="D62" s="200">
        <v>8.5383006177220305E-2</v>
      </c>
      <c r="E62" s="200">
        <v>9.1754794560554506E-2</v>
      </c>
      <c r="F62" s="200">
        <v>8.7544707925085702E-2</v>
      </c>
      <c r="G62" s="200">
        <v>0.10586441117079</v>
      </c>
      <c r="H62" s="200">
        <v>0.10213235534394</v>
      </c>
    </row>
    <row r="63" spans="2:12" ht="15" thickBot="1" x14ac:dyDescent="0.35">
      <c r="B63" s="180" t="s">
        <v>289</v>
      </c>
      <c r="C63" s="200">
        <v>1.3324860756096573E-2</v>
      </c>
      <c r="D63" s="200">
        <v>1.3322866406209999E-2</v>
      </c>
      <c r="E63" s="200">
        <v>1.5105073132501113E-2</v>
      </c>
      <c r="F63" s="200">
        <v>1.4361898520343617E-2</v>
      </c>
      <c r="G63" s="200">
        <v>1.6147484532497671E-2</v>
      </c>
      <c r="H63" s="200">
        <v>1.6192180658109654E-2</v>
      </c>
    </row>
    <row r="68" spans="2:9" ht="15" thickBot="1" x14ac:dyDescent="0.35"/>
    <row r="69" spans="2:9" ht="15" thickBot="1" x14ac:dyDescent="0.35">
      <c r="B69" s="307" t="s">
        <v>329</v>
      </c>
      <c r="C69" s="308"/>
      <c r="D69" s="309"/>
      <c r="G69" s="307" t="s">
        <v>325</v>
      </c>
      <c r="H69" s="308"/>
      <c r="I69" s="309"/>
    </row>
    <row r="71" spans="2:9" x14ac:dyDescent="0.3">
      <c r="B71" t="s">
        <v>341</v>
      </c>
      <c r="G71" t="s">
        <v>341</v>
      </c>
    </row>
    <row r="72" spans="2:9" ht="15" thickBot="1" x14ac:dyDescent="0.35"/>
    <row r="73" spans="2:9" ht="15" thickBot="1" x14ac:dyDescent="0.35">
      <c r="B73" s="112"/>
      <c r="C73" s="212" t="s">
        <v>336</v>
      </c>
      <c r="D73" s="128" t="s">
        <v>337</v>
      </c>
      <c r="G73" s="112"/>
      <c r="H73" s="212" t="s">
        <v>336</v>
      </c>
      <c r="I73" s="128" t="s">
        <v>337</v>
      </c>
    </row>
    <row r="74" spans="2:9" x14ac:dyDescent="0.3">
      <c r="B74" t="s">
        <v>342</v>
      </c>
      <c r="C74">
        <v>0.51147590558129008</v>
      </c>
      <c r="D74">
        <v>0.53419221924982263</v>
      </c>
      <c r="G74" t="s">
        <v>342</v>
      </c>
      <c r="H74">
        <v>4.4127892581726488E-2</v>
      </c>
      <c r="I74">
        <v>4.7885093417740845E-2</v>
      </c>
    </row>
    <row r="75" spans="2:9" x14ac:dyDescent="0.3">
      <c r="B75" t="s">
        <v>343</v>
      </c>
      <c r="C75">
        <v>4.9196218473300067E-5</v>
      </c>
      <c r="D75">
        <v>1.1767811805923343E-5</v>
      </c>
      <c r="G75" t="s">
        <v>343</v>
      </c>
      <c r="H75">
        <v>1.5488416770864168E-6</v>
      </c>
      <c r="I75">
        <v>1.6454303427020282E-6</v>
      </c>
    </row>
    <row r="76" spans="2:9" x14ac:dyDescent="0.3">
      <c r="B76" t="s">
        <v>344</v>
      </c>
      <c r="C76">
        <v>2</v>
      </c>
      <c r="D76">
        <v>2</v>
      </c>
      <c r="G76" t="s">
        <v>344</v>
      </c>
      <c r="H76">
        <v>2</v>
      </c>
      <c r="I76">
        <v>2</v>
      </c>
    </row>
    <row r="77" spans="2:9" x14ac:dyDescent="0.3">
      <c r="B77" t="s">
        <v>345</v>
      </c>
      <c r="C77">
        <v>3.0482015139611706E-5</v>
      </c>
      <c r="G77" t="s">
        <v>345</v>
      </c>
      <c r="H77">
        <v>1.5971360098942224E-6</v>
      </c>
    </row>
    <row r="78" spans="2:9" x14ac:dyDescent="0.3">
      <c r="B78" t="s">
        <v>346</v>
      </c>
      <c r="C78">
        <v>0</v>
      </c>
      <c r="G78" t="s">
        <v>346</v>
      </c>
      <c r="H78">
        <v>0</v>
      </c>
    </row>
    <row r="79" spans="2:9" x14ac:dyDescent="0.3">
      <c r="B79" t="s">
        <v>347</v>
      </c>
      <c r="C79">
        <v>2</v>
      </c>
      <c r="G79" t="s">
        <v>347</v>
      </c>
      <c r="H79">
        <v>2</v>
      </c>
    </row>
    <row r="80" spans="2:9" ht="14.4" customHeight="1" x14ac:dyDescent="0.3">
      <c r="B80" s="317" t="s">
        <v>348</v>
      </c>
      <c r="C80" s="318">
        <v>-4.1144900801658819</v>
      </c>
      <c r="D80" s="317"/>
      <c r="E80" s="317"/>
      <c r="F80" s="317"/>
      <c r="G80" s="317" t="s">
        <v>348</v>
      </c>
      <c r="H80" s="318">
        <v>-2.9729900758274224</v>
      </c>
    </row>
    <row r="81" spans="2:14" x14ac:dyDescent="0.3">
      <c r="B81" t="s">
        <v>349</v>
      </c>
      <c r="C81">
        <v>2.7151669494439756E-2</v>
      </c>
      <c r="G81" t="s">
        <v>349</v>
      </c>
      <c r="H81">
        <v>4.8481585416770834E-2</v>
      </c>
    </row>
    <row r="82" spans="2:14" ht="14.4" customHeight="1" x14ac:dyDescent="0.3">
      <c r="B82" t="s">
        <v>350</v>
      </c>
      <c r="C82">
        <v>2.9199855803537269</v>
      </c>
      <c r="G82" t="s">
        <v>350</v>
      </c>
      <c r="H82">
        <v>2.9199855803537269</v>
      </c>
    </row>
    <row r="83" spans="2:14" x14ac:dyDescent="0.3">
      <c r="B83" s="317" t="s">
        <v>351</v>
      </c>
      <c r="C83" s="214">
        <v>5.4303338988879513E-2</v>
      </c>
      <c r="G83" s="317" t="s">
        <v>351</v>
      </c>
      <c r="H83" s="214">
        <v>9.6963170833541668E-2</v>
      </c>
    </row>
    <row r="84" spans="2:14" ht="15" thickBot="1" x14ac:dyDescent="0.35">
      <c r="B84" s="319" t="s">
        <v>352</v>
      </c>
      <c r="C84" s="319">
        <v>4.3026527297494637</v>
      </c>
      <c r="D84" s="319"/>
      <c r="E84" s="317"/>
      <c r="F84" s="317"/>
      <c r="G84" s="319" t="s">
        <v>352</v>
      </c>
      <c r="H84" s="319">
        <v>4.3026527297494637</v>
      </c>
      <c r="I84" s="111"/>
    </row>
    <row r="88" spans="2:14" ht="15" thickBot="1" x14ac:dyDescent="0.35"/>
    <row r="89" spans="2:14" ht="15" thickBot="1" x14ac:dyDescent="0.35">
      <c r="B89" s="307" t="s">
        <v>329</v>
      </c>
      <c r="C89" s="308"/>
      <c r="D89" s="309"/>
      <c r="G89" s="307" t="s">
        <v>325</v>
      </c>
      <c r="H89" s="308"/>
      <c r="I89" s="309"/>
      <c r="L89" s="307" t="s">
        <v>288</v>
      </c>
      <c r="M89" s="308"/>
      <c r="N89" s="309"/>
    </row>
    <row r="91" spans="2:14" x14ac:dyDescent="0.3">
      <c r="B91" t="s">
        <v>341</v>
      </c>
      <c r="G91" t="s">
        <v>341</v>
      </c>
      <c r="L91" t="s">
        <v>341</v>
      </c>
    </row>
    <row r="92" spans="2:14" ht="15" thickBot="1" x14ac:dyDescent="0.35"/>
    <row r="93" spans="2:14" ht="15" thickBot="1" x14ac:dyDescent="0.35">
      <c r="B93" s="112"/>
      <c r="C93" s="211" t="s">
        <v>337</v>
      </c>
      <c r="D93" s="167" t="s">
        <v>338</v>
      </c>
      <c r="G93" s="112"/>
      <c r="H93" s="211" t="s">
        <v>337</v>
      </c>
      <c r="I93" s="167" t="s">
        <v>338</v>
      </c>
      <c r="L93" s="112"/>
      <c r="M93" s="211" t="s">
        <v>337</v>
      </c>
      <c r="N93" s="167" t="s">
        <v>338</v>
      </c>
    </row>
    <row r="94" spans="2:14" x14ac:dyDescent="0.3">
      <c r="B94" t="s">
        <v>342</v>
      </c>
      <c r="C94">
        <v>0.53419221924982263</v>
      </c>
      <c r="D94">
        <v>0.5932129117423266</v>
      </c>
      <c r="G94" t="s">
        <v>342</v>
      </c>
      <c r="H94">
        <v>4.7885093417740845E-2</v>
      </c>
      <c r="I94">
        <v>6.1707850308625981E-2</v>
      </c>
      <c r="L94" t="s">
        <v>342</v>
      </c>
      <c r="M94">
        <v>8.9649751242820097E-2</v>
      </c>
      <c r="N94">
        <v>0.10399838325736499</v>
      </c>
    </row>
    <row r="95" spans="2:14" x14ac:dyDescent="0.3">
      <c r="B95" t="s">
        <v>343</v>
      </c>
      <c r="C95">
        <v>1.1767811805923343E-5</v>
      </c>
      <c r="D95">
        <v>1.2355213429923425E-4</v>
      </c>
      <c r="G95" t="s">
        <v>343</v>
      </c>
      <c r="H95">
        <v>1.6454303427020282E-6</v>
      </c>
      <c r="I95">
        <v>7.4062902729228704E-6</v>
      </c>
      <c r="L95" t="s">
        <v>343</v>
      </c>
      <c r="M95">
        <v>8.8624147390765178E-6</v>
      </c>
      <c r="N95">
        <v>6.9641203473625303E-6</v>
      </c>
    </row>
    <row r="96" spans="2:14" x14ac:dyDescent="0.3">
      <c r="B96" t="s">
        <v>344</v>
      </c>
      <c r="C96">
        <v>2</v>
      </c>
      <c r="D96">
        <v>2</v>
      </c>
      <c r="G96" t="s">
        <v>344</v>
      </c>
      <c r="H96">
        <v>2</v>
      </c>
      <c r="I96">
        <v>2</v>
      </c>
      <c r="L96" t="s">
        <v>344</v>
      </c>
      <c r="M96">
        <v>2</v>
      </c>
      <c r="N96">
        <v>2</v>
      </c>
    </row>
    <row r="97" spans="2:14" x14ac:dyDescent="0.3">
      <c r="B97" t="s">
        <v>345</v>
      </c>
      <c r="C97">
        <v>6.765997305257879E-5</v>
      </c>
      <c r="G97" t="s">
        <v>345</v>
      </c>
      <c r="H97">
        <v>4.5258603078124497E-6</v>
      </c>
      <c r="L97" t="s">
        <v>345</v>
      </c>
      <c r="M97">
        <v>7.9132675432195245E-6</v>
      </c>
    </row>
    <row r="98" spans="2:14" x14ac:dyDescent="0.3">
      <c r="B98" t="s">
        <v>346</v>
      </c>
      <c r="C98">
        <v>0</v>
      </c>
      <c r="G98" t="s">
        <v>346</v>
      </c>
      <c r="H98">
        <v>0</v>
      </c>
      <c r="L98" t="s">
        <v>346</v>
      </c>
      <c r="M98">
        <v>0</v>
      </c>
    </row>
    <row r="99" spans="2:14" x14ac:dyDescent="0.3">
      <c r="B99" t="s">
        <v>347</v>
      </c>
      <c r="C99">
        <v>2</v>
      </c>
      <c r="G99" t="s">
        <v>347</v>
      </c>
      <c r="H99">
        <v>2</v>
      </c>
      <c r="L99" t="s">
        <v>347</v>
      </c>
      <c r="M99">
        <v>2</v>
      </c>
    </row>
    <row r="100" spans="2:14" x14ac:dyDescent="0.3">
      <c r="B100" s="317" t="s">
        <v>348</v>
      </c>
      <c r="C100" s="318">
        <v>-7.1752723570210293</v>
      </c>
      <c r="D100" s="317"/>
      <c r="E100" s="317"/>
      <c r="F100" s="317"/>
      <c r="G100" s="317" t="s">
        <v>348</v>
      </c>
      <c r="H100" s="318">
        <v>-6.4974672223170513</v>
      </c>
      <c r="I100" s="317"/>
      <c r="J100" s="317"/>
      <c r="K100" s="317"/>
      <c r="L100" s="317" t="s">
        <v>348</v>
      </c>
      <c r="M100" s="318">
        <v>-5.1007327931527584</v>
      </c>
    </row>
    <row r="101" spans="2:14" x14ac:dyDescent="0.3">
      <c r="B101" t="s">
        <v>349</v>
      </c>
      <c r="C101">
        <v>9.4375646258373462E-3</v>
      </c>
      <c r="G101" t="s">
        <v>349</v>
      </c>
      <c r="H101">
        <v>1.143869113254597E-2</v>
      </c>
      <c r="L101" t="s">
        <v>349</v>
      </c>
      <c r="M101">
        <v>1.8176386029739738E-2</v>
      </c>
    </row>
    <row r="102" spans="2:14" x14ac:dyDescent="0.3">
      <c r="B102" t="s">
        <v>350</v>
      </c>
      <c r="C102">
        <v>2.9199855803537269</v>
      </c>
      <c r="G102" t="s">
        <v>350</v>
      </c>
      <c r="H102">
        <v>2.9199855803537269</v>
      </c>
      <c r="L102" t="s">
        <v>350</v>
      </c>
      <c r="M102">
        <v>2.9199855803537269</v>
      </c>
    </row>
    <row r="103" spans="2:14" x14ac:dyDescent="0.3">
      <c r="B103" s="317" t="s">
        <v>351</v>
      </c>
      <c r="C103" s="70">
        <v>1.8875129251674692E-2</v>
      </c>
      <c r="G103" s="317" t="s">
        <v>351</v>
      </c>
      <c r="H103" s="70">
        <v>2.287738226509194E-2</v>
      </c>
      <c r="L103" s="317" t="s">
        <v>351</v>
      </c>
      <c r="M103" s="70">
        <v>3.6352772059479475E-2</v>
      </c>
    </row>
    <row r="104" spans="2:14" ht="15" thickBot="1" x14ac:dyDescent="0.35">
      <c r="B104" s="319" t="s">
        <v>352</v>
      </c>
      <c r="C104" s="319">
        <v>4.3026527297494637</v>
      </c>
      <c r="D104" s="319"/>
      <c r="E104" s="317"/>
      <c r="F104" s="317"/>
      <c r="G104" s="319" t="s">
        <v>352</v>
      </c>
      <c r="H104" s="319">
        <v>4.3026527297494637</v>
      </c>
      <c r="I104" s="319"/>
      <c r="J104" s="317"/>
      <c r="K104" s="317"/>
      <c r="L104" s="319" t="s">
        <v>352</v>
      </c>
      <c r="M104" s="319">
        <v>4.3026527297494637</v>
      </c>
      <c r="N104" s="111"/>
    </row>
    <row r="139" spans="27:27" x14ac:dyDescent="0.3">
      <c r="AA139" s="19"/>
    </row>
  </sheetData>
  <mergeCells count="11">
    <mergeCell ref="L89:N89"/>
    <mergeCell ref="C6:J6"/>
    <mergeCell ref="C40:J40"/>
    <mergeCell ref="C58:D58"/>
    <mergeCell ref="E58:F58"/>
    <mergeCell ref="G58:H58"/>
    <mergeCell ref="G89:I89"/>
    <mergeCell ref="B69:D69"/>
    <mergeCell ref="G69:I69"/>
    <mergeCell ref="C23:J23"/>
    <mergeCell ref="B89:D89"/>
  </mergeCells>
  <pageMargins left="0.7" right="0.7" top="0.75" bottom="0.75" header="0.3" footer="0.3"/>
  <pageSetup paperSize="9" orientation="portrait" r:id="rId1"/>
  <ignoredErrors>
    <ignoredError sqref="F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IR_3HP</vt:lpstr>
      <vt:lpstr>UV_3HP</vt:lpstr>
      <vt:lpstr>Raw DCW</vt:lpstr>
      <vt:lpstr>Raw DO600</vt:lpstr>
      <vt:lpstr>PpCB20</vt:lpstr>
      <vt:lpstr>PpCB21</vt:lpstr>
      <vt:lpstr>PpCB21P</vt:lpstr>
      <vt:lpstr>Process calc</vt:lpstr>
      <vt:lpstr>Process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usuari_sid</dc:creator>
  <cp:lastModifiedBy>Sílvia Àvila Cabré</cp:lastModifiedBy>
  <dcterms:created xsi:type="dcterms:W3CDTF">2022-05-17T09:43:56Z</dcterms:created>
  <dcterms:modified xsi:type="dcterms:W3CDTF">2023-11-08T22:04:41Z</dcterms:modified>
</cp:coreProperties>
</file>