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btassoc-my.sharepoint.com/personal/joseph_chabi_pmivectorlink_com/Documents/Desktop/Submission 2 Fondjo et al/Submission MJ 2/Supp data/"/>
    </mc:Choice>
  </mc:AlternateContent>
  <xr:revisionPtr revIDLastSave="87" documentId="14_{86254713-33A3-4AD0-A4AB-45D0F29A1A75}" xr6:coauthVersionLast="47" xr6:coauthVersionMax="47" xr10:uidLastSave="{4A75935A-AE57-413E-986A-8625B4BF80E4}"/>
  <bookViews>
    <workbookView xWindow="-110" yWindow="-110" windowWidth="19420" windowHeight="10420" xr2:uid="{8163ED24-1013-49F3-B465-BC7AFF79BCBA}"/>
  </bookViews>
  <sheets>
    <sheet name="Gounougou-Simatou" sheetId="1" r:id="rId1"/>
    <sheet name="Mangoum-Nyab-Bonaberi" sheetId="2" r:id="rId2"/>
    <sheet name="Total AG" sheetId="5" r:id="rId3"/>
    <sheet name="Other An" sheetId="4" r:id="rId4"/>
    <sheet name="Table 4" sheetId="3" r:id="rId5"/>
    <sheet name="EIR indoor vs outdoor" sheetId="6" r:id="rId6"/>
    <sheet name="Mann-Whitney-Gounougou" sheetId="7" r:id="rId7"/>
    <sheet name="Mann-Whitney-Simatou" sheetId="8" r:id="rId8"/>
    <sheet name="Mann-Whitney-Mangoum" sheetId="9" r:id="rId9"/>
    <sheet name="Mann-Whitney-Nyabessang" sheetId="10" r:id="rId10"/>
    <sheet name="Mann-Whitney-Bonaberi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" i="1" l="1"/>
  <c r="X14" i="1"/>
  <c r="X20" i="1"/>
  <c r="X25" i="1"/>
  <c r="G13" i="5"/>
  <c r="F13" i="5"/>
  <c r="F12" i="5"/>
  <c r="G7" i="3"/>
  <c r="W21" i="1" l="1"/>
  <c r="W16" i="1"/>
  <c r="X16" i="1" s="1"/>
  <c r="X5" i="1"/>
  <c r="W10" i="1"/>
  <c r="W5" i="1"/>
  <c r="G8" i="1"/>
  <c r="G9" i="1" s="1"/>
  <c r="H8" i="1"/>
  <c r="H9" i="1" s="1"/>
  <c r="I8" i="1"/>
  <c r="I9" i="1" s="1"/>
  <c r="J8" i="1"/>
  <c r="J9" i="1"/>
  <c r="G13" i="1"/>
  <c r="G14" i="1" s="1"/>
  <c r="H13" i="1"/>
  <c r="H14" i="1" s="1"/>
  <c r="I13" i="1"/>
  <c r="I14" i="1" s="1"/>
  <c r="J13" i="1"/>
  <c r="J14" i="1" s="1"/>
  <c r="K8" i="1"/>
  <c r="L13" i="1"/>
  <c r="E14" i="1"/>
  <c r="L8" i="1"/>
  <c r="Q33" i="2" l="1"/>
  <c r="Q32" i="2"/>
  <c r="Q28" i="2"/>
  <c r="Q27" i="2"/>
  <c r="Q22" i="2"/>
  <c r="Q21" i="2"/>
  <c r="D23" i="2"/>
  <c r="Q17" i="2"/>
  <c r="Q16" i="2"/>
  <c r="Q11" i="2"/>
  <c r="Q10" i="2"/>
  <c r="Q6" i="2"/>
  <c r="Q5" i="2"/>
  <c r="V23" i="1"/>
  <c r="V22" i="1"/>
  <c r="V18" i="1"/>
  <c r="V17" i="1"/>
  <c r="V12" i="1"/>
  <c r="V11" i="1"/>
  <c r="V7" i="1"/>
  <c r="V6" i="1"/>
  <c r="P25" i="1"/>
  <c r="J25" i="1"/>
  <c r="U24" i="1"/>
  <c r="U25" i="1" s="1"/>
  <c r="T24" i="1"/>
  <c r="T25" i="1" s="1"/>
  <c r="S24" i="1"/>
  <c r="S25" i="1" s="1"/>
  <c r="R24" i="1"/>
  <c r="R25" i="1" s="1"/>
  <c r="Q24" i="1"/>
  <c r="Q25" i="1" s="1"/>
  <c r="O24" i="1"/>
  <c r="O25" i="1" s="1"/>
  <c r="N24" i="1"/>
  <c r="N25" i="1" s="1"/>
  <c r="M24" i="1"/>
  <c r="M25" i="1" s="1"/>
  <c r="L24" i="1"/>
  <c r="L25" i="1" s="1"/>
  <c r="K24" i="1"/>
  <c r="K25" i="1" s="1"/>
  <c r="I24" i="1"/>
  <c r="I25" i="1" s="1"/>
  <c r="H24" i="1"/>
  <c r="H25" i="1" s="1"/>
  <c r="G24" i="1"/>
  <c r="G25" i="1" s="1"/>
  <c r="F24" i="1"/>
  <c r="F25" i="1" s="1"/>
  <c r="E24" i="1"/>
  <c r="E25" i="1" s="1"/>
  <c r="D24" i="1"/>
  <c r="D25" i="1" s="1"/>
  <c r="C24" i="1"/>
  <c r="U19" i="1"/>
  <c r="U20" i="1" s="1"/>
  <c r="T19" i="1"/>
  <c r="T20" i="1" s="1"/>
  <c r="S19" i="1"/>
  <c r="S20" i="1" s="1"/>
  <c r="R19" i="1"/>
  <c r="R20" i="1" s="1"/>
  <c r="Q19" i="1"/>
  <c r="Q20" i="1" s="1"/>
  <c r="P19" i="1"/>
  <c r="P20" i="1" s="1"/>
  <c r="O19" i="1"/>
  <c r="O20" i="1" s="1"/>
  <c r="N19" i="1"/>
  <c r="N20" i="1" s="1"/>
  <c r="M19" i="1"/>
  <c r="M20" i="1" s="1"/>
  <c r="L19" i="1"/>
  <c r="L20" i="1" s="1"/>
  <c r="K19" i="1"/>
  <c r="K20" i="1" s="1"/>
  <c r="J19" i="1"/>
  <c r="J20" i="1" s="1"/>
  <c r="I19" i="1"/>
  <c r="I20" i="1" s="1"/>
  <c r="H19" i="1"/>
  <c r="H20" i="1" s="1"/>
  <c r="G19" i="1"/>
  <c r="G20" i="1" s="1"/>
  <c r="F19" i="1"/>
  <c r="F20" i="1" s="1"/>
  <c r="E19" i="1"/>
  <c r="E20" i="1" s="1"/>
  <c r="D19" i="1"/>
  <c r="D20" i="1" s="1"/>
  <c r="C19" i="1"/>
  <c r="U13" i="1"/>
  <c r="U14" i="1" s="1"/>
  <c r="T13" i="1"/>
  <c r="T14" i="1" s="1"/>
  <c r="S13" i="1"/>
  <c r="S14" i="1" s="1"/>
  <c r="R13" i="1"/>
  <c r="R14" i="1" s="1"/>
  <c r="Q13" i="1"/>
  <c r="Q14" i="1" s="1"/>
  <c r="P13" i="1"/>
  <c r="P14" i="1" s="1"/>
  <c r="O13" i="1"/>
  <c r="O14" i="1" s="1"/>
  <c r="N13" i="1"/>
  <c r="N14" i="1" s="1"/>
  <c r="M13" i="1"/>
  <c r="M14" i="1" s="1"/>
  <c r="L14" i="1"/>
  <c r="K13" i="1"/>
  <c r="K14" i="1" s="1"/>
  <c r="F13" i="1"/>
  <c r="F14" i="1" s="1"/>
  <c r="E13" i="1"/>
  <c r="D13" i="1"/>
  <c r="D14" i="1" s="1"/>
  <c r="C13" i="1"/>
  <c r="U8" i="1"/>
  <c r="U9" i="1" s="1"/>
  <c r="T8" i="1"/>
  <c r="T9" i="1" s="1"/>
  <c r="S8" i="1"/>
  <c r="S9" i="1" s="1"/>
  <c r="R8" i="1"/>
  <c r="R9" i="1" s="1"/>
  <c r="Q8" i="1"/>
  <c r="Q9" i="1" s="1"/>
  <c r="P8" i="1"/>
  <c r="P9" i="1" s="1"/>
  <c r="O8" i="1"/>
  <c r="O9" i="1" s="1"/>
  <c r="N8" i="1"/>
  <c r="N9" i="1" s="1"/>
  <c r="M8" i="1"/>
  <c r="M9" i="1" s="1"/>
  <c r="L9" i="1"/>
  <c r="K9" i="1"/>
  <c r="F8" i="1"/>
  <c r="F9" i="1" s="1"/>
  <c r="E8" i="1"/>
  <c r="E9" i="1" s="1"/>
  <c r="D8" i="1"/>
  <c r="D9" i="1" s="1"/>
  <c r="C8" i="1"/>
  <c r="C14" i="1" l="1"/>
  <c r="W14" i="1" s="1"/>
  <c r="W13" i="1"/>
  <c r="C9" i="1"/>
  <c r="W9" i="1" s="1"/>
  <c r="W8" i="1"/>
  <c r="C25" i="1"/>
  <c r="W25" i="1" s="1"/>
  <c r="W24" i="1"/>
  <c r="C20" i="1"/>
  <c r="W20" i="1" s="1"/>
  <c r="W19" i="1"/>
  <c r="AA83" i="4"/>
  <c r="Z82" i="4"/>
  <c r="Z74" i="4"/>
  <c r="Z73" i="4"/>
  <c r="Z72" i="4"/>
  <c r="Z32" i="4"/>
  <c r="Z31" i="4"/>
  <c r="Z29" i="4"/>
  <c r="Z22" i="4"/>
  <c r="Z19" i="4"/>
  <c r="Z18" i="4"/>
  <c r="Z15" i="4"/>
  <c r="Z14" i="4"/>
  <c r="Z13" i="4"/>
  <c r="Z12" i="4"/>
  <c r="AA2" i="4"/>
  <c r="Z5" i="4"/>
  <c r="Z4" i="4"/>
  <c r="Z3" i="4"/>
  <c r="Z2" i="4"/>
  <c r="Z66" i="4"/>
  <c r="Z65" i="4"/>
  <c r="Z63" i="4"/>
  <c r="AA63" i="4" s="1"/>
  <c r="Z7" i="4"/>
  <c r="H6" i="5"/>
  <c r="H7" i="5"/>
  <c r="H8" i="5"/>
  <c r="H9" i="5"/>
  <c r="H5" i="5"/>
  <c r="E6" i="5"/>
  <c r="E7" i="5"/>
  <c r="E8" i="5"/>
  <c r="E9" i="5"/>
  <c r="E5" i="5"/>
  <c r="G10" i="5"/>
  <c r="F10" i="5"/>
  <c r="D10" i="5"/>
  <c r="C10" i="5"/>
  <c r="Z54" i="4"/>
  <c r="Z56" i="4"/>
  <c r="Z53" i="4"/>
  <c r="Z55" i="4"/>
  <c r="Z44" i="4"/>
  <c r="Z46" i="4"/>
  <c r="AA44" i="4"/>
  <c r="Z8" i="4"/>
  <c r="Z9" i="4"/>
  <c r="Z10" i="4"/>
  <c r="Z16" i="4"/>
  <c r="Z17" i="4"/>
  <c r="Z20" i="4"/>
  <c r="Z21" i="4"/>
  <c r="Z23" i="4"/>
  <c r="Z24" i="4"/>
  <c r="Z25" i="4"/>
  <c r="AA25" i="4" s="1"/>
  <c r="Z26" i="4"/>
  <c r="Z27" i="4"/>
  <c r="Z30" i="4"/>
  <c r="Z34" i="4"/>
  <c r="Z35" i="4"/>
  <c r="Z36" i="4"/>
  <c r="Z37" i="4"/>
  <c r="Z39" i="4"/>
  <c r="Z40" i="4"/>
  <c r="Z41" i="4"/>
  <c r="Z42" i="4"/>
  <c r="Z45" i="4"/>
  <c r="Z47" i="4"/>
  <c r="Z49" i="4"/>
  <c r="AA49" i="4" s="1"/>
  <c r="Z50" i="4"/>
  <c r="Z51" i="4"/>
  <c r="Z52" i="4"/>
  <c r="Z58" i="4"/>
  <c r="Z60" i="4"/>
  <c r="Z59" i="4"/>
  <c r="Z61" i="4"/>
  <c r="Z64" i="4"/>
  <c r="AA64" i="4" s="1"/>
  <c r="Z67" i="4"/>
  <c r="Z68" i="4"/>
  <c r="Z69" i="4"/>
  <c r="AA67" i="4"/>
  <c r="Z70" i="4"/>
  <c r="Z75" i="4"/>
  <c r="Z77" i="4"/>
  <c r="Z78" i="4"/>
  <c r="Z79" i="4"/>
  <c r="Z80" i="4"/>
  <c r="Z83" i="4"/>
  <c r="Z84" i="4"/>
  <c r="Z85" i="4"/>
  <c r="Z87" i="4"/>
  <c r="Z88" i="4"/>
  <c r="Z89" i="4"/>
  <c r="AA87" i="4" s="1"/>
  <c r="Z90" i="4"/>
  <c r="Z92" i="4"/>
  <c r="Z93" i="4"/>
  <c r="Z94" i="4"/>
  <c r="AA92" i="4" s="1"/>
  <c r="Z95" i="4"/>
  <c r="AA68" i="4"/>
  <c r="F25" i="3"/>
  <c r="G25" i="3"/>
  <c r="F18" i="3"/>
  <c r="F15" i="3"/>
  <c r="F8" i="3"/>
  <c r="G4" i="3"/>
  <c r="G5" i="3"/>
  <c r="G8" i="3" s="1"/>
  <c r="G6" i="3"/>
  <c r="G9" i="3"/>
  <c r="G15" i="3" s="1"/>
  <c r="G10" i="3"/>
  <c r="G11" i="3"/>
  <c r="G12" i="3"/>
  <c r="G13" i="3"/>
  <c r="G14" i="3"/>
  <c r="G16" i="3"/>
  <c r="G17" i="3"/>
  <c r="G18" i="3" s="1"/>
  <c r="G19" i="3"/>
  <c r="G20" i="3"/>
  <c r="G21" i="3"/>
  <c r="G22" i="3"/>
  <c r="G23" i="3"/>
  <c r="G24" i="3"/>
  <c r="G26" i="3"/>
  <c r="G27" i="3"/>
  <c r="G3" i="3"/>
  <c r="E25" i="3"/>
  <c r="D25" i="3"/>
  <c r="E18" i="3"/>
  <c r="D18" i="3"/>
  <c r="E15" i="3"/>
  <c r="D15" i="3"/>
  <c r="E8" i="3"/>
  <c r="D8" i="3"/>
  <c r="O34" i="2"/>
  <c r="O35" i="2" s="1"/>
  <c r="N29" i="2"/>
  <c r="N30" i="2" s="1"/>
  <c r="N34" i="2"/>
  <c r="N35" i="2" s="1"/>
  <c r="L34" i="2"/>
  <c r="L29" i="2"/>
  <c r="L30" i="2" s="1"/>
  <c r="J34" i="2"/>
  <c r="J35" i="2" s="1"/>
  <c r="J29" i="2"/>
  <c r="J30" i="2" s="1"/>
  <c r="I29" i="2"/>
  <c r="I30" i="2" s="1"/>
  <c r="H34" i="2"/>
  <c r="H35" i="2" s="1"/>
  <c r="F34" i="2"/>
  <c r="F35" i="2" s="1"/>
  <c r="F29" i="2"/>
  <c r="F30" i="2" s="1"/>
  <c r="E34" i="2"/>
  <c r="E35" i="2" s="1"/>
  <c r="E29" i="2"/>
  <c r="D34" i="2"/>
  <c r="D29" i="2"/>
  <c r="L23" i="2"/>
  <c r="L24" i="2" s="1"/>
  <c r="J23" i="2"/>
  <c r="J24" i="2" s="1"/>
  <c r="J18" i="2"/>
  <c r="J19" i="2" s="1"/>
  <c r="G23" i="2"/>
  <c r="G24" i="2" s="1"/>
  <c r="D18" i="2"/>
  <c r="D19" i="2" s="1"/>
  <c r="C18" i="2"/>
  <c r="C19" i="2" s="1"/>
  <c r="L12" i="2"/>
  <c r="L13" i="2" s="1"/>
  <c r="L7" i="2"/>
  <c r="L8" i="2" s="1"/>
  <c r="K12" i="2"/>
  <c r="K13" i="2" s="1"/>
  <c r="K7" i="2"/>
  <c r="K8" i="2" s="1"/>
  <c r="J12" i="2"/>
  <c r="J13" i="2" s="1"/>
  <c r="H7" i="2"/>
  <c r="H8" i="2" s="1"/>
  <c r="G12" i="2"/>
  <c r="G13" i="2" s="1"/>
  <c r="G7" i="2"/>
  <c r="G8" i="2" s="1"/>
  <c r="E12" i="2"/>
  <c r="E13" i="2" s="1"/>
  <c r="E7" i="2"/>
  <c r="E8" i="2" s="1"/>
  <c r="D7" i="2"/>
  <c r="D8" i="2" s="1"/>
  <c r="C12" i="2"/>
  <c r="C7" i="2"/>
  <c r="C8" i="2" s="1"/>
  <c r="P31" i="2"/>
  <c r="P26" i="2"/>
  <c r="O23" i="2"/>
  <c r="O24" i="2" s="1"/>
  <c r="O18" i="2"/>
  <c r="O19" i="2" s="1"/>
  <c r="O12" i="2"/>
  <c r="O13" i="2" s="1"/>
  <c r="O7" i="2"/>
  <c r="O8" i="2" s="1"/>
  <c r="M12" i="2"/>
  <c r="M13" i="2" s="1"/>
  <c r="M7" i="2"/>
  <c r="M8" i="2" s="1"/>
  <c r="N12" i="2"/>
  <c r="N13" i="2" s="1"/>
  <c r="N7" i="2"/>
  <c r="N8" i="2" s="1"/>
  <c r="O29" i="2"/>
  <c r="O30" i="2" s="1"/>
  <c r="M34" i="2"/>
  <c r="M35" i="2" s="1"/>
  <c r="M29" i="2"/>
  <c r="M30" i="2" s="1"/>
  <c r="F23" i="2"/>
  <c r="F24" i="2" s="1"/>
  <c r="C23" i="2"/>
  <c r="C24" i="2" s="1"/>
  <c r="E18" i="2"/>
  <c r="E19" i="2" s="1"/>
  <c r="F18" i="2"/>
  <c r="F19" i="2" s="1"/>
  <c r="D12" i="2"/>
  <c r="D13" i="2" s="1"/>
  <c r="F12" i="2"/>
  <c r="F13" i="2" s="1"/>
  <c r="F7" i="2"/>
  <c r="F8" i="2" s="1"/>
  <c r="K34" i="2"/>
  <c r="K35" i="2" s="1"/>
  <c r="K29" i="2"/>
  <c r="K30" i="2" s="1"/>
  <c r="L18" i="2"/>
  <c r="L19" i="2" s="1"/>
  <c r="I34" i="2"/>
  <c r="I35" i="2" s="1"/>
  <c r="G34" i="2"/>
  <c r="G35" i="2" s="1"/>
  <c r="H29" i="2"/>
  <c r="H30" i="2" s="1"/>
  <c r="G29" i="2"/>
  <c r="G30" i="2" s="1"/>
  <c r="H12" i="2"/>
  <c r="H13" i="2" s="1"/>
  <c r="I7" i="2"/>
  <c r="I8" i="2" s="1"/>
  <c r="G18" i="2"/>
  <c r="G19" i="2" s="1"/>
  <c r="I23" i="2"/>
  <c r="I24" i="2" s="1"/>
  <c r="H23" i="2"/>
  <c r="H24" i="2" s="1"/>
  <c r="H18" i="2"/>
  <c r="H19" i="2" s="1"/>
  <c r="I18" i="2"/>
  <c r="I19" i="2" s="1"/>
  <c r="I12" i="2"/>
  <c r="I13" i="2" s="1"/>
  <c r="P9" i="2"/>
  <c r="P15" i="2"/>
  <c r="P20" i="2"/>
  <c r="P4" i="2"/>
  <c r="L35" i="2"/>
  <c r="E30" i="2"/>
  <c r="N24" i="2"/>
  <c r="M24" i="2"/>
  <c r="K24" i="2"/>
  <c r="E24" i="2"/>
  <c r="D24" i="2"/>
  <c r="N19" i="2"/>
  <c r="M19" i="2"/>
  <c r="K19" i="2"/>
  <c r="C13" i="2"/>
  <c r="J8" i="2"/>
  <c r="AA24" i="4" l="1"/>
  <c r="AA45" i="4"/>
  <c r="AA72" i="4"/>
  <c r="X17" i="1"/>
  <c r="Y17" i="1" s="1"/>
  <c r="X6" i="1"/>
  <c r="Y6" i="1" s="1"/>
  <c r="E10" i="5"/>
  <c r="H10" i="5"/>
  <c r="S26" i="2"/>
  <c r="S4" i="2"/>
  <c r="S15" i="2"/>
  <c r="P29" i="2"/>
  <c r="D30" i="2"/>
  <c r="P30" i="2" s="1"/>
  <c r="P7" i="2"/>
  <c r="P34" i="2"/>
  <c r="P12" i="2"/>
  <c r="P8" i="2"/>
  <c r="R8" i="2" s="1"/>
  <c r="P18" i="2"/>
  <c r="P24" i="2"/>
  <c r="R24" i="2" s="1"/>
  <c r="P13" i="2"/>
  <c r="R13" i="2" s="1"/>
  <c r="P19" i="2"/>
  <c r="P23" i="2"/>
  <c r="D35" i="2"/>
  <c r="P35" i="2" s="1"/>
  <c r="R35" i="2" s="1"/>
  <c r="AA53" i="4"/>
  <c r="AA59" i="4"/>
  <c r="AA58" i="4"/>
  <c r="AA50" i="4"/>
  <c r="AA39" i="4"/>
  <c r="AA40" i="4"/>
  <c r="AA21" i="4"/>
  <c r="AA20" i="4"/>
  <c r="AA35" i="4"/>
  <c r="AA34" i="4"/>
  <c r="AA93" i="4"/>
  <c r="AA16" i="4"/>
  <c r="AA29" i="4"/>
  <c r="AA8" i="4"/>
  <c r="AA17" i="4"/>
  <c r="AA13" i="4"/>
  <c r="AA12" i="4"/>
  <c r="AA7" i="4"/>
  <c r="AA3" i="4"/>
  <c r="AC9" i="4" s="1"/>
  <c r="AA30" i="4"/>
  <c r="AA88" i="4"/>
  <c r="AA82" i="4"/>
  <c r="AA78" i="4"/>
  <c r="AA77" i="4"/>
  <c r="AA73" i="4"/>
  <c r="AA54" i="4"/>
  <c r="AC8" i="4" l="1"/>
  <c r="S29" i="2"/>
  <c r="S18" i="2"/>
  <c r="S7" i="2"/>
  <c r="R19" i="2"/>
  <c r="S19" i="2"/>
  <c r="T19" i="2" s="1"/>
  <c r="S8" i="2"/>
  <c r="T8" i="2" s="1"/>
  <c r="R30" i="2"/>
  <c r="S30" i="2"/>
  <c r="T30" i="2" s="1"/>
</calcChain>
</file>

<file path=xl/sharedStrings.xml><?xml version="1.0" encoding="utf-8"?>
<sst xmlns="http://schemas.openxmlformats.org/spreadsheetml/2006/main" count="398" uniqueCount="109">
  <si>
    <t>EIR indoor</t>
  </si>
  <si>
    <t>Sporozoite rate ootdoor</t>
  </si>
  <si>
    <t>Sporozoite rate indoor</t>
  </si>
  <si>
    <t>EIR outdoor</t>
  </si>
  <si>
    <t>Sporozoite rate outdoor</t>
  </si>
  <si>
    <t xml:space="preserve">Mean </t>
  </si>
  <si>
    <t>MANGOUM</t>
  </si>
  <si>
    <t>NYABESSANG</t>
  </si>
  <si>
    <t>BONABERI</t>
  </si>
  <si>
    <t>GOUNOUGOU</t>
  </si>
  <si>
    <t>SIMATOU</t>
  </si>
  <si>
    <t>Per month</t>
  </si>
  <si>
    <t>Mean total</t>
  </si>
  <si>
    <t>ib/p/m</t>
  </si>
  <si>
    <t>Sentinel Site</t>
  </si>
  <si>
    <t>Species</t>
  </si>
  <si>
    <t>Mean HBR</t>
  </si>
  <si>
    <t>Infection Rate</t>
  </si>
  <si>
    <t>Gounougou</t>
  </si>
  <si>
    <r>
      <t>An. gambiae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s.l</t>
    </r>
    <r>
      <rPr>
        <sz val="12"/>
        <color theme="1"/>
        <rFont val="Times New Roman"/>
        <family val="1"/>
      </rPr>
      <t>.</t>
    </r>
  </si>
  <si>
    <r>
      <t>An. funestus s.l</t>
    </r>
    <r>
      <rPr>
        <sz val="12"/>
        <color theme="1"/>
        <rFont val="Times New Roman"/>
        <family val="1"/>
      </rPr>
      <t>.</t>
    </r>
  </si>
  <si>
    <t>An. ziemanni</t>
  </si>
  <si>
    <t>An. multicinctus</t>
  </si>
  <si>
    <t>Total EIR</t>
  </si>
  <si>
    <t>Simatou</t>
  </si>
  <si>
    <r>
      <t>An. gambiae s.l</t>
    </r>
    <r>
      <rPr>
        <sz val="12"/>
        <color theme="1"/>
        <rFont val="Times New Roman"/>
        <family val="1"/>
      </rPr>
      <t>.</t>
    </r>
  </si>
  <si>
    <t>An. demeilloni</t>
  </si>
  <si>
    <t>An. rufipes</t>
  </si>
  <si>
    <t>An. pharoensis</t>
  </si>
  <si>
    <t>Mangoum</t>
  </si>
  <si>
    <t>Nyabessang</t>
  </si>
  <si>
    <t>An. moucheti</t>
  </si>
  <si>
    <t>An. nili</t>
  </si>
  <si>
    <t>An. paludis</t>
  </si>
  <si>
    <t>An. marshallii</t>
  </si>
  <si>
    <t>Bonabéri</t>
  </si>
  <si>
    <t>An. gambiae s.l.</t>
  </si>
  <si>
    <t>An. funestus s.l.</t>
  </si>
  <si>
    <t>HBR indoor</t>
  </si>
  <si>
    <t>HBR outdoor</t>
  </si>
  <si>
    <t>Site</t>
  </si>
  <si>
    <t>Tot tested</t>
  </si>
  <si>
    <t>Total positive</t>
  </si>
  <si>
    <t>indoor</t>
  </si>
  <si>
    <t>outdoor</t>
  </si>
  <si>
    <t>Total</t>
  </si>
  <si>
    <t>Bonaberi</t>
  </si>
  <si>
    <t>An. funestus s.l</t>
  </si>
  <si>
    <t>An. smithii</t>
  </si>
  <si>
    <t>An. tenebrosus</t>
  </si>
  <si>
    <t>Sporozoite + indoor</t>
  </si>
  <si>
    <t>Sporozoite + outdoor</t>
  </si>
  <si>
    <t>An. welcomei</t>
  </si>
  <si>
    <t>tested indoor</t>
  </si>
  <si>
    <t>tested outdoor</t>
  </si>
  <si>
    <t>Tot in+out</t>
  </si>
  <si>
    <t>x</t>
  </si>
  <si>
    <t>o</t>
  </si>
  <si>
    <t>tested</t>
  </si>
  <si>
    <t>SP+</t>
  </si>
  <si>
    <r>
      <t>Sporozoite rate o</t>
    </r>
    <r>
      <rPr>
        <i/>
        <sz val="11"/>
        <color rgb="FF92D050"/>
        <rFont val="Calibri"/>
        <family val="2"/>
        <scheme val="minor"/>
      </rPr>
      <t>u</t>
    </r>
    <r>
      <rPr>
        <i/>
        <sz val="11"/>
        <color theme="1"/>
        <rFont val="Calibri"/>
        <family val="2"/>
        <scheme val="minor"/>
      </rPr>
      <t>tdoor</t>
    </r>
  </si>
  <si>
    <t xml:space="preserve">to be corrected read comments </t>
  </si>
  <si>
    <t>Mean in/out</t>
  </si>
  <si>
    <t>Monthly Mean EIR (infected b/h/m)</t>
  </si>
  <si>
    <t>Mean EIR (infected b/h/n)</t>
  </si>
  <si>
    <t>Indoor</t>
  </si>
  <si>
    <t>You are currently using XLSTAT Free._x000D_ Order a license to get access to 100 or more additional functions.</t>
  </si>
  <si>
    <t>These results have been generated using XLSTAT Free. You can benefit from many more tools and options with a full version.</t>
  </si>
  <si>
    <t>Sample 1: Workbook = Supplementary data 2.xlsx / Sheet = Sheet1 / Range = Sheet1!$B$9:$B$28 / 19 rows and 1 column</t>
  </si>
  <si>
    <t>Sample 2: Workbook = Supplementary data 2.xlsx / Sheet = Sheet1 / Range = Sheet1!$C$9:$C$28 / 19 rows and 1 column</t>
  </si>
  <si>
    <t>Hypothesized difference (D): 0</t>
  </si>
  <si>
    <t>Significance level (%): 5</t>
  </si>
  <si>
    <t>p-value: Exact p-value</t>
  </si>
  <si>
    <t>Summary statistics:</t>
  </si>
  <si>
    <t>Variable</t>
  </si>
  <si>
    <t>Observations</t>
  </si>
  <si>
    <t>Obs. with missing data</t>
  </si>
  <si>
    <t>Obs. without missing data</t>
  </si>
  <si>
    <t>Minimum</t>
  </si>
  <si>
    <t>Maximum</t>
  </si>
  <si>
    <t>Mean</t>
  </si>
  <si>
    <t>Std. deviation</t>
  </si>
  <si>
    <t>Mann-Whitney test / Two-tailed test:</t>
  </si>
  <si>
    <t>U</t>
  </si>
  <si>
    <t>U (standardized)</t>
  </si>
  <si>
    <t>Expected value</t>
  </si>
  <si>
    <t>Variance (U)</t>
  </si>
  <si>
    <t>p-value (Two-tailed)</t>
  </si>
  <si>
    <t>alpha</t>
  </si>
  <si>
    <t>The exact p-value could not be computed. An approximation has been used to compute the p-value.</t>
  </si>
  <si>
    <t>Test interpretation:</t>
  </si>
  <si>
    <t>H0: The difference of location between the samples is equal to 0.</t>
  </si>
  <si>
    <t>Ha: The difference of location between the samples is different from 0.</t>
  </si>
  <si>
    <t>As the computed p-value is greater than the significance level alpha=0.05, one cannot reject the null hypothesis H0.</t>
  </si>
  <si>
    <t>Ties have been detected in the data and the appropriate corrections have been applied.</t>
  </si>
  <si>
    <r>
      <t>XLSTAT 2022.5.1.1391 - Comparison of two samples (Wilcoxon, Mann-Whitney, ...) - Start time: 01/17/2023 at 10:27:45 / End time: 01/17/2023 at 10:27:47</t>
    </r>
    <r>
      <rPr>
        <sz val="11"/>
        <color rgb="FFFFFFFF"/>
        <rFont val="Calibri"/>
        <family val="2"/>
        <scheme val="minor"/>
      </rPr>
      <t xml:space="preserve"> / Microsoft Excel 16.015928</t>
    </r>
  </si>
  <si>
    <t>Sample 1: Workbook = Supplementary data 2.xlsx / Sheet = Sheet1 / Range = Sheet1!$E$3:$E$22 / 19 rows and 1 column</t>
  </si>
  <si>
    <t>Sample 2: Workbook = Supplementary data 2.xlsx / Sheet = Sheet1 / Range = Sheet1!$F$3:$F$22 / 19 rows and 1 column</t>
  </si>
  <si>
    <t>The p-value is computed using an exact method. Time elapsed: 0s.</t>
  </si>
  <si>
    <r>
      <t>XLSTAT 2022.5.1.1391 - Comparison of two samples (Wilcoxon, Mann-Whitney, ...) - Start time: 01/17/2023 at 10:35:38 / End time: 01/17/2023 at 10:36:26</t>
    </r>
    <r>
      <rPr>
        <sz val="11"/>
        <color rgb="FFFFFFFF"/>
        <rFont val="Calibri"/>
        <family val="2"/>
        <scheme val="minor"/>
      </rPr>
      <t xml:space="preserve"> / Microsoft Excel 16.015928</t>
    </r>
  </si>
  <si>
    <t>Sample 1: Workbook = Supplementary data 2.xlsx / Sheet = Sheet1 / Range = Sheet1!$H$12:$H$25 / 13 rows and 1 column</t>
  </si>
  <si>
    <t>Sample 2: Workbook = Supplementary data 2.xlsx / Sheet = Sheet1 / Range = Sheet1!$I$12:$I$25 / 13 rows and 1 column</t>
  </si>
  <si>
    <r>
      <t>XLSTAT 2022.5.1.1391 - Comparison of two samples (Wilcoxon, Mann-Whitney, ...) - Start time: 01/17/2023 at 10:52:34 / End time: 01/17/2023 at 10:53:43</t>
    </r>
    <r>
      <rPr>
        <sz val="11"/>
        <color rgb="FFFFFFFF"/>
        <rFont val="Calibri"/>
        <family val="2"/>
        <scheme val="minor"/>
      </rPr>
      <t xml:space="preserve"> / Microsoft Excel 16.015928</t>
    </r>
  </si>
  <si>
    <t>Sample 1: Workbook = Supplementary data 2.xlsx / Sheet = Sheet1 / Range = Sheet1!$K$12:$K$25 / 13 rows and 1 column</t>
  </si>
  <si>
    <t>Sample 2: Workbook = Supplementary data 2.xlsx / Sheet = Sheet1 / Range = Sheet1!$L$12:$L$25 / 13 rows and 1 column</t>
  </si>
  <si>
    <r>
      <t>XLSTAT 2022.5.1.1391 - Comparison of two samples (Wilcoxon, Mann-Whitney, ...) - Start time: 01/17/2023 at 10:55:12 / End time: 01/17/2023 at 10:55:56</t>
    </r>
    <r>
      <rPr>
        <sz val="11"/>
        <color rgb="FFFFFFFF"/>
        <rFont val="Calibri"/>
        <family val="2"/>
        <scheme val="minor"/>
      </rPr>
      <t xml:space="preserve"> / Microsoft Excel 16.015928</t>
    </r>
  </si>
  <si>
    <t>Sample 1: Workbook = Supplementary data 2.xlsx / Sheet = Sheet1 / Range = Sheet1!$N$12:$N$24 / 12 rows and 1 column</t>
  </si>
  <si>
    <t>Sample 2: Workbook = Supplementary data 2.xlsx / Sheet = Sheet1 / Range = Sheet1!$O$12:$O$24 / 12 rows and 1 column</t>
  </si>
  <si>
    <r>
      <t>XLSTAT 2022.5.1.1391 - Comparison of two samples (Wilcoxon, Mann-Whitney, ...) - Start time: 01/17/2023 at 10:56:49 / End time: 01/17/2023 at 10:58:06</t>
    </r>
    <r>
      <rPr>
        <sz val="11"/>
        <color rgb="FFFFFFFF"/>
        <rFont val="Calibri"/>
        <family val="2"/>
        <scheme val="minor"/>
      </rPr>
      <t xml:space="preserve"> / Microsoft Excel 16.015928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</si>
</sst>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00"/>
    <numFmt numFmtId="167" formatCode="[&lt;0.0001]&quot;&lt;0.0001&quot;;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rgb="FF92D050"/>
      <name val="Calibri"/>
      <family val="2"/>
      <scheme val="minor"/>
    </font>
    <font>
      <i/>
      <sz val="12"/>
      <name val="Times New Roman"/>
      <family val="1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2744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8">
    <xf numFmtId="0" fontId="0" fillId="0" borderId="0" xfId="0"/>
    <xf numFmtId="0" fontId="9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2" fontId="11" fillId="0" borderId="4" xfId="0" applyNumberFormat="1" applyFont="1" applyBorder="1" applyAlignment="1">
      <alignment vertical="center" wrapText="1"/>
    </xf>
    <xf numFmtId="2" fontId="11" fillId="0" borderId="0" xfId="0" applyNumberFormat="1" applyFont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1" applyNumberFormat="1" applyFont="1" applyFill="1" applyBorder="1" applyAlignment="1">
      <alignment horizontal="center"/>
    </xf>
    <xf numFmtId="165" fontId="0" fillId="0" borderId="0" xfId="0" applyNumberFormat="1"/>
    <xf numFmtId="165" fontId="1" fillId="0" borderId="1" xfId="1" applyNumberFormat="1" applyFont="1" applyFill="1" applyBorder="1" applyAlignment="1">
      <alignment horizontal="center"/>
    </xf>
    <xf numFmtId="165" fontId="0" fillId="0" borderId="0" xfId="1" applyNumberFormat="1" applyFont="1" applyFill="1"/>
    <xf numFmtId="0" fontId="14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17" fontId="1" fillId="0" borderId="1" xfId="0" applyNumberFormat="1" applyFont="1" applyBorder="1" applyAlignment="1">
      <alignment horizontal="center"/>
    </xf>
    <xf numFmtId="17" fontId="1" fillId="0" borderId="0" xfId="0" applyNumberFormat="1" applyFont="1"/>
    <xf numFmtId="17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4" fontId="0" fillId="0" borderId="1" xfId="0" applyNumberForma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0" fillId="0" borderId="0" xfId="0" applyNumberFormat="1"/>
    <xf numFmtId="0" fontId="0" fillId="0" borderId="1" xfId="0" applyBorder="1"/>
    <xf numFmtId="4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4" fontId="0" fillId="0" borderId="0" xfId="0" applyNumberFormat="1"/>
    <xf numFmtId="4" fontId="1" fillId="0" borderId="0" xfId="0" applyNumberFormat="1" applyFont="1"/>
    <xf numFmtId="2" fontId="0" fillId="0" borderId="0" xfId="0" applyNumberFormat="1"/>
    <xf numFmtId="0" fontId="4" fillId="0" borderId="0" xfId="0" applyFont="1"/>
    <xf numFmtId="1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1" fillId="0" borderId="0" xfId="0" applyNumberFormat="1" applyFont="1"/>
    <xf numFmtId="0" fontId="1" fillId="0" borderId="10" xfId="0" applyFont="1" applyBorder="1"/>
    <xf numFmtId="17" fontId="1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0" fillId="0" borderId="12" xfId="0" applyNumberFormat="1" applyBorder="1" applyAlignment="1">
      <alignment horizont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3" fontId="0" fillId="0" borderId="15" xfId="0" applyNumberFormat="1" applyBorder="1" applyAlignment="1">
      <alignment horizontal="center"/>
    </xf>
    <xf numFmtId="3" fontId="3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/>
    <xf numFmtId="0" fontId="15" fillId="0" borderId="0" xfId="0" applyFont="1"/>
    <xf numFmtId="3" fontId="15" fillId="0" borderId="5" xfId="0" applyNumberFormat="1" applyFont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0" fillId="0" borderId="0" xfId="0" applyFont="1"/>
    <xf numFmtId="49" fontId="0" fillId="0" borderId="0" xfId="0" applyNumberFormat="1" applyAlignment="1"/>
    <xf numFmtId="0" fontId="0" fillId="0" borderId="24" xfId="0" applyFont="1" applyBorder="1" applyAlignment="1">
      <alignment horizontal="center" vertical="center" wrapText="1"/>
    </xf>
    <xf numFmtId="49" fontId="0" fillId="0" borderId="24" xfId="0" applyNumberFormat="1" applyFont="1" applyBorder="1" applyAlignment="1">
      <alignment horizontal="center" vertical="center" wrapText="1"/>
    </xf>
    <xf numFmtId="49" fontId="0" fillId="0" borderId="25" xfId="0" applyNumberFormat="1" applyBorder="1" applyAlignment="1"/>
    <xf numFmtId="49" fontId="0" fillId="0" borderId="26" xfId="0" applyNumberFormat="1" applyBorder="1" applyAlignment="1"/>
    <xf numFmtId="0" fontId="0" fillId="0" borderId="25" xfId="0" applyNumberFormat="1" applyBorder="1" applyAlignment="1">
      <alignment horizontal="center"/>
    </xf>
    <xf numFmtId="0" fontId="0" fillId="0" borderId="26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49" fontId="0" fillId="0" borderId="24" xfId="0" applyNumberFormat="1" applyBorder="1" applyAlignment="1"/>
    <xf numFmtId="0" fontId="0" fillId="0" borderId="24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Font="1" applyAlignment="1">
      <alignment vertical="center" wrapText="1"/>
    </xf>
    <xf numFmtId="166" fontId="0" fillId="0" borderId="24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31" noThreeD="1" sel="1" val="0">
  <itemLst>
    <item val="Summary statistics"/>
    <item val="Mann-Whitney test / Two-tailed test"/>
  </itemLst>
</formControlPr>
</file>

<file path=xl/ctrlProps/ctrlProp2.xml><?xml version="1.0" encoding="utf-8"?>
<formControlPr xmlns="http://schemas.microsoft.com/office/spreadsheetml/2009/9/main" objectType="Drop" dropStyle="combo" dx="31" noThreeD="1" sel="1" val="0">
  <itemLst>
    <item val="Summary statistics"/>
    <item val="Mann-Whitney test / Two-tailed test"/>
  </itemLst>
</formControlPr>
</file>

<file path=xl/ctrlProps/ctrlProp3.xml><?xml version="1.0" encoding="utf-8"?>
<formControlPr xmlns="http://schemas.microsoft.com/office/spreadsheetml/2009/9/main" objectType="Drop" dropStyle="combo" dx="31" noThreeD="1" sel="1" val="0">
  <itemLst>
    <item val="Summary statistics"/>
    <item val="Mann-Whitney test / Two-tailed test"/>
  </itemLst>
</formControlPr>
</file>

<file path=xl/ctrlProps/ctrlProp4.xml><?xml version="1.0" encoding="utf-8"?>
<formControlPr xmlns="http://schemas.microsoft.com/office/spreadsheetml/2009/9/main" objectType="Drop" dropStyle="combo" dx="31" noThreeD="1" sel="1" val="0">
  <itemLst>
    <item val="Summary statistics"/>
    <item val="Mann-Whitney test / Two-tailed test"/>
  </itemLst>
</formControlPr>
</file>

<file path=xl/ctrlProps/ctrlProp5.xml><?xml version="1.0" encoding="utf-8"?>
<formControlPr xmlns="http://schemas.microsoft.com/office/spreadsheetml/2009/9/main" objectType="Drop" dropStyle="combo" dx="31" noThreeD="1" sel="1" val="0">
  <itemLst>
    <item val="Summary statistics"/>
    <item val="Mann-Whitney test / Two-tailed test"/>
  </itemLst>
</formControlPr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109728</xdr:colOff>
      <xdr:row>0</xdr:row>
      <xdr:rowOff>36830</xdr:rowOff>
    </xdr:from>
    <xdr:to>
      <xdr:col>12</xdr:col>
      <xdr:colOff>597408</xdr:colOff>
      <xdr:row>1</xdr:row>
      <xdr:rowOff>147320</xdr:rowOff>
    </xdr:to>
    <xdr:sp macro="[0]!OrderXLSTAT" textlink="">
      <xdr:nvSpPr>
        <xdr:cNvPr id="2" name="BT705548">
          <a:extLst>
            <a:ext uri="{FF2B5EF4-FFF2-40B4-BE49-F238E27FC236}">
              <a16:creationId xmlns:a16="http://schemas.microsoft.com/office/drawing/2014/main" id="{F0B84A95-889E-8E1C-7DA7-8937F3781744}"/>
            </a:ext>
          </a:extLst>
        </xdr:cNvPr>
        <xdr:cNvSpPr txBox="1"/>
      </xdr:nvSpPr>
      <xdr:spPr>
        <a:xfrm>
          <a:off x="6529578" y="36830"/>
          <a:ext cx="1097280" cy="29464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Order</a:t>
          </a:r>
        </a:p>
      </xdr:txBody>
    </xdr:sp>
    <xdr:clientData/>
  </xdr:twoCellAnchor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3" name="TX481376" hidden="1">
          <a:extLst>
            <a:ext uri="{FF2B5EF4-FFF2-40B4-BE49-F238E27FC236}">
              <a16:creationId xmlns:a16="http://schemas.microsoft.com/office/drawing/2014/main" id="{74656001-4AE3-C4FE-6FDF-55C83AD44B5C}"/>
            </a:ext>
          </a:extLst>
        </xdr:cNvPr>
        <xdr:cNvSpPr txBox="1"/>
      </xdr:nvSpPr>
      <xdr:spPr>
        <a:xfrm>
          <a:off x="946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RunProcNP2
Form41.txt
CheckBoxTrans,CheckBox,0,False,03,False,Trans,False,,,
CheckBoxDom,CheckBox,0,True,400000000000_Charts,True,Dominance diagram,False,,,
CheckBoxCum,CheckBox,0,True,400000000100_Charts,True,Distributions,False,,,
OptionButtonLehmann,OptionButton,0,True,100000000201_Options,True,Lehmann,False,,,
OptionButtonHol,OptionButton,-1,True,100000000001_Options,True,Hollander &amp; Wolfe,False,,,
CheckBoxLabels,CheckBox,-1,True,000000000201_General,True,Column labels,False,,,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CheckBoxWTest,CheckBox,0,True,000000000301_General,True,Wilcoxon signed-rank test,False,,,
CheckBoxSTest,CheckBox,0,True,000000000401_General,True,Sign test,False,,,
CheckBoxMWTest,CheckBox,-1,True,000000000501_General,True,Mann-Whitney test,False,,,
CheckBoxKSTest,CheckBox,0,False,000000000601_General,False,Kolmogorov-Smirnov test,False,,,
OptionButtonAsympt,OptionButton,0,True,100000010100_Options,True,Asymptotic p-value,False,,,
OptionButtonMonte,OptionButton,0,True,100000020100_Options,True,Monte Carlo method,False,,,
TextBoxPermut,TextBox,10000,True,100001030100_Options,True,Number of simulations:,False,,,
TextBoxMaxTime,TextBox,180,True,100001040100_Options,True,Maximum time (s):,False,,,
ComboBoxHyp,ComboBox,0,True,100000000000_Options,True,Choose the alternative hypothesis,False,,,
TextBoxDiff,TextBox,0,True,100000020000_Options,True,Hypothesized difference (D):,False,,,
CheckBoxCorrect,CheckBox,-1,True,100000050100_Options,True,Continuity correction,False,,,
OptionButtonExact,OptionButton,-1,True,100000060100_Options,True,Exact p-value,False,,,
CheckBoxSum,CheckBox,-1,True,300000000000_Outputs,True,Summary table,False,,,
CheckBox_Desc,CheckBox,-1,True,300000000200_Outputs,True,Descriptive statistics,False,,,
CheckBoxDetails,CheckBox,-1,True,300000000100_Outputs,True,Detailed results,False,,,
ScrollBarSelect,ScrollBar,0,False,04,False,,,,,
TextBoxList,TextBox,,False,05,False,,False,,,
CheckBoxMultiple,CheckBox,0,True,000000000701_General,True,Multiple pairwise comparisons,False,,,
ComboBoxType,ComboBox,2,False,000000010701_General,False,,False,,,
CheckBoxBonf,CheckBox,-1,False,000000020701_General,False,Bonferroni correction,False,,,
OptionButtonSample,OptionButton,-1,True,000000010300_General,True,One column per sample,False,,,
OptionButtonVariable,OptionButton,0,True,000000020300_General,True,One column per variable,False,,,
OptionButtonPaired,OptionButton,0,True,000000030300_General,True,Paired samples,False,,,
RefEditT,RefEdit0,'Sheet2'!$B$9:$B$28,True,000000000100_General,True,Sample 1:,False,,20,1
RefEditGroups,RefEdit0,'Sheet2'!$C$9:$C$28,True,000000000200_General,True,Sample 2:,False,,20,1
TextBoxSig,TextBox,5,True,100001000100_Options,True,Significance level (%):,False,,,
OptionButtonMVRemove,OptionButton,0,True,200000000100_Missing data,True,Remove the observations,False,,,
OptionButtonMVRefuse,OptionButton,-1,True,200000000000_Missing data,True,Do not accept missing data,False,,,
OptionButtonMVEstimate,OptionButton,0,True,200000000200_Missing data,True,Estimate missing data,False,,,
OptionButtonMeanMode,OptionButton,-1,True,200000000300_Missing data,True,Mean,False,,,
OptionButtonMVIgnore,OptionButton,0,True,200000000400_Missing data,True,Ignore missing data,False,,,
CheckBoxSort,CheckBox,-1,True,000000030701_General,True,Sort up,False,,,
CheckBoxPval,CheckBox,0,True,400000070200_Charts,True,Show p-values,False,,,
CheckBoxSP,CheckBox,0,True,400000030200_Charts,True,Strip plots,False,,,
CheckBoxBP,CheckBox,-1,True,400000010200_Charts,True,Box plots,False,,,
CheckBoxComp,CheckBox,0,True,400000000200_Charts,True,Comparison plots,False,,,
CheckBoxSG,CheckBox,0,True,400000020200_Charts,True,Scattergrams,False,,,
CheckBoxBar,CheckBox,0,True,400000040200_Charts,True,Bar charts,False,,,
CheckBoxError,CheckBox,0,True,400000050200_Charts,True,Error bars,False,,,
ComboBoxError,ComboBox,0,True,400000060200_Charts,True,Error bars,False,,,
CheckBoxDemsar,CheckBox,0,False,400000080200_Charts,False,Demsar plot,False,,,
</a:t>
          </a:r>
        </a:p>
      </xdr:txBody>
    </xdr:sp>
    <xdr:clientData/>
  </xdr:twoCellAnchor>
  <xdr:twoCellAnchor editAs="oneCell">
    <xdr:from>
      <xdr:col>0</xdr:col>
      <xdr:colOff>311150</xdr:colOff>
      <xdr:row>9</xdr:row>
      <xdr:rowOff>0</xdr:rowOff>
    </xdr:from>
    <xdr:to>
      <xdr:col>1</xdr:col>
      <xdr:colOff>12700</xdr:colOff>
      <xdr:row>9</xdr:row>
      <xdr:rowOff>25400</xdr:rowOff>
    </xdr:to>
    <xdr:sp macro="" textlink="">
      <xdr:nvSpPr>
        <xdr:cNvPr id="4" name="RAND_ID" hidden="1">
          <a:extLst>
            <a:ext uri="{FF2B5EF4-FFF2-40B4-BE49-F238E27FC236}">
              <a16:creationId xmlns:a16="http://schemas.microsoft.com/office/drawing/2014/main" id="{D9DF9F86-0D30-A2CB-C8B1-82C7B31397A0}"/>
            </a:ext>
          </a:extLst>
        </xdr:cNvPr>
        <xdr:cNvSpPr txBox="1"/>
      </xdr:nvSpPr>
      <xdr:spPr>
        <a:xfrm>
          <a:off x="311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481376</a:t>
          </a:r>
        </a:p>
      </xdr:txBody>
    </xdr:sp>
    <xdr:clientData/>
  </xdr:twoCellAnchor>
  <xdr:twoCellAnchor editAs="absolute">
    <xdr:from>
      <xdr:col>1</xdr:col>
      <xdr:colOff>6350</xdr:colOff>
      <xdr:row>9</xdr:row>
      <xdr:rowOff>6350</xdr:rowOff>
    </xdr:from>
    <xdr:to>
      <xdr:col>4</xdr:col>
      <xdr:colOff>6350</xdr:colOff>
      <xdr:row>9</xdr:row>
      <xdr:rowOff>473075</xdr:rowOff>
    </xdr:to>
    <xdr:sp macro="" textlink="">
      <xdr:nvSpPr>
        <xdr:cNvPr id="5" name="BK481376">
          <a:extLst>
            <a:ext uri="{FF2B5EF4-FFF2-40B4-BE49-F238E27FC236}">
              <a16:creationId xmlns:a16="http://schemas.microsoft.com/office/drawing/2014/main" id="{ADE9ABDF-9396-2789-5520-CFA440C501E0}"/>
            </a:ext>
          </a:extLst>
        </xdr:cNvPr>
        <xdr:cNvSpPr/>
      </xdr:nvSpPr>
      <xdr:spPr>
        <a:xfrm>
          <a:off x="330200" y="1663700"/>
          <a:ext cx="1828800" cy="466725"/>
        </a:xfrm>
        <a:prstGeom prst="roundRect">
          <a:avLst/>
        </a:prstGeom>
        <a:solidFill>
          <a:srgbClr val="F5F5F5"/>
        </a:solidFill>
        <a:ln w="12700">
          <a:solidFill>
            <a:srgbClr val="C9521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absolute">
    <xdr:from>
      <xdr:col>1</xdr:col>
      <xdr:colOff>66040</xdr:colOff>
      <xdr:row>9</xdr:row>
      <xdr:rowOff>53975</xdr:rowOff>
    </xdr:from>
    <xdr:to>
      <xdr:col>1</xdr:col>
      <xdr:colOff>427990</xdr:colOff>
      <xdr:row>9</xdr:row>
      <xdr:rowOff>415925</xdr:rowOff>
    </xdr:to>
    <xdr:pic macro="[0]!ReRunXLSTAT">
      <xdr:nvPicPr>
        <xdr:cNvPr id="6" name="BT481376">
          <a:extLst>
            <a:ext uri="{FF2B5EF4-FFF2-40B4-BE49-F238E27FC236}">
              <a16:creationId xmlns:a16="http://schemas.microsoft.com/office/drawing/2014/main" id="{EBD07357-07F4-2D88-D09D-42A3A2C4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7" name="RM481376">
          <a:extLst>
            <a:ext uri="{FF2B5EF4-FFF2-40B4-BE49-F238E27FC236}">
              <a16:creationId xmlns:a16="http://schemas.microsoft.com/office/drawing/2014/main" id="{22514FFC-F3DC-9C0C-E024-75639B7D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8" name="AD481376" hidden="1">
          <a:extLst>
            <a:ext uri="{FF2B5EF4-FFF2-40B4-BE49-F238E27FC236}">
              <a16:creationId xmlns:a16="http://schemas.microsoft.com/office/drawing/2014/main" id="{5B64C382-FB3F-D912-ED1F-0C0F80454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355600</xdr:colOff>
      <xdr:row>9</xdr:row>
      <xdr:rowOff>53975</xdr:rowOff>
    </xdr:from>
    <xdr:to>
      <xdr:col>3</xdr:col>
      <xdr:colOff>107950</xdr:colOff>
      <xdr:row>9</xdr:row>
      <xdr:rowOff>415925</xdr:rowOff>
    </xdr:to>
    <xdr:pic macro="[0]!SendToOfficeLocal">
      <xdr:nvPicPr>
        <xdr:cNvPr id="9" name="WD481376">
          <a:extLst>
            <a:ext uri="{FF2B5EF4-FFF2-40B4-BE49-F238E27FC236}">
              <a16:creationId xmlns:a16="http://schemas.microsoft.com/office/drawing/2014/main" id="{22C9B437-7C05-54EA-88C6-5F5DFA1D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3</xdr:col>
      <xdr:colOff>195580</xdr:colOff>
      <xdr:row>9</xdr:row>
      <xdr:rowOff>53975</xdr:rowOff>
    </xdr:from>
    <xdr:to>
      <xdr:col>3</xdr:col>
      <xdr:colOff>557530</xdr:colOff>
      <xdr:row>9</xdr:row>
      <xdr:rowOff>415925</xdr:rowOff>
    </xdr:to>
    <xdr:pic macro="[0]!SendToOfficeLocal">
      <xdr:nvPicPr>
        <xdr:cNvPr id="10" name="PT481376">
          <a:extLst>
            <a:ext uri="{FF2B5EF4-FFF2-40B4-BE49-F238E27FC236}">
              <a16:creationId xmlns:a16="http://schemas.microsoft.com/office/drawing/2014/main" id="{B4F310D2-EA49-EB65-249C-83143489A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8630" y="17113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2</xdr:row>
      <xdr:rowOff>0</xdr:rowOff>
    </xdr:from>
    <xdr:to>
      <xdr:col>1</xdr:col>
      <xdr:colOff>12700</xdr:colOff>
      <xdr:row>2</xdr:row>
      <xdr:rowOff>25400</xdr:rowOff>
    </xdr:to>
    <xdr:sp macro="" textlink="">
      <xdr:nvSpPr>
        <xdr:cNvPr id="11" name="XP481376" hidden="1">
          <a:extLst>
            <a:ext uri="{FF2B5EF4-FFF2-40B4-BE49-F238E27FC236}">
              <a16:creationId xmlns:a16="http://schemas.microsoft.com/office/drawing/2014/main" id="{953BB45E-7E78-E3BF-7B4F-DF5ECBC9F5F3}"/>
            </a:ext>
          </a:extLst>
        </xdr:cNvPr>
        <xdr:cNvSpPr txBox="1"/>
      </xdr:nvSpPr>
      <xdr:spPr>
        <a:xfrm>
          <a:off x="311150" y="3683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Mann-Whitney*SEP*Summary statistics*SEP*$B$14
Mann-Whitney*SEP*Mann-Whitney test / Two-tailed test*SEP*$B$21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476250</xdr:rowOff>
        </xdr:from>
        <xdr:to>
          <xdr:col>4</xdr:col>
          <xdr:colOff>6350</xdr:colOff>
          <xdr:row>10</xdr:row>
          <xdr:rowOff>196850</xdr:rowOff>
        </xdr:to>
        <xdr:sp macro="" textlink="">
          <xdr:nvSpPr>
            <xdr:cNvPr id="1025" name="DD68878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D8B1FE3-778C-EB4F-4904-34345F7C44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prstDash val="solid"/>
              <a:miter lim="800000"/>
              <a:headEnd/>
              <a:tailEnd type="none" w="med" len="med"/>
            </a:ln>
            <a:effectLst/>
            <a:extLst>
              <a:ext uri="{909E8E84-426E-40DD-AFC4-6F175D3DCCD1}">
                <a14:hiddenFill>
                  <a:noFill/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363728</xdr:colOff>
      <xdr:row>0</xdr:row>
      <xdr:rowOff>36830</xdr:rowOff>
    </xdr:from>
    <xdr:to>
      <xdr:col>12</xdr:col>
      <xdr:colOff>241808</xdr:colOff>
      <xdr:row>1</xdr:row>
      <xdr:rowOff>147320</xdr:rowOff>
    </xdr:to>
    <xdr:sp macro="[0]!OrderXLSTAT" textlink="">
      <xdr:nvSpPr>
        <xdr:cNvPr id="2" name="BT163458">
          <a:extLst>
            <a:ext uri="{FF2B5EF4-FFF2-40B4-BE49-F238E27FC236}">
              <a16:creationId xmlns:a16="http://schemas.microsoft.com/office/drawing/2014/main" id="{5EFCC4E8-263F-E12A-BE48-381E10CE7F70}"/>
            </a:ext>
          </a:extLst>
        </xdr:cNvPr>
        <xdr:cNvSpPr txBox="1"/>
      </xdr:nvSpPr>
      <xdr:spPr>
        <a:xfrm>
          <a:off x="6529578" y="36830"/>
          <a:ext cx="1097280" cy="29464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Order</a:t>
          </a:r>
        </a:p>
      </xdr:txBody>
    </xdr:sp>
    <xdr:clientData/>
  </xdr:twoCellAnchor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3" name="TX229838" hidden="1">
          <a:extLst>
            <a:ext uri="{FF2B5EF4-FFF2-40B4-BE49-F238E27FC236}">
              <a16:creationId xmlns:a16="http://schemas.microsoft.com/office/drawing/2014/main" id="{C8A6E43D-EB32-9BF2-FB95-C39415B81B5C}"/>
            </a:ext>
          </a:extLst>
        </xdr:cNvPr>
        <xdr:cNvSpPr txBox="1"/>
      </xdr:nvSpPr>
      <xdr:spPr>
        <a:xfrm>
          <a:off x="946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RunProcNP2
Form41.txt
CheckBoxTrans,CheckBox,0,False,03,False,Trans,False,,,
CheckBoxDom,CheckBox,0,True,400000000000_Charts,True,Dominance diagram,False,,,
CheckBoxCum,CheckBox,0,True,400000000100_Charts,True,Distributions,False,,,
OptionButtonLehmann,OptionButton,0,True,100000000201_Options,True,Lehmann,False,,,
OptionButtonHol,OptionButton,-1,True,100000000001_Options,True,Hollander &amp; Wolfe,False,,,
CheckBoxLabels,CheckBox,-1,True,000000000201_General,True,Column labels,False,,,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CheckBoxWTest,CheckBox,0,True,000000000301_General,True,Wilcoxon signed-rank test,False,,,
CheckBoxSTest,CheckBox,0,True,000000000401_General,True,Sign test,False,,,
CheckBoxMWTest,CheckBox,-1,True,000000000501_General,True,Mann-Whitney test,False,,,
CheckBoxKSTest,CheckBox,0,False,000000000601_General,False,Kolmogorov-Smirnov test,False,,,
OptionButtonAsympt,OptionButton,0,True,100000010100_Options,True,Asymptotic p-value,False,,,
OptionButtonMonte,OptionButton,0,True,100000020100_Options,True,Monte Carlo method,False,,,
TextBoxPermut,TextBox,10000,True,100001030100_Options,True,Number of simulations:,False,,,
TextBoxMaxTime,TextBox,180,True,100001040100_Options,True,Maximum time (s):,False,,,
ComboBoxHyp,ComboBox,0,True,100000000000_Options,True,Choose the alternative hypothesis,False,,,
TextBoxDiff,TextBox,0,True,100000020000_Options,True,Hypothesized difference (D):,False,,,
CheckBoxCorrect,CheckBox,-1,True,100000050100_Options,True,Continuity correction,False,,,
OptionButtonExact,OptionButton,-1,True,100000060100_Options,True,Exact p-value,False,,,
CheckBoxSum,CheckBox,-1,True,300000000000_Outputs,True,Summary table,False,,,
CheckBox_Desc,CheckBox,-1,True,300000000200_Outputs,True,Descriptive statistics,False,,,
CheckBoxDetails,CheckBox,-1,True,300000000100_Outputs,True,Detailed results,False,,,
ScrollBarSelect,ScrollBar,0,False,04,False,,,,,
TextBoxList,TextBox,,False,05,False,,False,,,
CheckBoxMultiple,CheckBox,0,True,000000000701_General,True,Multiple pairwise comparisons,False,,,
ComboBoxType,ComboBox,2,False,000000010701_General,False,,False,,,
CheckBoxBonf,CheckBox,-1,False,000000020701_General,False,Bonferroni correction,False,,,
OptionButtonSample,OptionButton,-1,True,000000010300_General,True,One column per sample,False,,,
OptionButtonVariable,OptionButton,0,True,000000020300_General,True,One column per variable,False,,,
OptionButtonPaired,OptionButton,0,True,000000030300_General,True,Paired samples,False,,,
RefEditT,RefEdit0,'Sheet2'!$E$3:$E$22,True,000000000100_General,True,Sample 1:,False,,20,1
RefEditGroups,RefEdit0,'Sheet2'!$F$3:$F$22,True,000000000200_General,True,Sample 2:,False,,20,1
TextBoxSig,TextBox,5,True,100001000100_Options,True,Significance level (%):,False,,,
OptionButtonMVRemove,OptionButton,0,True,200000000100_Missing data,True,Remove the observations,False,,,
OptionButtonMVRefuse,OptionButton,-1,True,200000000000_Missing data,True,Do not accept missing data,False,,,
OptionButtonMVEstimate,OptionButton,0,True,200000000200_Missing data,True,Estimate missing data,False,,,
OptionButtonMeanMode,OptionButton,-1,True,200000000300_Missing data,True,Mean,False,,,
OptionButtonMVIgnore,OptionButton,0,True,200000000400_Missing data,True,Ignore missing data,False,,,
CheckBoxSort,CheckBox,-1,True,000000030701_General,True,Sort up,False,,,
CheckBoxPval,CheckBox,0,True,400000070200_Charts,True,Show p-values,False,,,
CheckBoxSP,CheckBox,0,True,400000030200_Charts,True,Strip plots,False,,,
CheckBoxBP,CheckBox,-1,True,400000010200_Charts,True,Box plots,False,,,
CheckBoxComp,CheckBox,0,True,400000000200_Charts,True,Comparison plots,False,,,
CheckBoxSG,CheckBox,0,True,400000020200_Charts,True,Scattergrams,False,,,
CheckBoxBar,CheckBox,0,True,400000040200_Charts,True,Bar charts,False,,,
CheckBoxError,CheckBox,0,True,400000050200_Charts,True,Error bars,False,,,
ComboBoxError,ComboBox,0,True,400000060200_Charts,True,Error bars,False,,,
CheckBoxDemsar,CheckBox,0,False,400000080200_Charts,False,Demsar plot,False,,,
</a:t>
          </a:r>
        </a:p>
      </xdr:txBody>
    </xdr:sp>
    <xdr:clientData/>
  </xdr:twoCellAnchor>
  <xdr:twoCellAnchor editAs="oneCell">
    <xdr:from>
      <xdr:col>0</xdr:col>
      <xdr:colOff>311150</xdr:colOff>
      <xdr:row>9</xdr:row>
      <xdr:rowOff>0</xdr:rowOff>
    </xdr:from>
    <xdr:to>
      <xdr:col>1</xdr:col>
      <xdr:colOff>12700</xdr:colOff>
      <xdr:row>9</xdr:row>
      <xdr:rowOff>25400</xdr:rowOff>
    </xdr:to>
    <xdr:sp macro="" textlink="">
      <xdr:nvSpPr>
        <xdr:cNvPr id="4" name="RAND_ID" hidden="1">
          <a:extLst>
            <a:ext uri="{FF2B5EF4-FFF2-40B4-BE49-F238E27FC236}">
              <a16:creationId xmlns:a16="http://schemas.microsoft.com/office/drawing/2014/main" id="{5EB4EDEC-FF62-B242-77BE-391924EECD63}"/>
            </a:ext>
          </a:extLst>
        </xdr:cNvPr>
        <xdr:cNvSpPr txBox="1"/>
      </xdr:nvSpPr>
      <xdr:spPr>
        <a:xfrm>
          <a:off x="311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229838</a:t>
          </a:r>
        </a:p>
      </xdr:txBody>
    </xdr:sp>
    <xdr:clientData/>
  </xdr:twoCellAnchor>
  <xdr:twoCellAnchor editAs="absolute">
    <xdr:from>
      <xdr:col>1</xdr:col>
      <xdr:colOff>6350</xdr:colOff>
      <xdr:row>9</xdr:row>
      <xdr:rowOff>6350</xdr:rowOff>
    </xdr:from>
    <xdr:to>
      <xdr:col>3</xdr:col>
      <xdr:colOff>260350</xdr:colOff>
      <xdr:row>9</xdr:row>
      <xdr:rowOff>473075</xdr:rowOff>
    </xdr:to>
    <xdr:sp macro="" textlink="">
      <xdr:nvSpPr>
        <xdr:cNvPr id="5" name="BK229838">
          <a:extLst>
            <a:ext uri="{FF2B5EF4-FFF2-40B4-BE49-F238E27FC236}">
              <a16:creationId xmlns:a16="http://schemas.microsoft.com/office/drawing/2014/main" id="{801DC4E4-3391-0DAF-269F-D3F870D46EF2}"/>
            </a:ext>
          </a:extLst>
        </xdr:cNvPr>
        <xdr:cNvSpPr/>
      </xdr:nvSpPr>
      <xdr:spPr>
        <a:xfrm>
          <a:off x="330200" y="1663700"/>
          <a:ext cx="1828800" cy="466725"/>
        </a:xfrm>
        <a:prstGeom prst="roundRect">
          <a:avLst/>
        </a:prstGeom>
        <a:solidFill>
          <a:srgbClr val="F5F5F5"/>
        </a:solidFill>
        <a:ln w="12700">
          <a:solidFill>
            <a:srgbClr val="C9521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absolute">
    <xdr:from>
      <xdr:col>1</xdr:col>
      <xdr:colOff>66040</xdr:colOff>
      <xdr:row>9</xdr:row>
      <xdr:rowOff>53975</xdr:rowOff>
    </xdr:from>
    <xdr:to>
      <xdr:col>1</xdr:col>
      <xdr:colOff>427990</xdr:colOff>
      <xdr:row>9</xdr:row>
      <xdr:rowOff>415925</xdr:rowOff>
    </xdr:to>
    <xdr:pic macro="[0]!ReRunXLSTAT">
      <xdr:nvPicPr>
        <xdr:cNvPr id="6" name="BT229838">
          <a:extLst>
            <a:ext uri="{FF2B5EF4-FFF2-40B4-BE49-F238E27FC236}">
              <a16:creationId xmlns:a16="http://schemas.microsoft.com/office/drawing/2014/main" id="{395533A3-FE64-3480-413B-B0C0B4377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1</xdr:col>
      <xdr:colOff>877570</xdr:colOff>
      <xdr:row>9</xdr:row>
      <xdr:rowOff>415925</xdr:rowOff>
    </xdr:to>
    <xdr:pic macro="[0]!AddRemovGrid">
      <xdr:nvPicPr>
        <xdr:cNvPr id="7" name="RM229838">
          <a:extLst>
            <a:ext uri="{FF2B5EF4-FFF2-40B4-BE49-F238E27FC236}">
              <a16:creationId xmlns:a16="http://schemas.microsoft.com/office/drawing/2014/main" id="{ECF79BA9-10D9-AA7F-60EA-C1E54AEC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1</xdr:col>
      <xdr:colOff>877570</xdr:colOff>
      <xdr:row>9</xdr:row>
      <xdr:rowOff>415925</xdr:rowOff>
    </xdr:to>
    <xdr:pic macro="[0]!AddRemovGrid">
      <xdr:nvPicPr>
        <xdr:cNvPr id="8" name="AD229838" hidden="1">
          <a:extLst>
            <a:ext uri="{FF2B5EF4-FFF2-40B4-BE49-F238E27FC236}">
              <a16:creationId xmlns:a16="http://schemas.microsoft.com/office/drawing/2014/main" id="{E819D17A-904F-B60A-049F-891976A9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9</xdr:row>
      <xdr:rowOff>53975</xdr:rowOff>
    </xdr:from>
    <xdr:to>
      <xdr:col>2</xdr:col>
      <xdr:colOff>361950</xdr:colOff>
      <xdr:row>9</xdr:row>
      <xdr:rowOff>415925</xdr:rowOff>
    </xdr:to>
    <xdr:pic macro="[0]!SendToOfficeLocal">
      <xdr:nvPicPr>
        <xdr:cNvPr id="9" name="WD229838">
          <a:extLst>
            <a:ext uri="{FF2B5EF4-FFF2-40B4-BE49-F238E27FC236}">
              <a16:creationId xmlns:a16="http://schemas.microsoft.com/office/drawing/2014/main" id="{2F46E077-94D0-8695-51A6-8AD7CDD89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449580</xdr:colOff>
      <xdr:row>9</xdr:row>
      <xdr:rowOff>53975</xdr:rowOff>
    </xdr:from>
    <xdr:to>
      <xdr:col>3</xdr:col>
      <xdr:colOff>201930</xdr:colOff>
      <xdr:row>9</xdr:row>
      <xdr:rowOff>415925</xdr:rowOff>
    </xdr:to>
    <xdr:pic macro="[0]!SendToOfficeLocal">
      <xdr:nvPicPr>
        <xdr:cNvPr id="10" name="PT229838">
          <a:extLst>
            <a:ext uri="{FF2B5EF4-FFF2-40B4-BE49-F238E27FC236}">
              <a16:creationId xmlns:a16="http://schemas.microsoft.com/office/drawing/2014/main" id="{407A8A96-1ECE-5E52-AF2C-7F35B726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8630" y="17113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2</xdr:row>
      <xdr:rowOff>0</xdr:rowOff>
    </xdr:from>
    <xdr:to>
      <xdr:col>1</xdr:col>
      <xdr:colOff>12700</xdr:colOff>
      <xdr:row>2</xdr:row>
      <xdr:rowOff>25400</xdr:rowOff>
    </xdr:to>
    <xdr:sp macro="" textlink="">
      <xdr:nvSpPr>
        <xdr:cNvPr id="11" name="XP229838" hidden="1">
          <a:extLst>
            <a:ext uri="{FF2B5EF4-FFF2-40B4-BE49-F238E27FC236}">
              <a16:creationId xmlns:a16="http://schemas.microsoft.com/office/drawing/2014/main" id="{55F0F248-AABF-0485-629C-6EA2DB15DC85}"/>
            </a:ext>
          </a:extLst>
        </xdr:cNvPr>
        <xdr:cNvSpPr txBox="1"/>
      </xdr:nvSpPr>
      <xdr:spPr>
        <a:xfrm>
          <a:off x="311150" y="3683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Mann-Whitney*SEP*Summary statistics*SEP*$B$14
Mann-Whitney*SEP*Mann-Whitney test / Two-tailed test*SEP*$B$21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476250</xdr:rowOff>
        </xdr:from>
        <xdr:to>
          <xdr:col>3</xdr:col>
          <xdr:colOff>260350</xdr:colOff>
          <xdr:row>10</xdr:row>
          <xdr:rowOff>196850</xdr:rowOff>
        </xdr:to>
        <xdr:sp macro="" textlink="">
          <xdr:nvSpPr>
            <xdr:cNvPr id="3073" name="DD113263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F10CBD6D-0E6F-FF60-CD5A-2F59DB0B5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prstDash val="solid"/>
              <a:miter lim="800000"/>
              <a:headEnd/>
              <a:tailEnd type="none" w="med" len="med"/>
            </a:ln>
            <a:effectLst/>
            <a:extLst>
              <a:ext uri="{909E8E84-426E-40DD-AFC4-6F175D3DCCD1}">
                <a14:hiddenFill>
                  <a:noFill/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109728</xdr:colOff>
      <xdr:row>0</xdr:row>
      <xdr:rowOff>36830</xdr:rowOff>
    </xdr:from>
    <xdr:to>
      <xdr:col>12</xdr:col>
      <xdr:colOff>597408</xdr:colOff>
      <xdr:row>1</xdr:row>
      <xdr:rowOff>147320</xdr:rowOff>
    </xdr:to>
    <xdr:sp macro="[0]!OrderXLSTAT" textlink="">
      <xdr:nvSpPr>
        <xdr:cNvPr id="2" name="BT486652">
          <a:extLst>
            <a:ext uri="{FF2B5EF4-FFF2-40B4-BE49-F238E27FC236}">
              <a16:creationId xmlns:a16="http://schemas.microsoft.com/office/drawing/2014/main" id="{08903413-7B7F-92E8-03B7-2BA8AD294FBE}"/>
            </a:ext>
          </a:extLst>
        </xdr:cNvPr>
        <xdr:cNvSpPr txBox="1"/>
      </xdr:nvSpPr>
      <xdr:spPr>
        <a:xfrm>
          <a:off x="6529578" y="36830"/>
          <a:ext cx="1097280" cy="29464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Order</a:t>
          </a:r>
        </a:p>
      </xdr:txBody>
    </xdr:sp>
    <xdr:clientData/>
  </xdr:twoCellAnchor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3" name="TX198869" hidden="1">
          <a:extLst>
            <a:ext uri="{FF2B5EF4-FFF2-40B4-BE49-F238E27FC236}">
              <a16:creationId xmlns:a16="http://schemas.microsoft.com/office/drawing/2014/main" id="{2D134298-9A7D-24C8-E6C5-8AEB3CFF5665}"/>
            </a:ext>
          </a:extLst>
        </xdr:cNvPr>
        <xdr:cNvSpPr txBox="1"/>
      </xdr:nvSpPr>
      <xdr:spPr>
        <a:xfrm>
          <a:off x="946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RunProcNP2
Form41.txt
CheckBoxTrans,CheckBox,0,False,03,False,Trans,False,,,
CheckBoxDom,CheckBox,0,True,400000000000_Charts,True,Dominance diagram,False,,,
CheckBoxCum,CheckBox,0,True,400000000100_Charts,True,Distributions,False,,,
OptionButtonLehmann,OptionButton,0,True,100000000201_Options,True,Lehmann,False,,,
OptionButtonHol,OptionButton,-1,True,100000000001_Options,True,Hollander &amp; Wolfe,False,,,
CheckBoxLabels,CheckBox,-1,True,000000000201_General,True,Column labels,False,,,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CheckBoxWTest,CheckBox,0,True,000000000301_General,True,Wilcoxon signed-rank test,False,,,
CheckBoxSTest,CheckBox,0,True,000000000401_General,True,Sign test,False,,,
CheckBoxMWTest,CheckBox,-1,True,000000000501_General,True,Mann-Whitney test,False,,,
CheckBoxKSTest,CheckBox,0,False,000000000601_General,False,Kolmogorov-Smirnov test,False,,,
OptionButtonAsympt,OptionButton,0,True,100000010100_Options,True,Asymptotic p-value,False,,,
OptionButtonMonte,OptionButton,0,True,100000020100_Options,True,Monte Carlo method,False,,,
TextBoxPermut,TextBox,10000,True,100001030100_Options,True,Number of simulations:,False,,,
TextBoxMaxTime,TextBox,180,True,100001040100_Options,True,Maximum time (s):,False,,,
ComboBoxHyp,ComboBox,0,True,100000000000_Options,True,Choose the alternative hypothesis,False,,,
TextBoxDiff,TextBox,0,True,100000020000_Options,True,Hypothesized difference (D):,False,,,
CheckBoxCorrect,CheckBox,-1,True,100000050100_Options,True,Continuity correction,False,,,
OptionButtonExact,OptionButton,-1,True,100000060100_Options,True,Exact p-value,False,,,
CheckBoxSum,CheckBox,-1,True,300000000000_Outputs,True,Summary table,False,,,
CheckBox_Desc,CheckBox,-1,True,300000000200_Outputs,True,Descriptive statistics,False,,,
CheckBoxDetails,CheckBox,-1,True,300000000100_Outputs,True,Detailed results,False,,,
ScrollBarSelect,ScrollBar,0,False,04,False,,,,,
TextBoxList,TextBox,,False,05,False,,False,,,
CheckBoxMultiple,CheckBox,0,True,000000000701_General,True,Multiple pairwise comparisons,False,,,
ComboBoxType,ComboBox,2,False,000000010701_General,False,,False,,,
CheckBoxBonf,CheckBox,-1,False,000000020701_General,False,Bonferroni correction,False,,,
OptionButtonSample,OptionButton,-1,True,000000010300_General,True,One column per sample,False,,,
OptionButtonVariable,OptionButton,0,True,000000020300_General,True,One column per variable,False,,,
OptionButtonPaired,OptionButton,0,True,000000030300_General,True,Paired samples,False,,,
RefEditT,RefEdit0,'Sheet2'!$H$12:$H$25,True,000000000100_General,True,Sample 1:,False,,14,1
RefEditGroups,RefEdit0,'Sheet2'!$I$12:$I$25,True,000000000200_General,True,Sample 2:,False,,14,1
TextBoxSig,TextBox,5,True,100001000100_Options,True,Significance level (%):,False,,,
OptionButtonMVRemove,OptionButton,0,True,200000000100_Missing data,True,Remove the observations,False,,,
OptionButtonMVRefuse,OptionButton,-1,True,200000000000_Missing data,True,Do not accept missing data,False,,,
OptionButtonMVEstimate,OptionButton,0,True,200000000200_Missing data,True,Estimate missing data,False,,,
OptionButtonMeanMode,OptionButton,-1,True,200000000300_Missing data,True,Mean,False,,,
OptionButtonMVIgnore,OptionButton,0,True,200000000400_Missing data,True,Ignore missing data,False,,,
CheckBoxSort,CheckBox,-1,True,000000030701_General,True,Sort up,False,,,
CheckBoxPval,CheckBox,0,True,400000070200_Charts,True,Show p-values,False,,,
CheckBoxSP,CheckBox,0,True,400000030200_Charts,True,Strip plots,False,,,
CheckBoxBP,CheckBox,-1,True,400000010200_Charts,True,Box plots,False,,,
CheckBoxComp,CheckBox,0,True,400000000200_Charts,True,Comparison plots,False,,,
CheckBoxSG,CheckBox,0,True,400000020200_Charts,True,Scattergrams,False,,,
CheckBoxBar,CheckBox,0,True,400000040200_Charts,True,Bar charts,False,,,
CheckBoxError,CheckBox,0,True,400000050200_Charts,True,Error bars,False,,,
ComboBoxError,ComboBox,0,True,400000060200_Charts,True,Error bars,False,,,
CheckBoxDemsar,CheckBox,0,False,400000080200_Charts,False,Demsar plot,False,,,
</a:t>
          </a:r>
        </a:p>
      </xdr:txBody>
    </xdr:sp>
    <xdr:clientData/>
  </xdr:twoCellAnchor>
  <xdr:twoCellAnchor editAs="oneCell">
    <xdr:from>
      <xdr:col>0</xdr:col>
      <xdr:colOff>311150</xdr:colOff>
      <xdr:row>9</xdr:row>
      <xdr:rowOff>0</xdr:rowOff>
    </xdr:from>
    <xdr:to>
      <xdr:col>1</xdr:col>
      <xdr:colOff>12700</xdr:colOff>
      <xdr:row>9</xdr:row>
      <xdr:rowOff>25400</xdr:rowOff>
    </xdr:to>
    <xdr:sp macro="" textlink="">
      <xdr:nvSpPr>
        <xdr:cNvPr id="4" name="RAND_ID" hidden="1">
          <a:extLst>
            <a:ext uri="{FF2B5EF4-FFF2-40B4-BE49-F238E27FC236}">
              <a16:creationId xmlns:a16="http://schemas.microsoft.com/office/drawing/2014/main" id="{0BF93221-F7B1-ECB7-2D6B-E752225C4AD3}"/>
            </a:ext>
          </a:extLst>
        </xdr:cNvPr>
        <xdr:cNvSpPr txBox="1"/>
      </xdr:nvSpPr>
      <xdr:spPr>
        <a:xfrm>
          <a:off x="311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198869</a:t>
          </a:r>
        </a:p>
      </xdr:txBody>
    </xdr:sp>
    <xdr:clientData/>
  </xdr:twoCellAnchor>
  <xdr:twoCellAnchor editAs="absolute">
    <xdr:from>
      <xdr:col>1</xdr:col>
      <xdr:colOff>6350</xdr:colOff>
      <xdr:row>9</xdr:row>
      <xdr:rowOff>6350</xdr:rowOff>
    </xdr:from>
    <xdr:to>
      <xdr:col>4</xdr:col>
      <xdr:colOff>6350</xdr:colOff>
      <xdr:row>9</xdr:row>
      <xdr:rowOff>473075</xdr:rowOff>
    </xdr:to>
    <xdr:sp macro="" textlink="">
      <xdr:nvSpPr>
        <xdr:cNvPr id="5" name="BK198869">
          <a:extLst>
            <a:ext uri="{FF2B5EF4-FFF2-40B4-BE49-F238E27FC236}">
              <a16:creationId xmlns:a16="http://schemas.microsoft.com/office/drawing/2014/main" id="{5C23533E-AE32-3E56-784B-D3BB437E182C}"/>
            </a:ext>
          </a:extLst>
        </xdr:cNvPr>
        <xdr:cNvSpPr/>
      </xdr:nvSpPr>
      <xdr:spPr>
        <a:xfrm>
          <a:off x="330200" y="1663700"/>
          <a:ext cx="1828800" cy="466725"/>
        </a:xfrm>
        <a:prstGeom prst="roundRect">
          <a:avLst/>
        </a:prstGeom>
        <a:solidFill>
          <a:srgbClr val="F5F5F5"/>
        </a:solidFill>
        <a:ln w="12700">
          <a:solidFill>
            <a:srgbClr val="C9521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absolute">
    <xdr:from>
      <xdr:col>1</xdr:col>
      <xdr:colOff>66040</xdr:colOff>
      <xdr:row>9</xdr:row>
      <xdr:rowOff>53975</xdr:rowOff>
    </xdr:from>
    <xdr:to>
      <xdr:col>1</xdr:col>
      <xdr:colOff>427990</xdr:colOff>
      <xdr:row>9</xdr:row>
      <xdr:rowOff>415925</xdr:rowOff>
    </xdr:to>
    <xdr:pic macro="[0]!ReRunXLSTAT">
      <xdr:nvPicPr>
        <xdr:cNvPr id="6" name="BT198869">
          <a:extLst>
            <a:ext uri="{FF2B5EF4-FFF2-40B4-BE49-F238E27FC236}">
              <a16:creationId xmlns:a16="http://schemas.microsoft.com/office/drawing/2014/main" id="{CEFCC81F-DAEA-FDF0-E149-C19C8ADC7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7" name="RM198869">
          <a:extLst>
            <a:ext uri="{FF2B5EF4-FFF2-40B4-BE49-F238E27FC236}">
              <a16:creationId xmlns:a16="http://schemas.microsoft.com/office/drawing/2014/main" id="{A5E8088A-9ADB-CA92-EBE2-125E561FD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8" name="AD198869" hidden="1">
          <a:extLst>
            <a:ext uri="{FF2B5EF4-FFF2-40B4-BE49-F238E27FC236}">
              <a16:creationId xmlns:a16="http://schemas.microsoft.com/office/drawing/2014/main" id="{11BB8875-47F2-5C8C-F9FA-5232FBF02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355600</xdr:colOff>
      <xdr:row>9</xdr:row>
      <xdr:rowOff>53975</xdr:rowOff>
    </xdr:from>
    <xdr:to>
      <xdr:col>3</xdr:col>
      <xdr:colOff>107950</xdr:colOff>
      <xdr:row>9</xdr:row>
      <xdr:rowOff>415925</xdr:rowOff>
    </xdr:to>
    <xdr:pic macro="[0]!SendToOfficeLocal">
      <xdr:nvPicPr>
        <xdr:cNvPr id="9" name="WD198869">
          <a:extLst>
            <a:ext uri="{FF2B5EF4-FFF2-40B4-BE49-F238E27FC236}">
              <a16:creationId xmlns:a16="http://schemas.microsoft.com/office/drawing/2014/main" id="{001D6120-4CCC-8861-FF88-9D5E6B13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3</xdr:col>
      <xdr:colOff>195580</xdr:colOff>
      <xdr:row>9</xdr:row>
      <xdr:rowOff>53975</xdr:rowOff>
    </xdr:from>
    <xdr:to>
      <xdr:col>3</xdr:col>
      <xdr:colOff>557530</xdr:colOff>
      <xdr:row>9</xdr:row>
      <xdr:rowOff>415925</xdr:rowOff>
    </xdr:to>
    <xdr:pic macro="[0]!SendToOfficeLocal">
      <xdr:nvPicPr>
        <xdr:cNvPr id="10" name="PT198869">
          <a:extLst>
            <a:ext uri="{FF2B5EF4-FFF2-40B4-BE49-F238E27FC236}">
              <a16:creationId xmlns:a16="http://schemas.microsoft.com/office/drawing/2014/main" id="{A5A2E23A-59C6-8E1A-F19E-8792A40D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8630" y="17113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2</xdr:row>
      <xdr:rowOff>0</xdr:rowOff>
    </xdr:from>
    <xdr:to>
      <xdr:col>1</xdr:col>
      <xdr:colOff>12700</xdr:colOff>
      <xdr:row>2</xdr:row>
      <xdr:rowOff>25400</xdr:rowOff>
    </xdr:to>
    <xdr:sp macro="" textlink="">
      <xdr:nvSpPr>
        <xdr:cNvPr id="11" name="XP198869" hidden="1">
          <a:extLst>
            <a:ext uri="{FF2B5EF4-FFF2-40B4-BE49-F238E27FC236}">
              <a16:creationId xmlns:a16="http://schemas.microsoft.com/office/drawing/2014/main" id="{832E0DAF-8845-6C5E-B383-02DC68E72323}"/>
            </a:ext>
          </a:extLst>
        </xdr:cNvPr>
        <xdr:cNvSpPr txBox="1"/>
      </xdr:nvSpPr>
      <xdr:spPr>
        <a:xfrm>
          <a:off x="311150" y="3683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Mann-Whitney*SEP*Summary statistics*SEP*$B$14
Mann-Whitney*SEP*Mann-Whitney test / Two-tailed test*SEP*$B$21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476250</xdr:rowOff>
        </xdr:from>
        <xdr:to>
          <xdr:col>4</xdr:col>
          <xdr:colOff>6350</xdr:colOff>
          <xdr:row>10</xdr:row>
          <xdr:rowOff>196850</xdr:rowOff>
        </xdr:to>
        <xdr:sp macro="" textlink="">
          <xdr:nvSpPr>
            <xdr:cNvPr id="9217" name="DD929987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48B483CE-5A37-0D59-C717-F8ACDC3331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prstDash val="solid"/>
              <a:miter lim="800000"/>
              <a:headEnd/>
              <a:tailEnd type="none" w="med" len="med"/>
            </a:ln>
            <a:effectLst/>
            <a:extLst>
              <a:ext uri="{909E8E84-426E-40DD-AFC4-6F175D3DCCD1}">
                <a14:hiddenFill>
                  <a:noFill/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109728</xdr:colOff>
      <xdr:row>0</xdr:row>
      <xdr:rowOff>36830</xdr:rowOff>
    </xdr:from>
    <xdr:to>
      <xdr:col>12</xdr:col>
      <xdr:colOff>597408</xdr:colOff>
      <xdr:row>1</xdr:row>
      <xdr:rowOff>147320</xdr:rowOff>
    </xdr:to>
    <xdr:sp macro="[0]!OrderXLSTAT" textlink="">
      <xdr:nvSpPr>
        <xdr:cNvPr id="2" name="BT245004">
          <a:extLst>
            <a:ext uri="{FF2B5EF4-FFF2-40B4-BE49-F238E27FC236}">
              <a16:creationId xmlns:a16="http://schemas.microsoft.com/office/drawing/2014/main" id="{97E84553-6E14-CE7F-742B-3E1A967D65CB}"/>
            </a:ext>
          </a:extLst>
        </xdr:cNvPr>
        <xdr:cNvSpPr txBox="1"/>
      </xdr:nvSpPr>
      <xdr:spPr>
        <a:xfrm>
          <a:off x="6529578" y="36830"/>
          <a:ext cx="1097280" cy="29464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Order</a:t>
          </a:r>
        </a:p>
      </xdr:txBody>
    </xdr:sp>
    <xdr:clientData/>
  </xdr:twoCellAnchor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3" name="TX586778" hidden="1">
          <a:extLst>
            <a:ext uri="{FF2B5EF4-FFF2-40B4-BE49-F238E27FC236}">
              <a16:creationId xmlns:a16="http://schemas.microsoft.com/office/drawing/2014/main" id="{48B732AA-9611-2267-E2DC-55DD012C52A7}"/>
            </a:ext>
          </a:extLst>
        </xdr:cNvPr>
        <xdr:cNvSpPr txBox="1"/>
      </xdr:nvSpPr>
      <xdr:spPr>
        <a:xfrm>
          <a:off x="946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RunProcNP2
Form41.txt
CheckBoxTrans,CheckBox,0,False,03,False,Trans,False,,,
CheckBoxDom,CheckBox,0,True,400000000000_Charts,True,Dominance diagram,False,,,
CheckBoxCum,CheckBox,0,True,400000000100_Charts,True,Distributions,False,,,
OptionButtonLehmann,OptionButton,0,True,100000000201_Options,True,Lehmann,False,,,
OptionButtonHol,OptionButton,-1,True,100000000001_Options,True,Hollander &amp; Wolfe,False,,,
CheckBoxLabels,CheckBox,-1,True,000000000201_General,True,Column labels,False,,,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CheckBoxWTest,CheckBox,0,True,000000000301_General,True,Wilcoxon signed-rank test,False,,,
CheckBoxSTest,CheckBox,0,True,000000000401_General,True,Sign test,False,,,
CheckBoxMWTest,CheckBox,-1,True,000000000501_General,True,Mann-Whitney test,False,,,
CheckBoxKSTest,CheckBox,0,False,000000000601_General,False,Kolmogorov-Smirnov test,False,,,
OptionButtonAsympt,OptionButton,0,True,100000010100_Options,True,Asymptotic p-value,False,,,
OptionButtonMonte,OptionButton,0,True,100000020100_Options,True,Monte Carlo method,False,,,
TextBoxPermut,TextBox,10000,True,100001030100_Options,True,Number of simulations:,False,,,
TextBoxMaxTime,TextBox,180,True,100001040100_Options,True,Maximum time (s):,False,,,
ComboBoxHyp,ComboBox,0,True,100000000000_Options,True,Choose the alternative hypothesis,False,,,
TextBoxDiff,TextBox,0,True,100000020000_Options,True,Hypothesized difference (D):,False,,,
CheckBoxCorrect,CheckBox,-1,True,100000050100_Options,True,Continuity correction,False,,,
OptionButtonExact,OptionButton,-1,True,100000060100_Options,True,Exact p-value,False,,,
CheckBoxSum,CheckBox,-1,True,300000000000_Outputs,True,Summary table,False,,,
CheckBox_Desc,CheckBox,-1,True,300000000200_Outputs,True,Descriptive statistics,False,,,
CheckBoxDetails,CheckBox,-1,True,300000000100_Outputs,True,Detailed results,False,,,
ScrollBarSelect,ScrollBar,0,False,04,False,,,,,
TextBoxList,TextBox,,False,05,False,,False,,,
CheckBoxMultiple,CheckBox,0,True,000000000701_General,True,Multiple pairwise comparisons,False,,,
ComboBoxType,ComboBox,2,False,000000010701_General,False,,False,,,
CheckBoxBonf,CheckBox,-1,False,000000020701_General,False,Bonferroni correction,False,,,
OptionButtonSample,OptionButton,-1,True,000000010300_General,True,One column per sample,False,,,
OptionButtonVariable,OptionButton,0,True,000000020300_General,True,One column per variable,False,,,
OptionButtonPaired,OptionButton,0,True,000000030300_General,True,Paired samples,False,,,
RefEditT,RefEdit0,'Sheet2'!$K$12:$K$25,True,000000000100_General,True,Sample 1:,False,,14,1
RefEditGroups,RefEdit0,'Sheet2'!$L$12:$L$25,True,000000000200_General,True,Sample 2:,False,,14,1
TextBoxSig,TextBox,5,True,100001000100_Options,True,Significance level (%):,False,,,
OptionButtonMVRemove,OptionButton,0,True,200000000100_Missing data,True,Remove the observations,False,,,
OptionButtonMVRefuse,OptionButton,-1,True,200000000000_Missing data,True,Do not accept missing data,False,,,
OptionButtonMVEstimate,OptionButton,0,True,200000000200_Missing data,True,Estimate missing data,False,,,
OptionButtonMeanMode,OptionButton,-1,True,200000000300_Missing data,True,Mean,False,,,
OptionButtonMVIgnore,OptionButton,0,True,200000000400_Missing data,True,Ignore missing data,False,,,
CheckBoxSort,CheckBox,-1,True,000000030701_General,True,Sort up,False,,,
CheckBoxPval,CheckBox,0,True,400000070200_Charts,True,Show p-values,False,,,
CheckBoxSP,CheckBox,0,True,400000030200_Charts,True,Strip plots,False,,,
CheckBoxBP,CheckBox,-1,True,400000010200_Charts,True,Box plots,False,,,
CheckBoxComp,CheckBox,0,True,400000000200_Charts,True,Comparison plots,False,,,
CheckBoxSG,CheckBox,0,True,400000020200_Charts,True,Scattergrams,False,,,
CheckBoxBar,CheckBox,0,True,400000040200_Charts,True,Bar charts,False,,,
CheckBoxError,CheckBox,0,True,400000050200_Charts,True,Error bars,False,,,
ComboBoxError,ComboBox,0,True,400000060200_Charts,True,Error bars,False,,,
CheckBoxDemsar,CheckBox,0,False,400000080200_Charts,False,Demsar plot,False,,,
</a:t>
          </a:r>
        </a:p>
      </xdr:txBody>
    </xdr:sp>
    <xdr:clientData/>
  </xdr:twoCellAnchor>
  <xdr:twoCellAnchor editAs="oneCell">
    <xdr:from>
      <xdr:col>0</xdr:col>
      <xdr:colOff>311150</xdr:colOff>
      <xdr:row>9</xdr:row>
      <xdr:rowOff>0</xdr:rowOff>
    </xdr:from>
    <xdr:to>
      <xdr:col>1</xdr:col>
      <xdr:colOff>12700</xdr:colOff>
      <xdr:row>9</xdr:row>
      <xdr:rowOff>25400</xdr:rowOff>
    </xdr:to>
    <xdr:sp macro="" textlink="">
      <xdr:nvSpPr>
        <xdr:cNvPr id="4" name="RAND_ID" hidden="1">
          <a:extLst>
            <a:ext uri="{FF2B5EF4-FFF2-40B4-BE49-F238E27FC236}">
              <a16:creationId xmlns:a16="http://schemas.microsoft.com/office/drawing/2014/main" id="{BAF29A57-8A3A-EFE9-30B9-3EDBA7FD5ECD}"/>
            </a:ext>
          </a:extLst>
        </xdr:cNvPr>
        <xdr:cNvSpPr txBox="1"/>
      </xdr:nvSpPr>
      <xdr:spPr>
        <a:xfrm>
          <a:off x="311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586778</a:t>
          </a:r>
        </a:p>
      </xdr:txBody>
    </xdr:sp>
    <xdr:clientData/>
  </xdr:twoCellAnchor>
  <xdr:twoCellAnchor editAs="absolute">
    <xdr:from>
      <xdr:col>1</xdr:col>
      <xdr:colOff>66040</xdr:colOff>
      <xdr:row>9</xdr:row>
      <xdr:rowOff>53975</xdr:rowOff>
    </xdr:from>
    <xdr:to>
      <xdr:col>1</xdr:col>
      <xdr:colOff>427990</xdr:colOff>
      <xdr:row>9</xdr:row>
      <xdr:rowOff>415925</xdr:rowOff>
    </xdr:to>
    <xdr:pic macro="[0]!ReRunXLSTAT">
      <xdr:nvPicPr>
        <xdr:cNvPr id="6" name="BT586778">
          <a:extLst>
            <a:ext uri="{FF2B5EF4-FFF2-40B4-BE49-F238E27FC236}">
              <a16:creationId xmlns:a16="http://schemas.microsoft.com/office/drawing/2014/main" id="{429A3A51-43E9-67E9-9A80-128990FC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7" name="RM586778">
          <a:extLst>
            <a:ext uri="{FF2B5EF4-FFF2-40B4-BE49-F238E27FC236}">
              <a16:creationId xmlns:a16="http://schemas.microsoft.com/office/drawing/2014/main" id="{8DA0DF60-21A2-B179-C09D-27634ABD9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9</xdr:row>
      <xdr:rowOff>53975</xdr:rowOff>
    </xdr:from>
    <xdr:to>
      <xdr:col>2</xdr:col>
      <xdr:colOff>267970</xdr:colOff>
      <xdr:row>9</xdr:row>
      <xdr:rowOff>415925</xdr:rowOff>
    </xdr:to>
    <xdr:pic macro="[0]!AddRemovGrid">
      <xdr:nvPicPr>
        <xdr:cNvPr id="8" name="AD586778" hidden="1">
          <a:extLst>
            <a:ext uri="{FF2B5EF4-FFF2-40B4-BE49-F238E27FC236}">
              <a16:creationId xmlns:a16="http://schemas.microsoft.com/office/drawing/2014/main" id="{F33B2A7E-A0B9-377D-890C-6B7F67522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355600</xdr:colOff>
      <xdr:row>9</xdr:row>
      <xdr:rowOff>53975</xdr:rowOff>
    </xdr:from>
    <xdr:to>
      <xdr:col>3</xdr:col>
      <xdr:colOff>107950</xdr:colOff>
      <xdr:row>9</xdr:row>
      <xdr:rowOff>415925</xdr:rowOff>
    </xdr:to>
    <xdr:pic macro="[0]!SendToOfficeLocal">
      <xdr:nvPicPr>
        <xdr:cNvPr id="9" name="WD586778">
          <a:extLst>
            <a:ext uri="{FF2B5EF4-FFF2-40B4-BE49-F238E27FC236}">
              <a16:creationId xmlns:a16="http://schemas.microsoft.com/office/drawing/2014/main" id="{1DD771AB-B8CD-529A-B442-6456552D1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3</xdr:col>
      <xdr:colOff>195580</xdr:colOff>
      <xdr:row>9</xdr:row>
      <xdr:rowOff>53975</xdr:rowOff>
    </xdr:from>
    <xdr:to>
      <xdr:col>3</xdr:col>
      <xdr:colOff>557530</xdr:colOff>
      <xdr:row>9</xdr:row>
      <xdr:rowOff>415925</xdr:rowOff>
    </xdr:to>
    <xdr:pic macro="[0]!SendToOfficeLocal">
      <xdr:nvPicPr>
        <xdr:cNvPr id="10" name="PT586778">
          <a:extLst>
            <a:ext uri="{FF2B5EF4-FFF2-40B4-BE49-F238E27FC236}">
              <a16:creationId xmlns:a16="http://schemas.microsoft.com/office/drawing/2014/main" id="{12D8A7C3-DA23-3B7D-DE2C-BB886640D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8630" y="17113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2</xdr:row>
      <xdr:rowOff>0</xdr:rowOff>
    </xdr:from>
    <xdr:to>
      <xdr:col>1</xdr:col>
      <xdr:colOff>12700</xdr:colOff>
      <xdr:row>2</xdr:row>
      <xdr:rowOff>25400</xdr:rowOff>
    </xdr:to>
    <xdr:sp macro="" textlink="">
      <xdr:nvSpPr>
        <xdr:cNvPr id="11" name="XP586778" hidden="1">
          <a:extLst>
            <a:ext uri="{FF2B5EF4-FFF2-40B4-BE49-F238E27FC236}">
              <a16:creationId xmlns:a16="http://schemas.microsoft.com/office/drawing/2014/main" id="{E11249F6-73DC-5EEE-2C66-632F5A298CB2}"/>
            </a:ext>
          </a:extLst>
        </xdr:cNvPr>
        <xdr:cNvSpPr txBox="1"/>
      </xdr:nvSpPr>
      <xdr:spPr>
        <a:xfrm>
          <a:off x="311150" y="3683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Mann-Whitney*SEP*Summary statistics*SEP*$B$14
Mann-Whitney*SEP*Mann-Whitney test / Two-tailed test*SEP*$B$21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476250</xdr:rowOff>
        </xdr:from>
        <xdr:to>
          <xdr:col>4</xdr:col>
          <xdr:colOff>6350</xdr:colOff>
          <xdr:row>10</xdr:row>
          <xdr:rowOff>196850</xdr:rowOff>
        </xdr:to>
        <xdr:sp macro="" textlink="">
          <xdr:nvSpPr>
            <xdr:cNvPr id="10241" name="DD41024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1F71E364-2CEE-144E-0EAD-7CA6769254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prstDash val="solid"/>
              <a:miter lim="800000"/>
              <a:headEnd/>
              <a:tailEnd type="none" w="med" len="med"/>
            </a:ln>
            <a:effectLst/>
            <a:extLst>
              <a:ext uri="{909E8E84-426E-40DD-AFC4-6F175D3DCCD1}">
                <a14:hiddenFill>
                  <a:noFill/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560578</xdr:colOff>
      <xdr:row>0</xdr:row>
      <xdr:rowOff>36830</xdr:rowOff>
    </xdr:from>
    <xdr:to>
      <xdr:col>11</xdr:col>
      <xdr:colOff>438658</xdr:colOff>
      <xdr:row>1</xdr:row>
      <xdr:rowOff>147320</xdr:rowOff>
    </xdr:to>
    <xdr:sp macro="[0]!OrderXLSTAT" textlink="">
      <xdr:nvSpPr>
        <xdr:cNvPr id="2" name="BT102337">
          <a:extLst>
            <a:ext uri="{FF2B5EF4-FFF2-40B4-BE49-F238E27FC236}">
              <a16:creationId xmlns:a16="http://schemas.microsoft.com/office/drawing/2014/main" id="{20C5AC98-D016-A92F-DF1E-30CF8AAD3045}"/>
            </a:ext>
          </a:extLst>
        </xdr:cNvPr>
        <xdr:cNvSpPr txBox="1"/>
      </xdr:nvSpPr>
      <xdr:spPr>
        <a:xfrm>
          <a:off x="6529578" y="36830"/>
          <a:ext cx="1097280" cy="294640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algn="ctr"/>
          <a:r>
            <a:rPr lang="en-US" sz="1100"/>
            <a:t>Order</a:t>
          </a:r>
        </a:p>
      </xdr:txBody>
    </xdr:sp>
    <xdr:clientData/>
  </xdr:twoCellAnchor>
  <xdr:twoCellAnchor editAs="oneCell">
    <xdr:from>
      <xdr:col>2</xdr:col>
      <xdr:colOff>12700</xdr:colOff>
      <xdr:row>7</xdr:row>
      <xdr:rowOff>0</xdr:rowOff>
    </xdr:from>
    <xdr:to>
      <xdr:col>2</xdr:col>
      <xdr:colOff>38100</xdr:colOff>
      <xdr:row>7</xdr:row>
      <xdr:rowOff>25400</xdr:rowOff>
    </xdr:to>
    <xdr:sp macro="" textlink="">
      <xdr:nvSpPr>
        <xdr:cNvPr id="3" name="TX729911" hidden="1">
          <a:extLst>
            <a:ext uri="{FF2B5EF4-FFF2-40B4-BE49-F238E27FC236}">
              <a16:creationId xmlns:a16="http://schemas.microsoft.com/office/drawing/2014/main" id="{DF35923B-C342-7DBF-4C39-503359BF4BD4}"/>
            </a:ext>
          </a:extLst>
        </xdr:cNvPr>
        <xdr:cNvSpPr txBox="1"/>
      </xdr:nvSpPr>
      <xdr:spPr>
        <a:xfrm>
          <a:off x="946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RunProcNP2
Form41.txt
CheckBoxTrans,CheckBox,0,False,03,False,Trans,False,,,
CheckBoxDom,CheckBox,0,True,400000000000_Charts,True,Dominance diagram,False,,,
CheckBoxCum,CheckBox,0,True,400000000100_Charts,True,Distributions,False,,,
OptionButtonLehmann,OptionButton,0,True,100000000201_Options,True,Lehmann,False,,,
OptionButtonHol,OptionButton,-1,True,100000000001_Options,True,Hollander &amp; Wolfe,False,,,
CheckBoxLabels,CheckBox,-1,True,000000000201_General,True,Column labels,False,,,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CheckBoxWTest,CheckBox,0,True,000000000301_General,True,Wilcoxon signed-rank test,False,,,
CheckBoxSTest,CheckBox,0,True,000000000401_General,True,Sign test,False,,,
CheckBoxMWTest,CheckBox,-1,True,000000000501_General,True,Mann-Whitney test,False,,,
CheckBoxKSTest,CheckBox,0,False,000000000601_General,False,Kolmogorov-Smirnov test,False,,,
OptionButtonAsympt,OptionButton,0,True,100000010100_Options,True,Asymptotic p-value,False,,,
OptionButtonMonte,OptionButton,0,True,100000020100_Options,True,Monte Carlo method,False,,,
TextBoxPermut,TextBox,10000,True,100001030100_Options,True,Number of simulations:,False,,,
TextBoxMaxTime,TextBox,180,True,100001040100_Options,True,Maximum time (s):,False,,,
ComboBoxHyp,ComboBox,0,True,100000000000_Options,True,Choose the alternative hypothesis,False,,,
TextBoxDiff,TextBox,0,True,100000020000_Options,True,Hypothesized difference (D):,False,,,
CheckBoxCorrect,CheckBox,-1,True,100000050100_Options,True,Continuity correction,False,,,
OptionButtonExact,OptionButton,-1,True,100000060100_Options,True,Exact p-value,False,,,
CheckBoxSum,CheckBox,-1,True,300000000000_Outputs,True,Summary table,False,,,
CheckBox_Desc,CheckBox,-1,True,300000000200_Outputs,True,Descriptive statistics,False,,,
CheckBoxDetails,CheckBox,-1,True,300000000100_Outputs,True,Detailed results,False,,,
ScrollBarSelect,ScrollBar,0,False,04,False,,,,,
TextBoxList,TextBox,,False,05,False,,False,,,
CheckBoxMultiple,CheckBox,0,True,000000000701_General,True,Multiple pairwise comparisons,False,,,
ComboBoxType,ComboBox,2,False,000000010701_General,False,,False,,,
CheckBoxBonf,CheckBox,-1,False,000000020701_General,False,Bonferroni correction,False,,,
OptionButtonSample,OptionButton,-1,True,000000010300_General,True,One column per sample,False,,,
OptionButtonVariable,OptionButton,0,True,000000020300_General,True,One column per variable,False,,,
OptionButtonPaired,OptionButton,0,True,000000030300_General,True,Paired samples,False,,,
RefEditT,RefEdit0,'Sheet2'!$N$12:$N$24,True,000000000100_General,True,Sample 1:,False,,13,1
RefEditGroups,RefEdit0,'Sheet2'!$O$12:$O$24,True,000000000200_General,True,Sample 2:,False,,13,1
TextBoxSig,TextBox,5,True,100001000100_Options,True,Significance level (%):,False,,,
OptionButtonMVRemove,OptionButton,0,True,200000000100_Missing data,True,Remove the observations,False,,,
OptionButtonMVRefuse,OptionButton,-1,True,200000000000_Missing data,True,Do not accept missing data,False,,,
OptionButtonMVEstimate,OptionButton,0,True,200000000200_Missing data,True,Estimate missing data,False,,,
OptionButtonMeanMode,OptionButton,-1,True,200000000300_Missing data,True,Mean,False,,,
OptionButtonMVIgnore,OptionButton,0,True,200000000400_Missing data,True,Ignore missing data,False,,,
CheckBoxSort,CheckBox,-1,True,000000030701_General,True,Sort up,False,,,
CheckBoxPval,CheckBox,0,True,400000070200_Charts,True,Show p-values,False,,,
CheckBoxSP,CheckBox,0,True,400000030200_Charts,True,Strip plots,False,,,
CheckBoxBP,CheckBox,-1,True,400000010200_Charts,True,Box plots,False,,,
CheckBoxComp,CheckBox,0,True,400000000200_Charts,True,Comparison plots,False,,,
CheckBoxSG,CheckBox,0,True,400000020200_Charts,True,Scattergrams,False,,,
CheckBoxBar,CheckBox,0,True,400000040200_Charts,True,Bar charts,False,,,
CheckBoxError,CheckBox,0,True,400000050200_Charts,True,Error bars,False,,,
ComboBoxError,ComboBox,0,True,400000060200_Charts,True,Error bars,False,,,
CheckBoxDemsar,CheckBox,0,False,400000080200_Charts,False,Demsar plot,False,,,
</a:t>
          </a:r>
        </a:p>
      </xdr:txBody>
    </xdr:sp>
    <xdr:clientData/>
  </xdr:twoCellAnchor>
  <xdr:twoCellAnchor editAs="oneCell">
    <xdr:from>
      <xdr:col>0</xdr:col>
      <xdr:colOff>311150</xdr:colOff>
      <xdr:row>7</xdr:row>
      <xdr:rowOff>0</xdr:rowOff>
    </xdr:from>
    <xdr:to>
      <xdr:col>1</xdr:col>
      <xdr:colOff>12700</xdr:colOff>
      <xdr:row>7</xdr:row>
      <xdr:rowOff>25400</xdr:rowOff>
    </xdr:to>
    <xdr:sp macro="" textlink="">
      <xdr:nvSpPr>
        <xdr:cNvPr id="4" name="RAND_ID" hidden="1">
          <a:extLst>
            <a:ext uri="{FF2B5EF4-FFF2-40B4-BE49-F238E27FC236}">
              <a16:creationId xmlns:a16="http://schemas.microsoft.com/office/drawing/2014/main" id="{330CC458-FAE7-9AF9-CC37-4964BCC31F52}"/>
            </a:ext>
          </a:extLst>
        </xdr:cNvPr>
        <xdr:cNvSpPr txBox="1"/>
      </xdr:nvSpPr>
      <xdr:spPr>
        <a:xfrm>
          <a:off x="311150" y="16573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729911</a:t>
          </a:r>
        </a:p>
      </xdr:txBody>
    </xdr:sp>
    <xdr:clientData/>
  </xdr:twoCellAnchor>
  <xdr:twoCellAnchor editAs="absolute">
    <xdr:from>
      <xdr:col>1</xdr:col>
      <xdr:colOff>66040</xdr:colOff>
      <xdr:row>7</xdr:row>
      <xdr:rowOff>422275</xdr:rowOff>
    </xdr:from>
    <xdr:to>
      <xdr:col>1</xdr:col>
      <xdr:colOff>427990</xdr:colOff>
      <xdr:row>9</xdr:row>
      <xdr:rowOff>98425</xdr:rowOff>
    </xdr:to>
    <xdr:pic macro="[0]!ReRunXLSTAT">
      <xdr:nvPicPr>
        <xdr:cNvPr id="6" name="BT729911">
          <a:extLst>
            <a:ext uri="{FF2B5EF4-FFF2-40B4-BE49-F238E27FC236}">
              <a16:creationId xmlns:a16="http://schemas.microsoft.com/office/drawing/2014/main" id="{5762D7EE-7452-C21E-B72F-22D026A85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89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7</xdr:row>
      <xdr:rowOff>422275</xdr:rowOff>
    </xdr:from>
    <xdr:to>
      <xdr:col>1</xdr:col>
      <xdr:colOff>877570</xdr:colOff>
      <xdr:row>9</xdr:row>
      <xdr:rowOff>98425</xdr:rowOff>
    </xdr:to>
    <xdr:pic macro="[0]!AddRemovGrid">
      <xdr:nvPicPr>
        <xdr:cNvPr id="7" name="RM729911" hidden="1">
          <a:extLst>
            <a:ext uri="{FF2B5EF4-FFF2-40B4-BE49-F238E27FC236}">
              <a16:creationId xmlns:a16="http://schemas.microsoft.com/office/drawing/2014/main" id="{BE736BB5-B891-9C3A-B14D-10BFDFD7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515620</xdr:colOff>
      <xdr:row>7</xdr:row>
      <xdr:rowOff>422275</xdr:rowOff>
    </xdr:from>
    <xdr:to>
      <xdr:col>1</xdr:col>
      <xdr:colOff>877570</xdr:colOff>
      <xdr:row>9</xdr:row>
      <xdr:rowOff>98425</xdr:rowOff>
    </xdr:to>
    <xdr:pic macro="[0]!AddRemovGrid">
      <xdr:nvPicPr>
        <xdr:cNvPr id="8" name="AD729911">
          <a:extLst>
            <a:ext uri="{FF2B5EF4-FFF2-40B4-BE49-F238E27FC236}">
              <a16:creationId xmlns:a16="http://schemas.microsoft.com/office/drawing/2014/main" id="{3801A3B5-F4BA-37DF-5916-7AA383A8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47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1</xdr:col>
      <xdr:colOff>965200</xdr:colOff>
      <xdr:row>7</xdr:row>
      <xdr:rowOff>422275</xdr:rowOff>
    </xdr:from>
    <xdr:to>
      <xdr:col>1</xdr:col>
      <xdr:colOff>1327150</xdr:colOff>
      <xdr:row>9</xdr:row>
      <xdr:rowOff>98425</xdr:rowOff>
    </xdr:to>
    <xdr:pic macro="[0]!SendToOfficeLocal">
      <xdr:nvPicPr>
        <xdr:cNvPr id="9" name="WD729911">
          <a:extLst>
            <a:ext uri="{FF2B5EF4-FFF2-40B4-BE49-F238E27FC236}">
              <a16:creationId xmlns:a16="http://schemas.microsoft.com/office/drawing/2014/main" id="{BB9EDE22-3EC5-D7F4-E6ED-DAF42764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0" y="1711325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2</xdr:col>
      <xdr:colOff>36830</xdr:colOff>
      <xdr:row>7</xdr:row>
      <xdr:rowOff>422275</xdr:rowOff>
    </xdr:from>
    <xdr:to>
      <xdr:col>2</xdr:col>
      <xdr:colOff>398780</xdr:colOff>
      <xdr:row>9</xdr:row>
      <xdr:rowOff>98425</xdr:rowOff>
    </xdr:to>
    <xdr:pic macro="[0]!SendToOfficeLocal">
      <xdr:nvPicPr>
        <xdr:cNvPr id="10" name="PT729911">
          <a:extLst>
            <a:ext uri="{FF2B5EF4-FFF2-40B4-BE49-F238E27FC236}">
              <a16:creationId xmlns:a16="http://schemas.microsoft.com/office/drawing/2014/main" id="{FB599D74-0265-3303-168F-365DECC66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8630" y="1711325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0</xdr:row>
      <xdr:rowOff>0</xdr:rowOff>
    </xdr:from>
    <xdr:to>
      <xdr:col>1</xdr:col>
      <xdr:colOff>12700</xdr:colOff>
      <xdr:row>0</xdr:row>
      <xdr:rowOff>25400</xdr:rowOff>
    </xdr:to>
    <xdr:sp macro="" textlink="">
      <xdr:nvSpPr>
        <xdr:cNvPr id="11" name="XP729911" hidden="1">
          <a:extLst>
            <a:ext uri="{FF2B5EF4-FFF2-40B4-BE49-F238E27FC236}">
              <a16:creationId xmlns:a16="http://schemas.microsoft.com/office/drawing/2014/main" id="{E520ACA7-702B-A9E7-3799-C3D51DA71666}"/>
            </a:ext>
          </a:extLst>
        </xdr:cNvPr>
        <xdr:cNvSpPr txBox="1"/>
      </xdr:nvSpPr>
      <xdr:spPr>
        <a:xfrm>
          <a:off x="311150" y="3683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Mann-Whitney*SEP*Summary statistics*SEP*$B$14
Mann-Whitney*SEP*Mann-Whitney test / Two-tailed test*SEP*$B$21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7</xdr:row>
          <xdr:rowOff>476250</xdr:rowOff>
        </xdr:from>
        <xdr:to>
          <xdr:col>2</xdr:col>
          <xdr:colOff>457200</xdr:colOff>
          <xdr:row>8</xdr:row>
          <xdr:rowOff>196850</xdr:rowOff>
        </xdr:to>
        <xdr:sp macro="" textlink="">
          <xdr:nvSpPr>
            <xdr:cNvPr id="11265" name="DD57135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6961F79E-6344-4BD7-EEC9-6B34725F33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prstDash val="solid"/>
              <a:miter lim="800000"/>
              <a:headEnd/>
              <a:tailEnd type="none" w="med" len="med"/>
            </a:ln>
            <a:effectLst/>
            <a:extLst>
              <a:ext uri="{909E8E84-426E-40DD-AFC4-6F175D3DCCD1}">
                <a14:hiddenFill>
                  <a:noFill/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77A3-EF14-4299-912C-59EFB1C14C8A}">
  <sheetPr codeName="Sheet1"/>
  <dimension ref="A1:Y25"/>
  <sheetViews>
    <sheetView tabSelected="1" topLeftCell="D7" zoomScale="82" zoomScaleNormal="82" workbookViewId="0">
      <selection activeCell="B25" sqref="B25:U25"/>
    </sheetView>
  </sheetViews>
  <sheetFormatPr defaultRowHeight="14.5" x14ac:dyDescent="0.35"/>
  <cols>
    <col min="1" max="1" width="12.54296875" customWidth="1"/>
    <col min="2" max="2" width="22.1796875" customWidth="1"/>
    <col min="3" max="3" width="6.81640625" customWidth="1"/>
    <col min="4" max="4" width="7.81640625" customWidth="1"/>
    <col min="5" max="5" width="7.26953125" customWidth="1"/>
    <col min="6" max="6" width="6.54296875" bestFit="1" customWidth="1"/>
    <col min="7" max="21" width="8.81640625" bestFit="1" customWidth="1"/>
    <col min="22" max="22" width="7.453125" customWidth="1"/>
    <col min="24" max="24" width="12.26953125" customWidth="1"/>
    <col min="25" max="25" width="10.54296875" customWidth="1"/>
  </cols>
  <sheetData>
    <row r="1" spans="1:25" x14ac:dyDescent="0.35">
      <c r="B1" s="20" t="s">
        <v>36</v>
      </c>
    </row>
    <row r="4" spans="1:25" x14ac:dyDescent="0.35">
      <c r="B4" s="21"/>
      <c r="C4" s="22">
        <v>43374</v>
      </c>
      <c r="D4" s="22">
        <v>43405</v>
      </c>
      <c r="E4" s="22">
        <v>43435</v>
      </c>
      <c r="F4" s="22">
        <v>43466</v>
      </c>
      <c r="G4" s="22">
        <v>43497</v>
      </c>
      <c r="H4" s="22">
        <v>43525</v>
      </c>
      <c r="I4" s="22">
        <v>43556</v>
      </c>
      <c r="J4" s="22">
        <v>43586</v>
      </c>
      <c r="K4" s="22">
        <v>43617</v>
      </c>
      <c r="L4" s="22">
        <v>43647</v>
      </c>
      <c r="M4" s="22">
        <v>43678</v>
      </c>
      <c r="N4" s="22">
        <v>43709</v>
      </c>
      <c r="O4" s="22">
        <v>43770</v>
      </c>
      <c r="P4" s="22">
        <v>43831</v>
      </c>
      <c r="Q4" s="22">
        <v>43891</v>
      </c>
      <c r="R4" s="22">
        <v>43983</v>
      </c>
      <c r="S4" s="22">
        <v>44013</v>
      </c>
      <c r="T4" s="22">
        <v>44044</v>
      </c>
      <c r="U4" s="22">
        <v>44075</v>
      </c>
      <c r="W4" s="24" t="s">
        <v>12</v>
      </c>
      <c r="X4" s="23" t="s">
        <v>62</v>
      </c>
      <c r="Y4" s="23" t="s">
        <v>13</v>
      </c>
    </row>
    <row r="5" spans="1:25" x14ac:dyDescent="0.35">
      <c r="A5" s="63" t="s">
        <v>9</v>
      </c>
      <c r="B5" s="25" t="s">
        <v>38</v>
      </c>
      <c r="C5" s="26">
        <v>20</v>
      </c>
      <c r="D5" s="26">
        <v>13.4166666666667</v>
      </c>
      <c r="E5" s="26">
        <v>6.166666666666667</v>
      </c>
      <c r="F5" s="26">
        <v>10.333333333333334</v>
      </c>
      <c r="G5" s="26">
        <v>51.416666666666664</v>
      </c>
      <c r="H5" s="26">
        <v>23.666666666666668</v>
      </c>
      <c r="I5" s="26">
        <v>1.6666666666666667</v>
      </c>
      <c r="J5" s="26">
        <v>2</v>
      </c>
      <c r="K5" s="26">
        <v>34.916666666666664</v>
      </c>
      <c r="L5" s="26">
        <v>73.583333333333329</v>
      </c>
      <c r="M5" s="26">
        <v>99.416666666666671</v>
      </c>
      <c r="N5" s="26">
        <v>49.333333333333336</v>
      </c>
      <c r="O5" s="26">
        <v>21.416666666666668</v>
      </c>
      <c r="P5" s="26">
        <v>14.666666666666666</v>
      </c>
      <c r="Q5" s="26">
        <v>36.916666666666664</v>
      </c>
      <c r="R5" s="26">
        <v>23.916666666666668</v>
      </c>
      <c r="S5" s="26">
        <v>63.583333333333336</v>
      </c>
      <c r="T5" s="26">
        <v>45.5</v>
      </c>
      <c r="U5" s="26">
        <v>59.333333333333336</v>
      </c>
      <c r="W5" s="38">
        <f>AVERAGE(C5:U5)</f>
        <v>34.276315789473692</v>
      </c>
      <c r="X5" s="39">
        <f>AVERAGE(W5,W10)</f>
        <v>35.594298245614041</v>
      </c>
    </row>
    <row r="6" spans="1:25" x14ac:dyDescent="0.35">
      <c r="A6" s="63"/>
      <c r="B6" s="29" t="s">
        <v>58</v>
      </c>
      <c r="C6" s="30">
        <v>118</v>
      </c>
      <c r="D6" s="30">
        <v>124</v>
      </c>
      <c r="E6" s="30">
        <v>70</v>
      </c>
      <c r="F6" s="30">
        <v>119</v>
      </c>
      <c r="G6" s="30">
        <v>144</v>
      </c>
      <c r="H6" s="30">
        <v>105</v>
      </c>
      <c r="I6" s="30">
        <v>21</v>
      </c>
      <c r="J6" s="30">
        <v>31</v>
      </c>
      <c r="K6" s="30">
        <v>53</v>
      </c>
      <c r="L6" s="30">
        <v>66</v>
      </c>
      <c r="M6" s="30">
        <v>71</v>
      </c>
      <c r="N6" s="30">
        <v>62</v>
      </c>
      <c r="O6" s="30">
        <v>49</v>
      </c>
      <c r="P6" s="30">
        <v>159</v>
      </c>
      <c r="Q6" s="30">
        <v>59</v>
      </c>
      <c r="R6" s="30">
        <v>100</v>
      </c>
      <c r="S6" s="30">
        <v>89</v>
      </c>
      <c r="T6" s="30">
        <v>111</v>
      </c>
      <c r="U6" s="30">
        <v>134</v>
      </c>
      <c r="V6" s="31">
        <f>SUM(C6:U6)</f>
        <v>1685</v>
      </c>
      <c r="X6" s="39">
        <f>AVERAGE(W9,W14)</f>
        <v>1.74698098033336</v>
      </c>
      <c r="Y6" s="40">
        <f>X6*30</f>
        <v>52.409429410000797</v>
      </c>
    </row>
    <row r="7" spans="1:25" x14ac:dyDescent="0.35">
      <c r="A7" s="63"/>
      <c r="B7" s="29" t="s">
        <v>59</v>
      </c>
      <c r="C7" s="30">
        <v>5</v>
      </c>
      <c r="D7" s="30">
        <v>5</v>
      </c>
      <c r="E7" s="30">
        <v>2</v>
      </c>
      <c r="F7" s="30">
        <v>2</v>
      </c>
      <c r="G7" s="30">
        <v>0</v>
      </c>
      <c r="H7" s="30">
        <v>1</v>
      </c>
      <c r="I7" s="30">
        <v>0</v>
      </c>
      <c r="J7" s="30">
        <v>5</v>
      </c>
      <c r="K7" s="30">
        <v>3</v>
      </c>
      <c r="L7" s="30">
        <v>11</v>
      </c>
      <c r="M7" s="30">
        <v>7</v>
      </c>
      <c r="N7" s="30">
        <v>6</v>
      </c>
      <c r="O7" s="30">
        <v>2</v>
      </c>
      <c r="P7" s="30">
        <v>0</v>
      </c>
      <c r="Q7" s="30">
        <v>0</v>
      </c>
      <c r="R7" s="30">
        <v>0</v>
      </c>
      <c r="S7" s="30">
        <v>0</v>
      </c>
      <c r="T7" s="30">
        <v>3</v>
      </c>
      <c r="U7" s="30">
        <v>2</v>
      </c>
      <c r="V7" s="31">
        <f>SUM(C7:U7)</f>
        <v>54</v>
      </c>
    </row>
    <row r="8" spans="1:25" x14ac:dyDescent="0.35">
      <c r="A8" s="63"/>
      <c r="B8" s="25" t="s">
        <v>2</v>
      </c>
      <c r="C8" s="26">
        <f>5/118</f>
        <v>4.2372881355932202E-2</v>
      </c>
      <c r="D8" s="26">
        <f>5/124</f>
        <v>4.0322580645161289E-2</v>
      </c>
      <c r="E8" s="26">
        <f>2/70</f>
        <v>2.8571428571428571E-2</v>
      </c>
      <c r="F8" s="26">
        <f>2/119</f>
        <v>1.680672268907563E-2</v>
      </c>
      <c r="G8" s="26">
        <f>0/144</f>
        <v>0</v>
      </c>
      <c r="H8" s="26">
        <f>1/105</f>
        <v>9.5238095238095247E-3</v>
      </c>
      <c r="I8" s="26">
        <f>0/21</f>
        <v>0</v>
      </c>
      <c r="J8" s="26">
        <f>5/31</f>
        <v>0.16129032258064516</v>
      </c>
      <c r="K8" s="26">
        <f>3/53</f>
        <v>5.6603773584905662E-2</v>
      </c>
      <c r="L8" s="26">
        <f>11/66</f>
        <v>0.16666666666666666</v>
      </c>
      <c r="M8" s="26">
        <f>7/71</f>
        <v>9.8591549295774641E-2</v>
      </c>
      <c r="N8" s="26">
        <f>6/62</f>
        <v>9.6774193548387094E-2</v>
      </c>
      <c r="O8" s="26">
        <f>2/49</f>
        <v>4.0816326530612242E-2</v>
      </c>
      <c r="P8" s="26">
        <f>0/159</f>
        <v>0</v>
      </c>
      <c r="Q8" s="26">
        <f>0/59</f>
        <v>0</v>
      </c>
      <c r="R8" s="26">
        <f>0/100</f>
        <v>0</v>
      </c>
      <c r="S8" s="26">
        <f>0/89</f>
        <v>0</v>
      </c>
      <c r="T8" s="26">
        <f>3/111</f>
        <v>2.7027027027027029E-2</v>
      </c>
      <c r="U8" s="26">
        <f>2/134</f>
        <v>1.4925373134328358E-2</v>
      </c>
      <c r="W8" s="38">
        <f>AVERAGE(C8:U8)</f>
        <v>4.2120666060723899E-2</v>
      </c>
    </row>
    <row r="9" spans="1:25" x14ac:dyDescent="0.35">
      <c r="A9" s="63"/>
      <c r="B9" s="25" t="s">
        <v>0</v>
      </c>
      <c r="C9" s="26">
        <f t="shared" ref="C9:U9" si="0">C5*C8</f>
        <v>0.84745762711864403</v>
      </c>
      <c r="D9" s="26">
        <f t="shared" si="0"/>
        <v>0.54099462365591533</v>
      </c>
      <c r="E9" s="26">
        <f t="shared" si="0"/>
        <v>0.1761904761904762</v>
      </c>
      <c r="F9" s="26">
        <f t="shared" si="0"/>
        <v>0.17366946778711484</v>
      </c>
      <c r="G9" s="26">
        <f t="shared" si="0"/>
        <v>0</v>
      </c>
      <c r="H9" s="26">
        <f t="shared" si="0"/>
        <v>0.22539682539682543</v>
      </c>
      <c r="I9" s="26">
        <f t="shared" si="0"/>
        <v>0</v>
      </c>
      <c r="J9" s="26">
        <f t="shared" si="0"/>
        <v>0.32258064516129031</v>
      </c>
      <c r="K9" s="26">
        <f t="shared" si="0"/>
        <v>1.9764150943396226</v>
      </c>
      <c r="L9" s="26">
        <f t="shared" si="0"/>
        <v>12.263888888888888</v>
      </c>
      <c r="M9" s="26">
        <f t="shared" si="0"/>
        <v>9.8016431924882621</v>
      </c>
      <c r="N9" s="26">
        <f t="shared" si="0"/>
        <v>4.774193548387097</v>
      </c>
      <c r="O9" s="26">
        <f t="shared" si="0"/>
        <v>0.87414965986394555</v>
      </c>
      <c r="P9" s="26">
        <f t="shared" si="0"/>
        <v>0</v>
      </c>
      <c r="Q9" s="26">
        <f t="shared" si="0"/>
        <v>0</v>
      </c>
      <c r="R9" s="26">
        <f t="shared" si="0"/>
        <v>0</v>
      </c>
      <c r="S9" s="26">
        <f t="shared" si="0"/>
        <v>0</v>
      </c>
      <c r="T9" s="26">
        <f t="shared" si="0"/>
        <v>1.2297297297297298</v>
      </c>
      <c r="U9" s="26">
        <f t="shared" si="0"/>
        <v>0.88557213930348255</v>
      </c>
      <c r="W9" s="39">
        <f>AVERAGE(C9:U9)</f>
        <v>1.7943095746479629</v>
      </c>
      <c r="X9" s="34">
        <f>W9*30</f>
        <v>53.829287239438891</v>
      </c>
    </row>
    <row r="10" spans="1:25" x14ac:dyDescent="0.35">
      <c r="A10" s="63"/>
      <c r="B10" s="25" t="s">
        <v>39</v>
      </c>
      <c r="C10" s="26">
        <v>15.75</v>
      </c>
      <c r="D10" s="26">
        <v>11.5</v>
      </c>
      <c r="E10" s="26">
        <v>9.4166666666666661</v>
      </c>
      <c r="F10" s="26">
        <v>13.666666666666666</v>
      </c>
      <c r="G10" s="26">
        <v>87.333333333333329</v>
      </c>
      <c r="H10" s="26">
        <v>31.75</v>
      </c>
      <c r="I10" s="26">
        <v>3.5</v>
      </c>
      <c r="J10" s="26">
        <v>1.5833333333333333</v>
      </c>
      <c r="K10" s="26">
        <v>38.166666666666664</v>
      </c>
      <c r="L10" s="26">
        <v>72.666666666666671</v>
      </c>
      <c r="M10" s="26">
        <v>112.66666666666667</v>
      </c>
      <c r="N10" s="26">
        <v>34</v>
      </c>
      <c r="O10" s="26">
        <v>17.083333333333332</v>
      </c>
      <c r="P10" s="26">
        <v>15.166666666666666</v>
      </c>
      <c r="Q10" s="26">
        <v>39.75</v>
      </c>
      <c r="R10" s="26">
        <v>21.916666666666668</v>
      </c>
      <c r="S10" s="26">
        <v>60</v>
      </c>
      <c r="T10" s="26">
        <v>50.666666666666664</v>
      </c>
      <c r="U10" s="26">
        <v>64.75</v>
      </c>
      <c r="W10" s="38">
        <f>AVERAGE(C10:U10)</f>
        <v>36.912280701754383</v>
      </c>
    </row>
    <row r="11" spans="1:25" x14ac:dyDescent="0.35">
      <c r="A11" s="63"/>
      <c r="B11" s="29" t="s">
        <v>58</v>
      </c>
      <c r="C11" s="30">
        <v>100</v>
      </c>
      <c r="D11" s="30">
        <v>96</v>
      </c>
      <c r="E11" s="30">
        <v>86</v>
      </c>
      <c r="F11" s="30">
        <v>161</v>
      </c>
      <c r="G11" s="30">
        <v>180</v>
      </c>
      <c r="H11" s="30">
        <v>140</v>
      </c>
      <c r="I11" s="30">
        <v>8</v>
      </c>
      <c r="J11" s="30">
        <v>10</v>
      </c>
      <c r="K11" s="30">
        <v>57</v>
      </c>
      <c r="L11" s="30">
        <v>53</v>
      </c>
      <c r="M11" s="30">
        <v>71</v>
      </c>
      <c r="N11" s="30">
        <v>63</v>
      </c>
      <c r="O11" s="30">
        <v>156</v>
      </c>
      <c r="P11" s="30">
        <v>156</v>
      </c>
      <c r="Q11" s="30">
        <v>56</v>
      </c>
      <c r="R11" s="30">
        <v>78</v>
      </c>
      <c r="S11" s="30">
        <v>91</v>
      </c>
      <c r="T11" s="30">
        <v>115</v>
      </c>
      <c r="U11" s="30">
        <v>138</v>
      </c>
      <c r="V11" s="31">
        <f>SUM(C11:U11)</f>
        <v>1815</v>
      </c>
    </row>
    <row r="12" spans="1:25" x14ac:dyDescent="0.35">
      <c r="A12" s="63"/>
      <c r="B12" s="29" t="s">
        <v>59</v>
      </c>
      <c r="C12" s="30">
        <v>2</v>
      </c>
      <c r="D12" s="30">
        <v>2</v>
      </c>
      <c r="E12" s="30">
        <v>1</v>
      </c>
      <c r="F12" s="30">
        <v>1</v>
      </c>
      <c r="G12" s="30">
        <v>0</v>
      </c>
      <c r="H12" s="30">
        <v>4</v>
      </c>
      <c r="I12" s="30">
        <v>0</v>
      </c>
      <c r="J12" s="30">
        <v>0</v>
      </c>
      <c r="K12" s="30">
        <v>1</v>
      </c>
      <c r="L12" s="30">
        <v>4</v>
      </c>
      <c r="M12" s="30">
        <v>12</v>
      </c>
      <c r="N12" s="30">
        <v>5</v>
      </c>
      <c r="O12" s="30">
        <v>1</v>
      </c>
      <c r="P12" s="30">
        <v>1</v>
      </c>
      <c r="Q12" s="30">
        <v>0</v>
      </c>
      <c r="R12" s="30">
        <v>3</v>
      </c>
      <c r="S12" s="30">
        <v>0</v>
      </c>
      <c r="T12" s="30">
        <v>3</v>
      </c>
      <c r="U12" s="30">
        <v>1</v>
      </c>
      <c r="V12" s="31">
        <f>SUM(C12:U12)</f>
        <v>41</v>
      </c>
    </row>
    <row r="13" spans="1:25" x14ac:dyDescent="0.35">
      <c r="A13" s="63"/>
      <c r="B13" s="25" t="s">
        <v>60</v>
      </c>
      <c r="C13" s="26">
        <f>2/100</f>
        <v>0.02</v>
      </c>
      <c r="D13" s="26">
        <f>2/96</f>
        <v>2.0833333333333332E-2</v>
      </c>
      <c r="E13" s="26">
        <f>1/86</f>
        <v>1.1627906976744186E-2</v>
      </c>
      <c r="F13" s="26">
        <f>1/161</f>
        <v>6.2111801242236021E-3</v>
      </c>
      <c r="G13" s="26">
        <f>0/180</f>
        <v>0</v>
      </c>
      <c r="H13" s="26">
        <f>4/140</f>
        <v>2.8571428571428571E-2</v>
      </c>
      <c r="I13" s="26">
        <f>0/8</f>
        <v>0</v>
      </c>
      <c r="J13" s="26">
        <f>0/10</f>
        <v>0</v>
      </c>
      <c r="K13" s="26">
        <f>1/57</f>
        <v>1.7543859649122806E-2</v>
      </c>
      <c r="L13" s="26">
        <f>4/53</f>
        <v>7.5471698113207544E-2</v>
      </c>
      <c r="M13" s="26">
        <f>12/71</f>
        <v>0.16901408450704225</v>
      </c>
      <c r="N13" s="26">
        <f>5/63</f>
        <v>7.9365079365079361E-2</v>
      </c>
      <c r="O13" s="26">
        <f>1/156</f>
        <v>6.41025641025641E-3</v>
      </c>
      <c r="P13" s="26">
        <f>1/156</f>
        <v>6.41025641025641E-3</v>
      </c>
      <c r="Q13" s="26">
        <f>0/56</f>
        <v>0</v>
      </c>
      <c r="R13" s="26">
        <f>3/78</f>
        <v>3.8461538461538464E-2</v>
      </c>
      <c r="S13" s="26">
        <f>0/91</f>
        <v>0</v>
      </c>
      <c r="T13" s="26">
        <f>3/115</f>
        <v>2.6086956521739129E-2</v>
      </c>
      <c r="U13" s="26">
        <f>1/138</f>
        <v>7.246376811594203E-3</v>
      </c>
      <c r="W13" s="38">
        <f>AVERAGE(C13:U13)</f>
        <v>2.7013366066082435E-2</v>
      </c>
    </row>
    <row r="14" spans="1:25" x14ac:dyDescent="0.35">
      <c r="A14" s="63"/>
      <c r="B14" s="25" t="s">
        <v>3</v>
      </c>
      <c r="C14" s="26">
        <f>C10*C13</f>
        <v>0.315</v>
      </c>
      <c r="D14" s="26">
        <f t="shared" ref="D14:U14" si="1">D10*D13</f>
        <v>0.23958333333333331</v>
      </c>
      <c r="E14" s="26">
        <f>1/86</f>
        <v>1.1627906976744186E-2</v>
      </c>
      <c r="F14" s="26">
        <f t="shared" si="1"/>
        <v>8.4886128364389218E-2</v>
      </c>
      <c r="G14" s="26">
        <f t="shared" si="1"/>
        <v>0</v>
      </c>
      <c r="H14" s="26">
        <f t="shared" si="1"/>
        <v>0.90714285714285714</v>
      </c>
      <c r="I14" s="26">
        <f t="shared" si="1"/>
        <v>0</v>
      </c>
      <c r="J14" s="26">
        <f t="shared" si="1"/>
        <v>0</v>
      </c>
      <c r="K14" s="26">
        <f t="shared" si="1"/>
        <v>0.66959064327485374</v>
      </c>
      <c r="L14" s="26">
        <f t="shared" si="1"/>
        <v>5.484276729559749</v>
      </c>
      <c r="M14" s="26">
        <f t="shared" si="1"/>
        <v>19.04225352112676</v>
      </c>
      <c r="N14" s="26">
        <f t="shared" si="1"/>
        <v>2.6984126984126982</v>
      </c>
      <c r="O14" s="26">
        <f t="shared" si="1"/>
        <v>0.10950854700854699</v>
      </c>
      <c r="P14" s="26">
        <f t="shared" si="1"/>
        <v>9.722222222222221E-2</v>
      </c>
      <c r="Q14" s="26">
        <f t="shared" si="1"/>
        <v>0</v>
      </c>
      <c r="R14" s="26">
        <f t="shared" si="1"/>
        <v>0.84294871794871806</v>
      </c>
      <c r="S14" s="26">
        <f t="shared" si="1"/>
        <v>0</v>
      </c>
      <c r="T14" s="26">
        <f t="shared" si="1"/>
        <v>1.3217391304347825</v>
      </c>
      <c r="U14" s="26">
        <f t="shared" si="1"/>
        <v>0.46920289855072467</v>
      </c>
      <c r="W14" s="39">
        <f>AVERAGE(C14:U14)</f>
        <v>1.6996523860187569</v>
      </c>
      <c r="X14" s="34">
        <f>W14*30</f>
        <v>50.989571580562711</v>
      </c>
    </row>
    <row r="15" spans="1:25" x14ac:dyDescent="0.35">
      <c r="A15" s="35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5" x14ac:dyDescent="0.35">
      <c r="A16" s="63" t="s">
        <v>10</v>
      </c>
      <c r="B16" s="37" t="s">
        <v>38</v>
      </c>
      <c r="C16" s="26">
        <v>6.916666666666667</v>
      </c>
      <c r="D16" s="26">
        <v>1.6666666666666667</v>
      </c>
      <c r="E16" s="26">
        <v>0.16666666666666666</v>
      </c>
      <c r="F16" s="26">
        <v>1.0833333333333333</v>
      </c>
      <c r="G16" s="26">
        <v>4.166666666666667</v>
      </c>
      <c r="H16" s="26">
        <v>19.75</v>
      </c>
      <c r="I16" s="26">
        <v>24.25</v>
      </c>
      <c r="J16" s="26">
        <v>0.33333333333333331</v>
      </c>
      <c r="K16" s="26">
        <v>39.916666666666664</v>
      </c>
      <c r="L16" s="26">
        <v>284.91666666666669</v>
      </c>
      <c r="M16" s="26">
        <v>180.25</v>
      </c>
      <c r="N16" s="26">
        <v>136.5</v>
      </c>
      <c r="O16" s="26">
        <v>3.5</v>
      </c>
      <c r="P16" s="26">
        <v>2.5</v>
      </c>
      <c r="Q16" s="26">
        <v>87.916666666666671</v>
      </c>
      <c r="R16" s="26">
        <v>25.666666666666668</v>
      </c>
      <c r="S16" s="26">
        <v>352.33333333333331</v>
      </c>
      <c r="T16" s="26">
        <v>192.91666666666666</v>
      </c>
      <c r="U16" s="26">
        <v>75</v>
      </c>
      <c r="W16" s="38">
        <f>AVERAGE(C16:U16)</f>
        <v>75.776315789473685</v>
      </c>
      <c r="X16" s="39">
        <f>AVERAGE(W16,W21)</f>
        <v>73.910087719298247</v>
      </c>
    </row>
    <row r="17" spans="1:25" x14ac:dyDescent="0.35">
      <c r="A17" s="63"/>
      <c r="B17" s="29" t="s">
        <v>58</v>
      </c>
      <c r="C17" s="30">
        <v>40</v>
      </c>
      <c r="D17" s="30">
        <v>18</v>
      </c>
      <c r="E17" s="30">
        <v>2</v>
      </c>
      <c r="F17" s="30">
        <v>19</v>
      </c>
      <c r="G17" s="30">
        <v>10</v>
      </c>
      <c r="H17" s="30">
        <v>175</v>
      </c>
      <c r="I17" s="30">
        <v>75</v>
      </c>
      <c r="J17" s="30">
        <v>5</v>
      </c>
      <c r="K17" s="30">
        <v>19</v>
      </c>
      <c r="L17" s="30">
        <v>114</v>
      </c>
      <c r="M17" s="30">
        <v>54</v>
      </c>
      <c r="N17" s="30">
        <v>60</v>
      </c>
      <c r="O17" s="30">
        <v>20</v>
      </c>
      <c r="P17" s="30">
        <v>11</v>
      </c>
      <c r="Q17" s="30">
        <v>222</v>
      </c>
      <c r="R17" s="30">
        <v>120</v>
      </c>
      <c r="S17" s="30">
        <v>90</v>
      </c>
      <c r="T17" s="30">
        <v>91</v>
      </c>
      <c r="U17" s="30">
        <v>108</v>
      </c>
      <c r="V17" s="31">
        <f>SUM(C17:U17)</f>
        <v>1253</v>
      </c>
      <c r="X17" s="39">
        <f>AVERAGE(W20,W25)</f>
        <v>2.9175783152915669</v>
      </c>
      <c r="Y17" s="40">
        <f>X17*30</f>
        <v>87.527349458747011</v>
      </c>
    </row>
    <row r="18" spans="1:25" x14ac:dyDescent="0.35">
      <c r="A18" s="63"/>
      <c r="B18" s="29" t="s">
        <v>59</v>
      </c>
      <c r="C18" s="30">
        <v>1</v>
      </c>
      <c r="D18" s="30">
        <v>0</v>
      </c>
      <c r="E18" s="30">
        <v>0</v>
      </c>
      <c r="F18" s="30">
        <v>0</v>
      </c>
      <c r="G18" s="30">
        <v>0</v>
      </c>
      <c r="H18" s="30">
        <v>7</v>
      </c>
      <c r="I18" s="30">
        <v>0</v>
      </c>
      <c r="J18" s="30">
        <v>0</v>
      </c>
      <c r="K18" s="30">
        <v>0</v>
      </c>
      <c r="L18" s="30">
        <v>0</v>
      </c>
      <c r="M18" s="30">
        <v>6</v>
      </c>
      <c r="N18" s="30">
        <v>13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1</v>
      </c>
      <c r="V18" s="31">
        <f>SUM(C18:U18)</f>
        <v>28</v>
      </c>
    </row>
    <row r="19" spans="1:25" x14ac:dyDescent="0.35">
      <c r="A19" s="63"/>
      <c r="B19" s="25" t="s">
        <v>2</v>
      </c>
      <c r="C19" s="26">
        <f>1/40</f>
        <v>2.5000000000000001E-2</v>
      </c>
      <c r="D19" s="26">
        <f>0/18</f>
        <v>0</v>
      </c>
      <c r="E19" s="26">
        <f>0/2</f>
        <v>0</v>
      </c>
      <c r="F19" s="26">
        <f>0/19</f>
        <v>0</v>
      </c>
      <c r="G19" s="26">
        <f>0/10</f>
        <v>0</v>
      </c>
      <c r="H19" s="26">
        <f>7/175</f>
        <v>0.04</v>
      </c>
      <c r="I19" s="26">
        <f>0/75</f>
        <v>0</v>
      </c>
      <c r="J19" s="26">
        <f>0/5</f>
        <v>0</v>
      </c>
      <c r="K19" s="26">
        <f>0/19</f>
        <v>0</v>
      </c>
      <c r="L19" s="26">
        <f>0/114</f>
        <v>0</v>
      </c>
      <c r="M19" s="26">
        <f>6/54</f>
        <v>0.1111111111111111</v>
      </c>
      <c r="N19" s="26">
        <f>13/60</f>
        <v>0.21666666666666667</v>
      </c>
      <c r="O19" s="26">
        <f>0/20</f>
        <v>0</v>
      </c>
      <c r="P19" s="26">
        <f>0/11</f>
        <v>0</v>
      </c>
      <c r="Q19" s="26">
        <f>0/220</f>
        <v>0</v>
      </c>
      <c r="R19" s="26">
        <f>0/120</f>
        <v>0</v>
      </c>
      <c r="S19" s="26">
        <f>0/90</f>
        <v>0</v>
      </c>
      <c r="T19" s="26">
        <f>0/91</f>
        <v>0</v>
      </c>
      <c r="U19" s="26">
        <f>1/108</f>
        <v>9.2592592592592587E-3</v>
      </c>
      <c r="W19" s="38">
        <f>AVERAGE(C19:U19)</f>
        <v>2.1159844054580896E-2</v>
      </c>
    </row>
    <row r="20" spans="1:25" x14ac:dyDescent="0.35">
      <c r="A20" s="63"/>
      <c r="B20" s="25" t="s">
        <v>0</v>
      </c>
      <c r="C20" s="26">
        <f>C16*C19</f>
        <v>0.17291666666666669</v>
      </c>
      <c r="D20" s="26">
        <f t="shared" ref="D20:L20" si="2">D16*D19</f>
        <v>0</v>
      </c>
      <c r="E20" s="26">
        <f t="shared" si="2"/>
        <v>0</v>
      </c>
      <c r="F20" s="26">
        <f t="shared" si="2"/>
        <v>0</v>
      </c>
      <c r="G20" s="26">
        <f t="shared" si="2"/>
        <v>0</v>
      </c>
      <c r="H20" s="26">
        <f t="shared" si="2"/>
        <v>0.79</v>
      </c>
      <c r="I20" s="26">
        <f t="shared" si="2"/>
        <v>0</v>
      </c>
      <c r="J20" s="26">
        <f t="shared" si="2"/>
        <v>0</v>
      </c>
      <c r="K20" s="26">
        <f t="shared" si="2"/>
        <v>0</v>
      </c>
      <c r="L20" s="26">
        <f t="shared" si="2"/>
        <v>0</v>
      </c>
      <c r="M20" s="26">
        <f>M16*M19</f>
        <v>20.027777777777775</v>
      </c>
      <c r="N20" s="26">
        <f t="shared" ref="N20:U20" si="3">N16*N19</f>
        <v>29.574999999999999</v>
      </c>
      <c r="O20" s="26">
        <f t="shared" si="3"/>
        <v>0</v>
      </c>
      <c r="P20" s="26">
        <f t="shared" si="3"/>
        <v>0</v>
      </c>
      <c r="Q20" s="26">
        <f t="shared" si="3"/>
        <v>0</v>
      </c>
      <c r="R20" s="26">
        <f t="shared" si="3"/>
        <v>0</v>
      </c>
      <c r="S20" s="26">
        <f t="shared" si="3"/>
        <v>0</v>
      </c>
      <c r="T20" s="26">
        <f t="shared" si="3"/>
        <v>0</v>
      </c>
      <c r="U20" s="26">
        <f t="shared" si="3"/>
        <v>0.69444444444444442</v>
      </c>
      <c r="W20" s="39">
        <f>AVERAGE(C20:U20)</f>
        <v>2.6979020467836259</v>
      </c>
      <c r="X20" s="34">
        <f>W20*30</f>
        <v>80.937061403508778</v>
      </c>
    </row>
    <row r="21" spans="1:25" x14ac:dyDescent="0.35">
      <c r="A21" s="63"/>
      <c r="B21" s="37" t="s">
        <v>39</v>
      </c>
      <c r="C21" s="26">
        <v>7.5</v>
      </c>
      <c r="D21" s="26">
        <v>1.5833333333333333</v>
      </c>
      <c r="E21" s="26">
        <v>0.25</v>
      </c>
      <c r="F21" s="26">
        <v>0.91666666666666663</v>
      </c>
      <c r="G21" s="26">
        <v>4.583333333333333</v>
      </c>
      <c r="H21" s="26">
        <v>23.916666666666668</v>
      </c>
      <c r="I21" s="26">
        <v>22.333333333333332</v>
      </c>
      <c r="J21" s="26">
        <v>0.25</v>
      </c>
      <c r="K21" s="26">
        <v>43.666666666666664</v>
      </c>
      <c r="L21" s="26">
        <v>277.5</v>
      </c>
      <c r="M21" s="26">
        <v>168.91666666666666</v>
      </c>
      <c r="N21" s="26">
        <v>136.41666666666666</v>
      </c>
      <c r="O21" s="26">
        <v>5</v>
      </c>
      <c r="P21" s="26">
        <v>1.1666666666666667</v>
      </c>
      <c r="Q21" s="26">
        <v>84.25</v>
      </c>
      <c r="R21" s="26">
        <v>15.25</v>
      </c>
      <c r="S21" s="26">
        <v>302</v>
      </c>
      <c r="T21" s="26">
        <v>207.25</v>
      </c>
      <c r="U21" s="26">
        <v>66.083333333333329</v>
      </c>
      <c r="W21" s="38">
        <f>AVERAGE(C21:U21)</f>
        <v>72.043859649122808</v>
      </c>
    </row>
    <row r="22" spans="1:25" x14ac:dyDescent="0.35">
      <c r="A22" s="63"/>
      <c r="B22" s="29" t="s">
        <v>58</v>
      </c>
      <c r="C22" s="30">
        <v>59</v>
      </c>
      <c r="D22" s="30">
        <v>17</v>
      </c>
      <c r="E22" s="30">
        <v>3</v>
      </c>
      <c r="F22" s="30">
        <v>20</v>
      </c>
      <c r="G22" s="30">
        <v>12</v>
      </c>
      <c r="H22" s="30">
        <v>167</v>
      </c>
      <c r="I22" s="30">
        <v>77</v>
      </c>
      <c r="J22" s="30">
        <v>0</v>
      </c>
      <c r="K22" s="30">
        <v>20</v>
      </c>
      <c r="L22" s="30">
        <v>230</v>
      </c>
      <c r="M22" s="30">
        <v>54</v>
      </c>
      <c r="N22" s="30">
        <v>46</v>
      </c>
      <c r="O22" s="30">
        <v>37</v>
      </c>
      <c r="P22" s="30">
        <v>0</v>
      </c>
      <c r="Q22" s="30">
        <v>223</v>
      </c>
      <c r="R22" s="30">
        <v>50</v>
      </c>
      <c r="S22" s="30">
        <v>98</v>
      </c>
      <c r="T22" s="30">
        <v>122</v>
      </c>
      <c r="U22" s="30">
        <v>102</v>
      </c>
      <c r="V22" s="31">
        <f>SUM(C22:U22)</f>
        <v>1337</v>
      </c>
    </row>
    <row r="23" spans="1:25" x14ac:dyDescent="0.35">
      <c r="A23" s="63"/>
      <c r="B23" s="29" t="s">
        <v>59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2</v>
      </c>
      <c r="I23" s="30">
        <v>1</v>
      </c>
      <c r="J23" s="30">
        <v>0</v>
      </c>
      <c r="K23" s="30">
        <v>0</v>
      </c>
      <c r="L23" s="30">
        <v>22</v>
      </c>
      <c r="M23" s="30">
        <v>4</v>
      </c>
      <c r="N23" s="30">
        <v>3</v>
      </c>
      <c r="O23" s="30">
        <v>1</v>
      </c>
      <c r="P23" s="30">
        <v>0</v>
      </c>
      <c r="Q23" s="30">
        <v>0</v>
      </c>
      <c r="R23" s="30">
        <v>0</v>
      </c>
      <c r="S23" s="30">
        <v>3</v>
      </c>
      <c r="T23" s="30">
        <v>1</v>
      </c>
      <c r="U23" s="30">
        <v>0</v>
      </c>
      <c r="V23" s="31">
        <f>SUM(C23:U23)</f>
        <v>37</v>
      </c>
    </row>
    <row r="24" spans="1:25" x14ac:dyDescent="0.35">
      <c r="A24" s="63"/>
      <c r="B24" s="25" t="s">
        <v>4</v>
      </c>
      <c r="C24" s="26">
        <f>0/59</f>
        <v>0</v>
      </c>
      <c r="D24" s="26">
        <f>0/17</f>
        <v>0</v>
      </c>
      <c r="E24" s="26">
        <f>0/3</f>
        <v>0</v>
      </c>
      <c r="F24" s="26">
        <f>0/20</f>
        <v>0</v>
      </c>
      <c r="G24" s="26">
        <f>0/12</f>
        <v>0</v>
      </c>
      <c r="H24" s="26">
        <f>2/167</f>
        <v>1.1976047904191617E-2</v>
      </c>
      <c r="I24" s="26">
        <f>1/77</f>
        <v>1.2987012987012988E-2</v>
      </c>
      <c r="J24" s="26">
        <v>0</v>
      </c>
      <c r="K24" s="26">
        <f>0/20</f>
        <v>0</v>
      </c>
      <c r="L24" s="26">
        <f>22/230</f>
        <v>9.5652173913043481E-2</v>
      </c>
      <c r="M24" s="26">
        <f>4/54</f>
        <v>7.407407407407407E-2</v>
      </c>
      <c r="N24" s="26">
        <f>3/46</f>
        <v>6.5217391304347824E-2</v>
      </c>
      <c r="O24" s="26">
        <f>1/37</f>
        <v>2.7027027027027029E-2</v>
      </c>
      <c r="P24" s="26">
        <v>0</v>
      </c>
      <c r="Q24" s="26">
        <f>0/223</f>
        <v>0</v>
      </c>
      <c r="R24" s="26">
        <f>0/50</f>
        <v>0</v>
      </c>
      <c r="S24" s="26">
        <f>3/98</f>
        <v>3.0612244897959183E-2</v>
      </c>
      <c r="T24" s="26">
        <f>1/122</f>
        <v>8.1967213114754103E-3</v>
      </c>
      <c r="U24" s="26">
        <f>0/102</f>
        <v>0</v>
      </c>
      <c r="W24" s="38">
        <f>AVERAGE(C24:U24)</f>
        <v>1.7144352285217452E-2</v>
      </c>
    </row>
    <row r="25" spans="1:25" x14ac:dyDescent="0.35">
      <c r="A25" s="63"/>
      <c r="B25" s="25" t="s">
        <v>3</v>
      </c>
      <c r="C25" s="26">
        <f>C21*C24</f>
        <v>0</v>
      </c>
      <c r="D25" s="26">
        <f t="shared" ref="D25:U25" si="4">D21*D24</f>
        <v>0</v>
      </c>
      <c r="E25" s="26">
        <f t="shared" si="4"/>
        <v>0</v>
      </c>
      <c r="F25" s="26">
        <f t="shared" si="4"/>
        <v>0</v>
      </c>
      <c r="G25" s="26">
        <f t="shared" si="4"/>
        <v>0</v>
      </c>
      <c r="H25" s="26">
        <f t="shared" si="4"/>
        <v>0.28642714570858285</v>
      </c>
      <c r="I25" s="26">
        <f t="shared" si="4"/>
        <v>0.29004329004329005</v>
      </c>
      <c r="J25" s="26">
        <f t="shared" si="4"/>
        <v>0</v>
      </c>
      <c r="K25" s="26">
        <f t="shared" si="4"/>
        <v>0</v>
      </c>
      <c r="L25" s="26">
        <f t="shared" si="4"/>
        <v>26.543478260869566</v>
      </c>
      <c r="M25" s="26">
        <f t="shared" si="4"/>
        <v>12.512345679012345</v>
      </c>
      <c r="N25" s="26">
        <f t="shared" si="4"/>
        <v>8.8967391304347814</v>
      </c>
      <c r="O25" s="26">
        <f t="shared" si="4"/>
        <v>0.13513513513513514</v>
      </c>
      <c r="P25" s="26">
        <f t="shared" si="4"/>
        <v>0</v>
      </c>
      <c r="Q25" s="26">
        <f t="shared" si="4"/>
        <v>0</v>
      </c>
      <c r="R25" s="26">
        <f t="shared" si="4"/>
        <v>0</v>
      </c>
      <c r="S25" s="26">
        <f t="shared" si="4"/>
        <v>9.2448979591836729</v>
      </c>
      <c r="T25" s="26">
        <f t="shared" si="4"/>
        <v>1.6987704918032789</v>
      </c>
      <c r="U25" s="26">
        <f t="shared" si="4"/>
        <v>0</v>
      </c>
      <c r="W25" s="39">
        <f>AVERAGE(C25:U25)</f>
        <v>3.1372545837995083</v>
      </c>
      <c r="X25" s="34">
        <f>W25*30</f>
        <v>94.117637513985244</v>
      </c>
    </row>
  </sheetData>
  <mergeCells count="2">
    <mergeCell ref="A5:A14"/>
    <mergeCell ref="A16:A25"/>
  </mergeCells>
  <pageMargins left="0.7" right="0.7" top="0.75" bottom="0.75" header="0.3" footer="0.3"/>
  <pageSetup orientation="portrait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33BE-37AC-47DE-AA9E-D5091FDC64B0}">
  <sheetPr codeName="XLSTAT_20230117_105444_1">
    <tabColor rgb="FF007800"/>
  </sheetPr>
  <dimension ref="B1:M38"/>
  <sheetViews>
    <sheetView zoomScaleNormal="100" workbookViewId="0"/>
  </sheetViews>
  <sheetFormatPr defaultRowHeight="14.5" x14ac:dyDescent="0.35"/>
  <cols>
    <col min="1" max="1" width="4.6328125" customWidth="1"/>
    <col min="2" max="2" width="8.7265625" customWidth="1"/>
  </cols>
  <sheetData>
    <row r="1" spans="2:13" x14ac:dyDescent="0.35">
      <c r="B1" s="80" t="s">
        <v>66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8"/>
    </row>
    <row r="2" spans="2:13" x14ac:dyDescent="0.3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8"/>
    </row>
    <row r="3" spans="2:13" x14ac:dyDescent="0.35">
      <c r="B3" t="s">
        <v>105</v>
      </c>
    </row>
    <row r="4" spans="2:13" x14ac:dyDescent="0.35">
      <c r="B4" t="s">
        <v>67</v>
      </c>
    </row>
    <row r="5" spans="2:13" x14ac:dyDescent="0.35">
      <c r="B5" t="s">
        <v>103</v>
      </c>
    </row>
    <row r="6" spans="2:13" x14ac:dyDescent="0.35">
      <c r="B6" t="s">
        <v>104</v>
      </c>
    </row>
    <row r="7" spans="2:13" x14ac:dyDescent="0.35">
      <c r="B7" t="s">
        <v>70</v>
      </c>
    </row>
    <row r="8" spans="2:13" x14ac:dyDescent="0.35">
      <c r="B8" t="s">
        <v>71</v>
      </c>
    </row>
    <row r="9" spans="2:13" x14ac:dyDescent="0.35">
      <c r="B9" t="s">
        <v>72</v>
      </c>
    </row>
    <row r="10" spans="2:13" ht="38" customHeight="1" x14ac:dyDescent="0.35"/>
    <row r="11" spans="2:13" ht="16" customHeight="1" x14ac:dyDescent="0.35">
      <c r="B11" s="59"/>
    </row>
    <row r="14" spans="2:13" x14ac:dyDescent="0.35">
      <c r="B14" s="81" t="s">
        <v>73</v>
      </c>
    </row>
    <row r="15" spans="2:13" ht="15" thickBot="1" x14ac:dyDescent="0.4"/>
    <row r="16" spans="2:13" ht="29" customHeight="1" x14ac:dyDescent="0.35">
      <c r="B16" s="83" t="s">
        <v>74</v>
      </c>
      <c r="C16" s="84" t="s">
        <v>75</v>
      </c>
      <c r="D16" s="84" t="s">
        <v>76</v>
      </c>
      <c r="E16" s="84" t="s">
        <v>77</v>
      </c>
      <c r="F16" s="84" t="s">
        <v>78</v>
      </c>
      <c r="G16" s="84" t="s">
        <v>79</v>
      </c>
      <c r="H16" s="84" t="s">
        <v>80</v>
      </c>
      <c r="I16" s="84" t="s">
        <v>81</v>
      </c>
    </row>
    <row r="17" spans="2:9" x14ac:dyDescent="0.35">
      <c r="B17" s="85" t="s">
        <v>65</v>
      </c>
      <c r="C17" s="87">
        <v>13</v>
      </c>
      <c r="D17" s="87">
        <v>0</v>
      </c>
      <c r="E17" s="87">
        <v>13</v>
      </c>
      <c r="F17" s="89">
        <v>0</v>
      </c>
      <c r="G17" s="89">
        <v>0.53594771241830064</v>
      </c>
      <c r="H17" s="89">
        <v>0.22462261250565571</v>
      </c>
      <c r="I17" s="89">
        <v>0.19209575933380696</v>
      </c>
    </row>
    <row r="18" spans="2:9" ht="15" thickBot="1" x14ac:dyDescent="0.4">
      <c r="B18" s="86" t="s">
        <v>44</v>
      </c>
      <c r="C18" s="88">
        <v>13</v>
      </c>
      <c r="D18" s="88">
        <v>0</v>
      </c>
      <c r="E18" s="88">
        <v>13</v>
      </c>
      <c r="F18" s="90">
        <v>0</v>
      </c>
      <c r="G18" s="90">
        <v>0.84558823529411775</v>
      </c>
      <c r="H18" s="90">
        <v>0.1968413816447902</v>
      </c>
      <c r="I18" s="90">
        <v>0.25001734152345967</v>
      </c>
    </row>
    <row r="21" spans="2:9" x14ac:dyDescent="0.35">
      <c r="B21" s="81" t="s">
        <v>82</v>
      </c>
    </row>
    <row r="22" spans="2:9" ht="15" thickBot="1" x14ac:dyDescent="0.4"/>
    <row r="23" spans="2:9" x14ac:dyDescent="0.35">
      <c r="B23" s="91" t="s">
        <v>83</v>
      </c>
      <c r="C23" s="92">
        <v>101</v>
      </c>
    </row>
    <row r="24" spans="2:9" x14ac:dyDescent="0.35">
      <c r="B24" s="82" t="s">
        <v>84</v>
      </c>
      <c r="C24" s="93">
        <v>0</v>
      </c>
    </row>
    <row r="25" spans="2:9" x14ac:dyDescent="0.35">
      <c r="B25" s="82" t="s">
        <v>85</v>
      </c>
      <c r="C25" s="93">
        <v>84.5</v>
      </c>
    </row>
    <row r="26" spans="2:9" x14ac:dyDescent="0.35">
      <c r="B26" s="82" t="s">
        <v>86</v>
      </c>
      <c r="C26" s="93">
        <v>364.65</v>
      </c>
    </row>
    <row r="27" spans="2:9" x14ac:dyDescent="0.35">
      <c r="B27" s="82" t="s">
        <v>87</v>
      </c>
      <c r="C27" s="94">
        <v>0.40775051439340038</v>
      </c>
    </row>
    <row r="28" spans="2:9" ht="15" thickBot="1" x14ac:dyDescent="0.4">
      <c r="B28" s="86" t="s">
        <v>88</v>
      </c>
      <c r="C28" s="88">
        <v>0.05</v>
      </c>
    </row>
    <row r="29" spans="2:9" x14ac:dyDescent="0.35">
      <c r="B29" t="s">
        <v>98</v>
      </c>
    </row>
    <row r="31" spans="2:9" x14ac:dyDescent="0.35">
      <c r="B31" s="81" t="s">
        <v>90</v>
      </c>
    </row>
    <row r="32" spans="2:9" x14ac:dyDescent="0.35">
      <c r="B32" s="81" t="s">
        <v>91</v>
      </c>
    </row>
    <row r="33" spans="2:10" x14ac:dyDescent="0.35">
      <c r="B33" s="81" t="s">
        <v>92</v>
      </c>
    </row>
    <row r="34" spans="2:10" ht="14.5" customHeight="1" x14ac:dyDescent="0.35">
      <c r="B34" s="95" t="s">
        <v>93</v>
      </c>
      <c r="C34" s="95"/>
      <c r="D34" s="95"/>
      <c r="E34" s="95"/>
      <c r="F34" s="95"/>
      <c r="G34" s="95"/>
      <c r="H34" s="95"/>
      <c r="I34" s="95"/>
      <c r="J34" s="95"/>
    </row>
    <row r="35" spans="2:10" x14ac:dyDescent="0.35">
      <c r="B35" s="95"/>
      <c r="C35" s="95"/>
      <c r="D35" s="95"/>
      <c r="E35" s="95"/>
      <c r="F35" s="95"/>
      <c r="G35" s="95"/>
      <c r="H35" s="95"/>
      <c r="I35" s="95"/>
      <c r="J35" s="95"/>
    </row>
    <row r="38" spans="2:10" x14ac:dyDescent="0.35">
      <c r="B38" t="s">
        <v>94</v>
      </c>
    </row>
  </sheetData>
  <mergeCells count="2">
    <mergeCell ref="B1:L2"/>
    <mergeCell ref="B34:J35"/>
  </mergeCells>
  <pageMargins left="0.7" right="0.7" top="0.75" bottom="0.75" header="0.3" footer="0.3"/>
  <ignoredErrors>
    <ignoredError sqref="A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DD410241">
              <controlPr defaultSize="0" autoFill="0" autoPict="0" macro="[0]!GoToResultsNew0117202310555638">
                <anchor moveWithCells="1">
                  <from>
                    <xdr:col>1</xdr:col>
                    <xdr:colOff>6350</xdr:colOff>
                    <xdr:row>9</xdr:row>
                    <xdr:rowOff>476250</xdr:rowOff>
                  </from>
                  <to>
                    <xdr:col>4</xdr:col>
                    <xdr:colOff>6350</xdr:colOff>
                    <xdr:row>10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740C-633C-40D2-91A3-5494A36B15D1}">
  <sheetPr codeName="XLSTAT_20230117_105625_1">
    <tabColor rgb="FF007800"/>
  </sheetPr>
  <dimension ref="B1:J36"/>
  <sheetViews>
    <sheetView showGridLines="0" topLeftCell="A20" zoomScaleNormal="100" workbookViewId="0">
      <selection activeCell="R14" sqref="R14"/>
    </sheetView>
  </sheetViews>
  <sheetFormatPr defaultRowHeight="14.5" x14ac:dyDescent="0.35"/>
  <cols>
    <col min="1" max="1" width="4.6328125" customWidth="1"/>
    <col min="2" max="2" width="19.7265625" customWidth="1"/>
  </cols>
  <sheetData>
    <row r="1" spans="2:9" x14ac:dyDescent="0.35">
      <c r="B1" t="s">
        <v>108</v>
      </c>
    </row>
    <row r="2" spans="2:9" x14ac:dyDescent="0.35">
      <c r="B2" t="s">
        <v>67</v>
      </c>
    </row>
    <row r="3" spans="2:9" x14ac:dyDescent="0.35">
      <c r="B3" t="s">
        <v>106</v>
      </c>
    </row>
    <row r="4" spans="2:9" x14ac:dyDescent="0.35">
      <c r="B4" t="s">
        <v>107</v>
      </c>
    </row>
    <row r="5" spans="2:9" x14ac:dyDescent="0.35">
      <c r="B5" t="s">
        <v>70</v>
      </c>
    </row>
    <row r="6" spans="2:9" x14ac:dyDescent="0.35">
      <c r="B6" t="s">
        <v>71</v>
      </c>
    </row>
    <row r="7" spans="2:9" x14ac:dyDescent="0.35">
      <c r="B7" t="s">
        <v>72</v>
      </c>
    </row>
    <row r="8" spans="2:9" ht="38" customHeight="1" x14ac:dyDescent="0.35"/>
    <row r="9" spans="2:9" ht="16" customHeight="1" x14ac:dyDescent="0.35">
      <c r="B9" s="59"/>
    </row>
    <row r="12" spans="2:9" x14ac:dyDescent="0.35">
      <c r="B12" s="81" t="s">
        <v>73</v>
      </c>
    </row>
    <row r="13" spans="2:9" ht="15" thickBot="1" x14ac:dyDescent="0.4"/>
    <row r="14" spans="2:9" ht="29" customHeight="1" x14ac:dyDescent="0.35">
      <c r="B14" s="83" t="s">
        <v>74</v>
      </c>
      <c r="C14" s="84" t="s">
        <v>75</v>
      </c>
      <c r="D14" s="84" t="s">
        <v>76</v>
      </c>
      <c r="E14" s="84" t="s">
        <v>77</v>
      </c>
      <c r="F14" s="84" t="s">
        <v>78</v>
      </c>
      <c r="G14" s="84" t="s">
        <v>79</v>
      </c>
      <c r="H14" s="84" t="s">
        <v>80</v>
      </c>
      <c r="I14" s="84" t="s">
        <v>81</v>
      </c>
    </row>
    <row r="15" spans="2:9" x14ac:dyDescent="0.35">
      <c r="B15" s="85" t="s">
        <v>65</v>
      </c>
      <c r="C15" s="87">
        <v>12</v>
      </c>
      <c r="D15" s="87">
        <v>0</v>
      </c>
      <c r="E15" s="87">
        <v>12</v>
      </c>
      <c r="F15" s="89">
        <v>0</v>
      </c>
      <c r="G15" s="89">
        <v>2.0454545454545454</v>
      </c>
      <c r="H15" s="89">
        <v>0.35364661945121711</v>
      </c>
      <c r="I15" s="89">
        <v>0.6849787863177913</v>
      </c>
    </row>
    <row r="16" spans="2:9" ht="15" thickBot="1" x14ac:dyDescent="0.4">
      <c r="B16" s="86" t="s">
        <v>44</v>
      </c>
      <c r="C16" s="88">
        <v>12</v>
      </c>
      <c r="D16" s="88">
        <v>0</v>
      </c>
      <c r="E16" s="88">
        <v>12</v>
      </c>
      <c r="F16" s="90">
        <v>0</v>
      </c>
      <c r="G16" s="90">
        <v>3.8218390804597697</v>
      </c>
      <c r="H16" s="90">
        <v>0.84986532352399091</v>
      </c>
      <c r="I16" s="90">
        <v>1.2107225372128931</v>
      </c>
    </row>
    <row r="19" spans="2:10" x14ac:dyDescent="0.35">
      <c r="B19" s="81" t="s">
        <v>82</v>
      </c>
    </row>
    <row r="20" spans="2:10" ht="15" thickBot="1" x14ac:dyDescent="0.4"/>
    <row r="21" spans="2:10" x14ac:dyDescent="0.35">
      <c r="B21" s="91" t="s">
        <v>83</v>
      </c>
      <c r="C21" s="96">
        <v>45.5</v>
      </c>
    </row>
    <row r="22" spans="2:10" x14ac:dyDescent="0.35">
      <c r="B22" s="82" t="s">
        <v>84</v>
      </c>
      <c r="C22" s="93">
        <v>0</v>
      </c>
    </row>
    <row r="23" spans="2:10" x14ac:dyDescent="0.35">
      <c r="B23" s="82" t="s">
        <v>85</v>
      </c>
      <c r="C23" s="97">
        <v>72</v>
      </c>
    </row>
    <row r="24" spans="2:10" x14ac:dyDescent="0.35">
      <c r="B24" s="82" t="s">
        <v>86</v>
      </c>
      <c r="C24" s="93">
        <v>278.47826086956525</v>
      </c>
    </row>
    <row r="25" spans="2:10" x14ac:dyDescent="0.35">
      <c r="B25" s="82" t="s">
        <v>87</v>
      </c>
      <c r="C25" s="94">
        <v>0.11759380745785376</v>
      </c>
    </row>
    <row r="26" spans="2:10" ht="15" thickBot="1" x14ac:dyDescent="0.4">
      <c r="B26" s="86" t="s">
        <v>88</v>
      </c>
      <c r="C26" s="88">
        <v>0.05</v>
      </c>
    </row>
    <row r="27" spans="2:10" x14ac:dyDescent="0.35">
      <c r="B27" t="s">
        <v>98</v>
      </c>
    </row>
    <row r="29" spans="2:10" x14ac:dyDescent="0.35">
      <c r="B29" s="81" t="s">
        <v>90</v>
      </c>
    </row>
    <row r="30" spans="2:10" x14ac:dyDescent="0.35">
      <c r="B30" s="81" t="s">
        <v>91</v>
      </c>
    </row>
    <row r="31" spans="2:10" x14ac:dyDescent="0.35">
      <c r="B31" s="81" t="s">
        <v>92</v>
      </c>
    </row>
    <row r="32" spans="2:10" ht="14.5" customHeight="1" x14ac:dyDescent="0.35">
      <c r="B32" s="95" t="s">
        <v>93</v>
      </c>
      <c r="C32" s="95"/>
      <c r="D32" s="95"/>
      <c r="E32" s="95"/>
      <c r="F32" s="95"/>
      <c r="G32" s="95"/>
      <c r="H32" s="95"/>
      <c r="I32" s="95"/>
      <c r="J32" s="95"/>
    </row>
    <row r="33" spans="2:10" x14ac:dyDescent="0.35">
      <c r="B33" s="95"/>
      <c r="C33" s="95"/>
      <c r="D33" s="95"/>
      <c r="E33" s="95"/>
      <c r="F33" s="95"/>
      <c r="G33" s="95"/>
      <c r="H33" s="95"/>
      <c r="I33" s="95"/>
      <c r="J33" s="95"/>
    </row>
    <row r="36" spans="2:10" x14ac:dyDescent="0.35">
      <c r="B36" t="s">
        <v>94</v>
      </c>
    </row>
  </sheetData>
  <mergeCells count="1">
    <mergeCell ref="B32:J3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DD571357">
              <controlPr defaultSize="0" autoFill="0" autoPict="0" macro="[0]!GoToResultsNew0117202310580682">
                <anchor moveWithCells="1">
                  <from>
                    <xdr:col>1</xdr:col>
                    <xdr:colOff>6350</xdr:colOff>
                    <xdr:row>7</xdr:row>
                    <xdr:rowOff>476250</xdr:rowOff>
                  </from>
                  <to>
                    <xdr:col>2</xdr:col>
                    <xdr:colOff>457200</xdr:colOff>
                    <xdr:row>8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B062-C026-400A-B034-A19C4EFF0626}">
  <sheetPr codeName="Sheet3"/>
  <dimension ref="A1:X35"/>
  <sheetViews>
    <sheetView topLeftCell="A18" zoomScale="84" zoomScaleNormal="84" workbookViewId="0">
      <selection activeCell="B35" activeCellId="1" sqref="B30:O30 B35:O35"/>
    </sheetView>
  </sheetViews>
  <sheetFormatPr defaultRowHeight="14.5" x14ac:dyDescent="0.35"/>
  <cols>
    <col min="1" max="1" width="13.453125" customWidth="1"/>
    <col min="2" max="2" width="28.1796875" customWidth="1"/>
    <col min="3" max="3" width="11.453125" customWidth="1"/>
    <col min="13" max="13" width="9.453125" bestFit="1" customWidth="1"/>
    <col min="17" max="17" width="9.1796875" customWidth="1"/>
    <col min="18" max="18" width="10.1796875" customWidth="1"/>
    <col min="19" max="19" width="10.81640625" customWidth="1"/>
  </cols>
  <sheetData>
    <row r="1" spans="1:24" x14ac:dyDescent="0.35">
      <c r="B1" s="20" t="s">
        <v>36</v>
      </c>
    </row>
    <row r="2" spans="1:24" x14ac:dyDescent="0.35">
      <c r="K2" s="41"/>
    </row>
    <row r="3" spans="1:24" x14ac:dyDescent="0.35">
      <c r="B3" s="21"/>
      <c r="C3" s="22">
        <v>43374</v>
      </c>
      <c r="D3" s="22">
        <v>43435</v>
      </c>
      <c r="E3" s="22">
        <v>43497</v>
      </c>
      <c r="F3" s="22">
        <v>43556</v>
      </c>
      <c r="G3" s="22">
        <v>43617</v>
      </c>
      <c r="H3" s="22">
        <v>43678</v>
      </c>
      <c r="I3" s="22">
        <v>43739</v>
      </c>
      <c r="J3" s="22">
        <v>43800</v>
      </c>
      <c r="K3" s="22">
        <v>43862</v>
      </c>
      <c r="L3" s="22">
        <v>43983</v>
      </c>
      <c r="M3" s="22">
        <v>44013</v>
      </c>
      <c r="N3" s="22">
        <v>44044</v>
      </c>
      <c r="O3" s="22">
        <v>44075</v>
      </c>
      <c r="P3" s="22" t="s">
        <v>5</v>
      </c>
      <c r="Q3" s="23"/>
      <c r="R3" s="23" t="s">
        <v>11</v>
      </c>
      <c r="S3" s="23" t="s">
        <v>12</v>
      </c>
      <c r="T3" s="23" t="s">
        <v>13</v>
      </c>
      <c r="U3" s="23"/>
      <c r="V3" s="23"/>
      <c r="W3" s="23"/>
      <c r="X3" s="23"/>
    </row>
    <row r="4" spans="1:24" ht="15.5" x14ac:dyDescent="0.35">
      <c r="A4" s="63" t="s">
        <v>6</v>
      </c>
      <c r="B4" s="25" t="s">
        <v>38</v>
      </c>
      <c r="C4" s="26">
        <v>10.416666666666666</v>
      </c>
      <c r="D4" s="26">
        <v>10.333333333333334</v>
      </c>
      <c r="E4" s="26">
        <v>27.083333333333332</v>
      </c>
      <c r="F4" s="26">
        <v>45.25</v>
      </c>
      <c r="G4" s="26">
        <v>37.916666666666664</v>
      </c>
      <c r="H4" s="26">
        <v>12.5</v>
      </c>
      <c r="I4" s="26">
        <v>13.5</v>
      </c>
      <c r="J4" s="26">
        <v>10.583333333333334</v>
      </c>
      <c r="K4" s="26">
        <v>9.8333333333333339</v>
      </c>
      <c r="L4" s="26">
        <v>11.5</v>
      </c>
      <c r="M4" s="26">
        <v>8.9166666666666661</v>
      </c>
      <c r="N4" s="26">
        <v>3</v>
      </c>
      <c r="O4" s="26">
        <v>6.666666666666667</v>
      </c>
      <c r="P4" s="27">
        <f>AVERAGE(C4:O4)</f>
        <v>15.961538461538462</v>
      </c>
      <c r="Q4" s="28"/>
      <c r="R4" s="28"/>
      <c r="S4" s="28">
        <f>AVERAGE(P4,P9)</f>
        <v>15.573717948717949</v>
      </c>
      <c r="T4" s="28"/>
      <c r="U4" s="28"/>
      <c r="V4" s="28"/>
      <c r="W4" s="28"/>
      <c r="X4" s="28"/>
    </row>
    <row r="5" spans="1:24" ht="15.5" x14ac:dyDescent="0.35">
      <c r="A5" s="63"/>
      <c r="B5" s="29" t="s">
        <v>58</v>
      </c>
      <c r="C5" s="30">
        <v>234</v>
      </c>
      <c r="D5" s="30">
        <v>109</v>
      </c>
      <c r="E5" s="30">
        <v>161</v>
      </c>
      <c r="F5" s="30">
        <v>159</v>
      </c>
      <c r="G5" s="30">
        <v>79</v>
      </c>
      <c r="H5" s="30">
        <v>87</v>
      </c>
      <c r="I5" s="30">
        <v>80</v>
      </c>
      <c r="J5" s="30">
        <v>87</v>
      </c>
      <c r="K5" s="30">
        <v>91</v>
      </c>
      <c r="L5" s="30">
        <v>74</v>
      </c>
      <c r="M5" s="30">
        <v>66</v>
      </c>
      <c r="N5" s="30">
        <v>36</v>
      </c>
      <c r="O5" s="30">
        <v>23</v>
      </c>
      <c r="P5" s="27"/>
      <c r="Q5" s="42">
        <f>SUM(C5:P5)</f>
        <v>1286</v>
      </c>
      <c r="R5" s="28"/>
      <c r="S5" s="28"/>
      <c r="T5" s="28"/>
      <c r="U5" s="28"/>
      <c r="V5" s="28"/>
      <c r="W5" s="28"/>
      <c r="X5" s="28"/>
    </row>
    <row r="6" spans="1:24" ht="15.5" x14ac:dyDescent="0.35">
      <c r="A6" s="63"/>
      <c r="B6" s="29" t="s">
        <v>59</v>
      </c>
      <c r="C6" s="30">
        <v>3</v>
      </c>
      <c r="D6" s="30">
        <v>2</v>
      </c>
      <c r="E6" s="30">
        <v>4</v>
      </c>
      <c r="F6" s="30">
        <v>5</v>
      </c>
      <c r="G6" s="30">
        <v>18</v>
      </c>
      <c r="H6" s="30">
        <v>38</v>
      </c>
      <c r="I6" s="30">
        <v>11</v>
      </c>
      <c r="J6" s="30">
        <v>0</v>
      </c>
      <c r="K6" s="30">
        <v>2</v>
      </c>
      <c r="L6" s="30">
        <v>1</v>
      </c>
      <c r="M6" s="30">
        <v>1</v>
      </c>
      <c r="N6" s="30">
        <v>0</v>
      </c>
      <c r="O6" s="30">
        <v>0</v>
      </c>
      <c r="P6" s="27"/>
      <c r="Q6" s="42">
        <f>SUM(C6:P6)</f>
        <v>85</v>
      </c>
      <c r="R6" s="28"/>
      <c r="S6" s="28"/>
      <c r="T6" s="28"/>
      <c r="U6" s="28"/>
      <c r="V6" s="28"/>
      <c r="W6" s="28"/>
      <c r="X6" s="28"/>
    </row>
    <row r="7" spans="1:24" ht="15.5" x14ac:dyDescent="0.35">
      <c r="A7" s="63"/>
      <c r="B7" s="25" t="s">
        <v>2</v>
      </c>
      <c r="C7" s="26">
        <f>3/234</f>
        <v>1.282051282051282E-2</v>
      </c>
      <c r="D7" s="26">
        <f>2/109</f>
        <v>1.834862385321101E-2</v>
      </c>
      <c r="E7" s="26">
        <f>4/161</f>
        <v>2.4844720496894408E-2</v>
      </c>
      <c r="F7" s="26">
        <f>5/159</f>
        <v>3.1446540880503145E-2</v>
      </c>
      <c r="G7" s="26">
        <f>18/79</f>
        <v>0.22784810126582278</v>
      </c>
      <c r="H7" s="26">
        <f>38/87</f>
        <v>0.43678160919540232</v>
      </c>
      <c r="I7" s="26">
        <f>11/80</f>
        <v>0.13750000000000001</v>
      </c>
      <c r="J7" s="26">
        <v>0</v>
      </c>
      <c r="K7" s="26">
        <f>2/91</f>
        <v>2.197802197802198E-2</v>
      </c>
      <c r="L7" s="26">
        <f>1/74</f>
        <v>1.3513513513513514E-2</v>
      </c>
      <c r="M7" s="26">
        <f>1/66</f>
        <v>1.5151515151515152E-2</v>
      </c>
      <c r="N7" s="26">
        <f>0/36</f>
        <v>0</v>
      </c>
      <c r="O7" s="26">
        <f>0/23</f>
        <v>0</v>
      </c>
      <c r="P7" s="27">
        <f>AVERAGE(C7:O7)</f>
        <v>7.232562762733824E-2</v>
      </c>
      <c r="S7" s="28">
        <f>AVERAGE(P7,P12)</f>
        <v>7.7893564991484449E-2</v>
      </c>
    </row>
    <row r="8" spans="1:24" ht="15.5" x14ac:dyDescent="0.35">
      <c r="A8" s="63"/>
      <c r="B8" s="25" t="s">
        <v>0</v>
      </c>
      <c r="C8" s="26">
        <f>C4*C7</f>
        <v>0.13354700854700854</v>
      </c>
      <c r="D8" s="26">
        <f t="shared" ref="D8:O8" si="0">D4*D7</f>
        <v>0.18960244648318045</v>
      </c>
      <c r="E8" s="26">
        <f t="shared" si="0"/>
        <v>0.67287784679089024</v>
      </c>
      <c r="F8" s="26">
        <f t="shared" si="0"/>
        <v>1.4229559748427674</v>
      </c>
      <c r="G8" s="26">
        <f t="shared" si="0"/>
        <v>8.6392405063291129</v>
      </c>
      <c r="H8" s="26">
        <f t="shared" si="0"/>
        <v>5.4597701149425291</v>
      </c>
      <c r="I8" s="26">
        <f t="shared" si="0"/>
        <v>1.8562500000000002</v>
      </c>
      <c r="J8" s="26">
        <f t="shared" si="0"/>
        <v>0</v>
      </c>
      <c r="K8" s="26">
        <f t="shared" si="0"/>
        <v>0.21611721611721615</v>
      </c>
      <c r="L8" s="26">
        <f t="shared" si="0"/>
        <v>0.15540540540540543</v>
      </c>
      <c r="M8" s="26">
        <f t="shared" si="0"/>
        <v>0.13510101010101008</v>
      </c>
      <c r="N8" s="26">
        <f t="shared" si="0"/>
        <v>0</v>
      </c>
      <c r="O8" s="26">
        <f t="shared" si="0"/>
        <v>0</v>
      </c>
      <c r="P8" s="32">
        <f>AVERAGE(C8:O8)</f>
        <v>1.4523744253507016</v>
      </c>
      <c r="R8" s="34">
        <f>P8*30</f>
        <v>43.571232760521049</v>
      </c>
      <c r="S8" s="43">
        <f>AVERAGE(P8,P13)</f>
        <v>1.6950924354852894</v>
      </c>
      <c r="T8" s="44">
        <f>S8*30</f>
        <v>50.852773064558683</v>
      </c>
    </row>
    <row r="9" spans="1:24" ht="15.5" x14ac:dyDescent="0.35">
      <c r="A9" s="63"/>
      <c r="B9" s="25" t="s">
        <v>39</v>
      </c>
      <c r="C9" s="26">
        <v>9.5833333333333339</v>
      </c>
      <c r="D9" s="26">
        <v>8.5</v>
      </c>
      <c r="E9" s="26">
        <v>27</v>
      </c>
      <c r="F9" s="26">
        <v>40.5</v>
      </c>
      <c r="G9" s="26">
        <v>28.75</v>
      </c>
      <c r="H9" s="26">
        <v>10.833333333333334</v>
      </c>
      <c r="I9" s="26">
        <v>18.083333333333332</v>
      </c>
      <c r="J9" s="26">
        <v>11.166666666666666</v>
      </c>
      <c r="K9" s="26">
        <v>13.083333333333334</v>
      </c>
      <c r="L9" s="26">
        <v>14.25</v>
      </c>
      <c r="M9" s="26">
        <v>8.6666666666666661</v>
      </c>
      <c r="N9" s="26">
        <v>3.4166666666666665</v>
      </c>
      <c r="O9" s="26">
        <v>3.5833333333333335</v>
      </c>
      <c r="P9" s="27">
        <f t="shared" ref="P9:P24" si="1">AVERAGE(C9:O9)</f>
        <v>15.185897435897434</v>
      </c>
    </row>
    <row r="10" spans="1:24" ht="15.5" x14ac:dyDescent="0.35">
      <c r="A10" s="63"/>
      <c r="B10" s="29" t="s">
        <v>58</v>
      </c>
      <c r="C10" s="30">
        <v>206</v>
      </c>
      <c r="D10" s="30">
        <v>92</v>
      </c>
      <c r="E10" s="30">
        <v>157</v>
      </c>
      <c r="F10" s="30">
        <v>164</v>
      </c>
      <c r="G10" s="30">
        <v>35</v>
      </c>
      <c r="H10" s="30">
        <v>77</v>
      </c>
      <c r="I10" s="30">
        <v>80</v>
      </c>
      <c r="J10" s="30">
        <v>87</v>
      </c>
      <c r="K10" s="30">
        <v>88</v>
      </c>
      <c r="L10" s="30">
        <v>150</v>
      </c>
      <c r="M10" s="30">
        <v>81</v>
      </c>
      <c r="N10" s="30">
        <v>41</v>
      </c>
      <c r="O10" s="30">
        <v>5</v>
      </c>
      <c r="P10" s="27"/>
      <c r="Q10" s="42">
        <f>SUM(C10:P10)</f>
        <v>1263</v>
      </c>
    </row>
    <row r="11" spans="1:24" ht="15.5" x14ac:dyDescent="0.35">
      <c r="A11" s="63"/>
      <c r="B11" s="29" t="s">
        <v>59</v>
      </c>
      <c r="C11" s="30">
        <v>5</v>
      </c>
      <c r="D11" s="30">
        <v>1</v>
      </c>
      <c r="E11" s="30">
        <v>1</v>
      </c>
      <c r="F11" s="30">
        <v>10</v>
      </c>
      <c r="G11" s="30">
        <v>22</v>
      </c>
      <c r="H11" s="30">
        <v>15</v>
      </c>
      <c r="I11" s="30">
        <v>5</v>
      </c>
      <c r="J11" s="30">
        <v>1</v>
      </c>
      <c r="K11" s="30">
        <v>2</v>
      </c>
      <c r="L11" s="30">
        <v>2</v>
      </c>
      <c r="M11" s="30">
        <v>2</v>
      </c>
      <c r="N11" s="30">
        <v>1</v>
      </c>
      <c r="O11" s="30">
        <v>0</v>
      </c>
      <c r="P11" s="27"/>
      <c r="Q11" s="42">
        <f>SUM(C11:P11)</f>
        <v>67</v>
      </c>
      <c r="V11" t="s">
        <v>61</v>
      </c>
    </row>
    <row r="12" spans="1:24" ht="15.5" x14ac:dyDescent="0.35">
      <c r="A12" s="63"/>
      <c r="B12" s="25" t="s">
        <v>4</v>
      </c>
      <c r="C12" s="26">
        <f>5/206</f>
        <v>2.4271844660194174E-2</v>
      </c>
      <c r="D12" s="26">
        <f>1/92</f>
        <v>1.0869565217391304E-2</v>
      </c>
      <c r="E12" s="26">
        <f>1/157</f>
        <v>6.369426751592357E-3</v>
      </c>
      <c r="F12" s="26">
        <f>10/164</f>
        <v>6.097560975609756E-2</v>
      </c>
      <c r="G12" s="26">
        <f>22/35</f>
        <v>0.62857142857142856</v>
      </c>
      <c r="H12" s="26">
        <f>15/77</f>
        <v>0.19480519480519481</v>
      </c>
      <c r="I12" s="26">
        <f>5/80</f>
        <v>6.25E-2</v>
      </c>
      <c r="J12" s="26">
        <f>1/87</f>
        <v>1.1494252873563218E-2</v>
      </c>
      <c r="K12" s="26">
        <f>2/88</f>
        <v>2.2727272727272728E-2</v>
      </c>
      <c r="L12" s="26">
        <f>2/150</f>
        <v>1.3333333333333334E-2</v>
      </c>
      <c r="M12" s="26">
        <f>2/81</f>
        <v>2.4691358024691357E-2</v>
      </c>
      <c r="N12" s="26">
        <f>1/41</f>
        <v>2.4390243902439025E-2</v>
      </c>
      <c r="O12" s="26">
        <f>0/5</f>
        <v>0</v>
      </c>
      <c r="P12" s="27">
        <f t="shared" si="1"/>
        <v>8.3461502355630657E-2</v>
      </c>
    </row>
    <row r="13" spans="1:24" ht="15.5" x14ac:dyDescent="0.35">
      <c r="A13" s="63"/>
      <c r="B13" s="25" t="s">
        <v>3</v>
      </c>
      <c r="C13" s="26">
        <f>C9*C12</f>
        <v>0.23260517799352751</v>
      </c>
      <c r="D13" s="26">
        <f t="shared" ref="D13" si="2">D9*D12</f>
        <v>9.2391304347826081E-2</v>
      </c>
      <c r="E13" s="26">
        <f t="shared" ref="E13" si="3">E9*E12</f>
        <v>0.17197452229299365</v>
      </c>
      <c r="F13" s="26">
        <f t="shared" ref="F13" si="4">F9*F12</f>
        <v>2.469512195121951</v>
      </c>
      <c r="G13" s="26">
        <f t="shared" ref="G13" si="5">G9*G12</f>
        <v>18.071428571428569</v>
      </c>
      <c r="H13" s="26">
        <f t="shared" ref="H13" si="6">H9*H12</f>
        <v>2.1103896103896105</v>
      </c>
      <c r="I13" s="26">
        <f t="shared" ref="I13" si="7">I9*I12</f>
        <v>1.1302083333333333</v>
      </c>
      <c r="J13" s="26">
        <f t="shared" ref="J13" si="8">J9*J12</f>
        <v>0.12835249042145594</v>
      </c>
      <c r="K13" s="26">
        <f t="shared" ref="K13" si="9">K9*K12</f>
        <v>0.29734848484848486</v>
      </c>
      <c r="L13" s="26">
        <f t="shared" ref="L13" si="10">L9*L12</f>
        <v>0.19</v>
      </c>
      <c r="M13" s="26">
        <f t="shared" ref="M13" si="11">M9*M12</f>
        <v>0.21399176954732507</v>
      </c>
      <c r="N13" s="26">
        <f t="shared" ref="N13" si="12">N9*N12</f>
        <v>8.3333333333333329E-2</v>
      </c>
      <c r="O13" s="26">
        <f t="shared" ref="O13" si="13">O9*O12</f>
        <v>0</v>
      </c>
      <c r="P13" s="32">
        <f>AVERAGE(C13:O13)</f>
        <v>1.9378104456198775</v>
      </c>
      <c r="R13" s="34">
        <f>P13*30</f>
        <v>58.134313368596324</v>
      </c>
    </row>
    <row r="14" spans="1:24" ht="6" customHeight="1" x14ac:dyDescent="0.35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6"/>
    </row>
    <row r="15" spans="1:24" ht="15.5" x14ac:dyDescent="0.35">
      <c r="A15" s="63" t="s">
        <v>7</v>
      </c>
      <c r="B15" s="25" t="s">
        <v>38</v>
      </c>
      <c r="C15" s="26">
        <v>8.25</v>
      </c>
      <c r="D15" s="26">
        <v>13.666666666666666</v>
      </c>
      <c r="E15" s="26">
        <v>4.5</v>
      </c>
      <c r="F15" s="26">
        <v>4.5</v>
      </c>
      <c r="G15" s="26">
        <v>5.583333333333333</v>
      </c>
      <c r="H15" s="26">
        <v>0.83333333333333337</v>
      </c>
      <c r="I15" s="26">
        <v>2.25</v>
      </c>
      <c r="J15" s="26">
        <v>1</v>
      </c>
      <c r="K15" s="26">
        <v>8.3333333333333329E-2</v>
      </c>
      <c r="L15" s="26">
        <v>2.6666666666666665</v>
      </c>
      <c r="M15" s="26">
        <v>0</v>
      </c>
      <c r="N15" s="26">
        <v>0.16666666666666666</v>
      </c>
      <c r="O15" s="26">
        <v>0.83333333333333337</v>
      </c>
      <c r="P15" s="27">
        <f t="shared" si="1"/>
        <v>3.4102564102564106</v>
      </c>
      <c r="S15" s="28">
        <f>AVERAGE(P15,P20)</f>
        <v>3.5512820512820515</v>
      </c>
    </row>
    <row r="16" spans="1:24" ht="15.5" x14ac:dyDescent="0.35">
      <c r="A16" s="63"/>
      <c r="B16" s="29" t="s">
        <v>58</v>
      </c>
      <c r="C16" s="30">
        <v>53</v>
      </c>
      <c r="D16" s="30">
        <v>102</v>
      </c>
      <c r="E16" s="30">
        <v>30</v>
      </c>
      <c r="F16" s="30">
        <v>41</v>
      </c>
      <c r="G16" s="30">
        <v>12</v>
      </c>
      <c r="H16" s="30">
        <v>8</v>
      </c>
      <c r="I16" s="30">
        <v>7</v>
      </c>
      <c r="J16" s="30">
        <v>14</v>
      </c>
      <c r="K16" s="30">
        <v>0</v>
      </c>
      <c r="L16" s="30">
        <v>32</v>
      </c>
      <c r="M16" s="30">
        <v>0</v>
      </c>
      <c r="N16" s="30">
        <v>0</v>
      </c>
      <c r="O16" s="30">
        <v>25</v>
      </c>
      <c r="P16" s="27"/>
      <c r="Q16" s="42">
        <f>SUM(C16:P16)</f>
        <v>324</v>
      </c>
      <c r="S16" s="28"/>
    </row>
    <row r="17" spans="1:20" ht="15.5" x14ac:dyDescent="0.35">
      <c r="A17" s="63"/>
      <c r="B17" s="29" t="s">
        <v>59</v>
      </c>
      <c r="C17" s="30">
        <v>3</v>
      </c>
      <c r="D17" s="30">
        <v>4</v>
      </c>
      <c r="E17" s="30">
        <v>2</v>
      </c>
      <c r="F17" s="30">
        <v>3</v>
      </c>
      <c r="G17" s="30">
        <v>1</v>
      </c>
      <c r="H17" s="30">
        <v>2</v>
      </c>
      <c r="I17" s="30">
        <v>1</v>
      </c>
      <c r="J17" s="30">
        <v>2</v>
      </c>
      <c r="K17" s="30">
        <v>0</v>
      </c>
      <c r="L17" s="30">
        <v>1</v>
      </c>
      <c r="M17" s="30">
        <v>0</v>
      </c>
      <c r="N17" s="30">
        <v>0</v>
      </c>
      <c r="O17" s="30">
        <v>2</v>
      </c>
      <c r="P17" s="27"/>
      <c r="Q17" s="42">
        <f>SUM(C17:P17)</f>
        <v>21</v>
      </c>
      <c r="S17" s="28"/>
    </row>
    <row r="18" spans="1:20" ht="15.5" x14ac:dyDescent="0.35">
      <c r="A18" s="63"/>
      <c r="B18" s="25" t="s">
        <v>2</v>
      </c>
      <c r="C18" s="26">
        <f>3/53</f>
        <v>5.6603773584905662E-2</v>
      </c>
      <c r="D18" s="26">
        <f>4/102</f>
        <v>3.9215686274509803E-2</v>
      </c>
      <c r="E18" s="26">
        <f>2/30</f>
        <v>6.6666666666666666E-2</v>
      </c>
      <c r="F18" s="26">
        <f>3/41</f>
        <v>7.3170731707317069E-2</v>
      </c>
      <c r="G18" s="26">
        <f>1/12</f>
        <v>8.3333333333333329E-2</v>
      </c>
      <c r="H18" s="26">
        <f>2/8</f>
        <v>0.25</v>
      </c>
      <c r="I18" s="26">
        <f>1/7</f>
        <v>0.14285714285714285</v>
      </c>
      <c r="J18" s="26">
        <f>2/14</f>
        <v>0.14285714285714285</v>
      </c>
      <c r="K18" s="26">
        <v>0</v>
      </c>
      <c r="L18" s="26">
        <f>1/32</f>
        <v>3.125E-2</v>
      </c>
      <c r="M18" s="26">
        <v>0</v>
      </c>
      <c r="N18" s="26">
        <v>0</v>
      </c>
      <c r="O18" s="26">
        <f>2/25</f>
        <v>0.08</v>
      </c>
      <c r="P18" s="27">
        <f t="shared" si="1"/>
        <v>7.4304190560078323E-2</v>
      </c>
      <c r="S18" s="28">
        <f>AVERAGE(P18,P23)</f>
        <v>5.9135116743269794E-2</v>
      </c>
    </row>
    <row r="19" spans="1:20" ht="15.5" x14ac:dyDescent="0.35">
      <c r="A19" s="63"/>
      <c r="B19" s="25" t="s">
        <v>0</v>
      </c>
      <c r="C19" s="26">
        <f>C15*C18</f>
        <v>0.46698113207547171</v>
      </c>
      <c r="D19" s="26">
        <f t="shared" ref="D19" si="14">D15*D18</f>
        <v>0.53594771241830064</v>
      </c>
      <c r="E19" s="26">
        <f t="shared" ref="E19" si="15">E15*E18</f>
        <v>0.3</v>
      </c>
      <c r="F19" s="26">
        <f t="shared" ref="F19" si="16">F15*F18</f>
        <v>0.32926829268292679</v>
      </c>
      <c r="G19" s="26">
        <f t="shared" ref="G19" si="17">G15*G18</f>
        <v>0.46527777777777773</v>
      </c>
      <c r="H19" s="26">
        <f t="shared" ref="H19" si="18">H15*H18</f>
        <v>0.20833333333333334</v>
      </c>
      <c r="I19" s="26">
        <f t="shared" ref="I19" si="19">I15*I18</f>
        <v>0.3214285714285714</v>
      </c>
      <c r="J19" s="26">
        <f t="shared" ref="J19" si="20">J15*J18</f>
        <v>0.14285714285714285</v>
      </c>
      <c r="K19" s="26">
        <f t="shared" ref="K19" si="21">K15*K18</f>
        <v>0</v>
      </c>
      <c r="L19" s="26">
        <f t="shared" ref="L19" si="22">L15*L18</f>
        <v>8.3333333333333329E-2</v>
      </c>
      <c r="M19" s="26">
        <f t="shared" ref="M19" si="23">M15*M18</f>
        <v>0</v>
      </c>
      <c r="N19" s="26">
        <f t="shared" ref="N19" si="24">N15*N18</f>
        <v>0</v>
      </c>
      <c r="O19" s="26">
        <f t="shared" ref="O19" si="25">O15*O18</f>
        <v>6.6666666666666666E-2</v>
      </c>
      <c r="P19" s="32">
        <f t="shared" si="1"/>
        <v>0.22462261250565577</v>
      </c>
      <c r="R19" s="34">
        <f>P19*30</f>
        <v>6.7386783751696733</v>
      </c>
      <c r="S19" s="43">
        <f>AVERAGE(P19,P24)</f>
        <v>0.210731997075223</v>
      </c>
      <c r="T19" s="44">
        <f>S19*30</f>
        <v>6.3219599122566903</v>
      </c>
    </row>
    <row r="20" spans="1:20" ht="15.5" x14ac:dyDescent="0.35">
      <c r="A20" s="63"/>
      <c r="B20" s="25" t="s">
        <v>39</v>
      </c>
      <c r="C20" s="26">
        <v>9.5833333333333339</v>
      </c>
      <c r="D20" s="26">
        <v>14.25</v>
      </c>
      <c r="E20" s="26">
        <v>4.583333333333333</v>
      </c>
      <c r="F20" s="26">
        <v>3.9166666666666665</v>
      </c>
      <c r="G20" s="26">
        <v>4</v>
      </c>
      <c r="H20" s="26">
        <v>2.6666666666666665</v>
      </c>
      <c r="I20" s="26">
        <v>4.833333333333333</v>
      </c>
      <c r="J20" s="26">
        <v>1.0833333333333333</v>
      </c>
      <c r="K20" s="26">
        <v>0</v>
      </c>
      <c r="L20" s="26">
        <v>0.91666666666666663</v>
      </c>
      <c r="M20" s="26">
        <v>0</v>
      </c>
      <c r="N20" s="26">
        <v>0.16666666666666666</v>
      </c>
      <c r="O20" s="26">
        <v>2</v>
      </c>
      <c r="P20" s="27">
        <f t="shared" si="1"/>
        <v>3.6923076923076925</v>
      </c>
    </row>
    <row r="21" spans="1:20" ht="15.5" x14ac:dyDescent="0.35">
      <c r="A21" s="63"/>
      <c r="B21" s="29" t="s">
        <v>58</v>
      </c>
      <c r="C21" s="30">
        <v>34</v>
      </c>
      <c r="D21" s="30">
        <v>100</v>
      </c>
      <c r="E21" s="30">
        <v>2</v>
      </c>
      <c r="F21" s="30">
        <v>46</v>
      </c>
      <c r="G21" s="30">
        <v>31</v>
      </c>
      <c r="H21" s="30">
        <v>13</v>
      </c>
      <c r="I21" s="30">
        <v>25</v>
      </c>
      <c r="J21" s="30">
        <v>12</v>
      </c>
      <c r="K21" s="30">
        <v>0</v>
      </c>
      <c r="L21" s="30">
        <v>10</v>
      </c>
      <c r="M21" s="30">
        <v>91</v>
      </c>
      <c r="N21" s="30">
        <v>0</v>
      </c>
      <c r="O21" s="30">
        <v>8</v>
      </c>
      <c r="P21" s="27"/>
      <c r="Q21" s="42">
        <f>SUM(C21:P21)</f>
        <v>372</v>
      </c>
    </row>
    <row r="22" spans="1:20" ht="15.5" x14ac:dyDescent="0.35">
      <c r="A22" s="63"/>
      <c r="B22" s="29" t="s">
        <v>59</v>
      </c>
      <c r="C22" s="30">
        <v>3</v>
      </c>
      <c r="D22" s="30">
        <v>3</v>
      </c>
      <c r="E22" s="30">
        <v>0</v>
      </c>
      <c r="F22" s="30">
        <v>3</v>
      </c>
      <c r="G22" s="30">
        <v>2</v>
      </c>
      <c r="H22" s="30">
        <v>1</v>
      </c>
      <c r="I22" s="30">
        <v>2</v>
      </c>
      <c r="J22" s="30">
        <v>2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27"/>
      <c r="Q22" s="42">
        <f>SUM(C22:P22)</f>
        <v>16</v>
      </c>
    </row>
    <row r="23" spans="1:20" ht="15.5" x14ac:dyDescent="0.35">
      <c r="A23" s="63"/>
      <c r="B23" s="25" t="s">
        <v>4</v>
      </c>
      <c r="C23" s="26">
        <f>3/34</f>
        <v>8.8235294117647065E-2</v>
      </c>
      <c r="D23" s="26">
        <f>3/100</f>
        <v>0.03</v>
      </c>
      <c r="E23" s="26">
        <v>0</v>
      </c>
      <c r="F23" s="26">
        <f>3/46</f>
        <v>6.5217391304347824E-2</v>
      </c>
      <c r="G23" s="26">
        <f>2/31</f>
        <v>6.4516129032258063E-2</v>
      </c>
      <c r="H23" s="26">
        <f>1/13</f>
        <v>7.6923076923076927E-2</v>
      </c>
      <c r="I23" s="26">
        <f>2/25</f>
        <v>0.08</v>
      </c>
      <c r="J23" s="26">
        <f>2/12</f>
        <v>0.16666666666666666</v>
      </c>
      <c r="K23" s="26">
        <v>0</v>
      </c>
      <c r="L23" s="26">
        <f>0/10</f>
        <v>0</v>
      </c>
      <c r="M23" s="26">
        <v>0</v>
      </c>
      <c r="N23" s="26">
        <v>0</v>
      </c>
      <c r="O23" s="26">
        <f>0/8</f>
        <v>0</v>
      </c>
      <c r="P23" s="27">
        <f t="shared" si="1"/>
        <v>4.3966042926461273E-2</v>
      </c>
    </row>
    <row r="24" spans="1:20" ht="15.5" x14ac:dyDescent="0.35">
      <c r="A24" s="63"/>
      <c r="B24" s="25" t="s">
        <v>3</v>
      </c>
      <c r="C24" s="26">
        <f>C20*C23</f>
        <v>0.84558823529411775</v>
      </c>
      <c r="D24" s="26">
        <f t="shared" ref="D24" si="26">D20*D23</f>
        <v>0.42749999999999999</v>
      </c>
      <c r="E24" s="26">
        <f t="shared" ref="E24" si="27">E20*E23</f>
        <v>0</v>
      </c>
      <c r="F24" s="26">
        <f t="shared" ref="F24" si="28">F20*F23</f>
        <v>0.25543478260869562</v>
      </c>
      <c r="G24" s="26">
        <f t="shared" ref="G24" si="29">G20*G23</f>
        <v>0.25806451612903225</v>
      </c>
      <c r="H24" s="26">
        <f t="shared" ref="H24" si="30">H20*H23</f>
        <v>0.20512820512820512</v>
      </c>
      <c r="I24" s="26">
        <f t="shared" ref="I24" si="31">I20*I23</f>
        <v>0.38666666666666666</v>
      </c>
      <c r="J24" s="26">
        <f t="shared" ref="J24" si="32">J20*J23</f>
        <v>0.18055555555555552</v>
      </c>
      <c r="K24" s="26">
        <f t="shared" ref="K24" si="33">K20*K23</f>
        <v>0</v>
      </c>
      <c r="L24" s="26">
        <f t="shared" ref="L24" si="34">L20*L23</f>
        <v>0</v>
      </c>
      <c r="M24" s="26">
        <f t="shared" ref="M24" si="35">M20*M23</f>
        <v>0</v>
      </c>
      <c r="N24" s="26">
        <f t="shared" ref="N24" si="36">N20*N23</f>
        <v>0</v>
      </c>
      <c r="O24" s="26">
        <f t="shared" ref="O24" si="37">O20*O23</f>
        <v>0</v>
      </c>
      <c r="P24" s="32">
        <f t="shared" si="1"/>
        <v>0.1968413816447902</v>
      </c>
      <c r="R24" s="34">
        <f>P24*30</f>
        <v>5.9052414493437064</v>
      </c>
    </row>
    <row r="25" spans="1:20" ht="4.5" customHeight="1" x14ac:dyDescent="0.35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36"/>
    </row>
    <row r="26" spans="1:20" ht="15.5" x14ac:dyDescent="0.35">
      <c r="A26" s="63" t="s">
        <v>8</v>
      </c>
      <c r="B26" s="25" t="s">
        <v>38</v>
      </c>
      <c r="C26" s="26"/>
      <c r="D26" s="26">
        <v>3.0833333333333335</v>
      </c>
      <c r="E26" s="26">
        <v>16.916666666666668</v>
      </c>
      <c r="F26" s="26">
        <v>7.5</v>
      </c>
      <c r="G26" s="26">
        <v>16.583333333333332</v>
      </c>
      <c r="H26" s="26">
        <v>22.5</v>
      </c>
      <c r="I26" s="26">
        <v>7.25</v>
      </c>
      <c r="J26" s="26">
        <v>1.3333333333333333</v>
      </c>
      <c r="K26" s="26">
        <v>0.83333333333333337</v>
      </c>
      <c r="L26" s="26">
        <v>21.416666666666668</v>
      </c>
      <c r="M26" s="26">
        <v>23.083333333333332</v>
      </c>
      <c r="N26" s="26">
        <v>5.416666666666667</v>
      </c>
      <c r="O26" s="26">
        <v>3.0833333333333335</v>
      </c>
      <c r="P26" s="27">
        <f>AVERAGE(D26:O26)</f>
        <v>10.75</v>
      </c>
      <c r="S26" s="28">
        <f>AVERAGE(P26,P31)</f>
        <v>17.46875</v>
      </c>
    </row>
    <row r="27" spans="1:20" ht="15.5" x14ac:dyDescent="0.35">
      <c r="A27" s="63"/>
      <c r="B27" s="29" t="s">
        <v>58</v>
      </c>
      <c r="C27" s="26"/>
      <c r="D27" s="30">
        <v>23</v>
      </c>
      <c r="E27" s="30">
        <v>77</v>
      </c>
      <c r="F27" s="30">
        <v>88</v>
      </c>
      <c r="G27" s="30">
        <v>87</v>
      </c>
      <c r="H27" s="30">
        <v>88</v>
      </c>
      <c r="I27" s="30">
        <v>72</v>
      </c>
      <c r="J27" s="30">
        <v>9</v>
      </c>
      <c r="K27" s="30">
        <v>11</v>
      </c>
      <c r="L27" s="30">
        <v>99</v>
      </c>
      <c r="M27" s="30">
        <v>98</v>
      </c>
      <c r="N27" s="30">
        <v>35</v>
      </c>
      <c r="O27" s="30">
        <v>23</v>
      </c>
      <c r="P27" s="27"/>
      <c r="Q27" s="42">
        <f>SUM(C27:P27)</f>
        <v>710</v>
      </c>
      <c r="S27" s="28"/>
    </row>
    <row r="28" spans="1:20" ht="15.5" x14ac:dyDescent="0.35">
      <c r="A28" s="63"/>
      <c r="B28" s="29" t="s">
        <v>59</v>
      </c>
      <c r="C28" s="26"/>
      <c r="D28" s="30">
        <v>0</v>
      </c>
      <c r="E28" s="30">
        <v>0</v>
      </c>
      <c r="F28" s="30">
        <v>3</v>
      </c>
      <c r="G28" s="30">
        <v>8</v>
      </c>
      <c r="H28" s="30">
        <v>8</v>
      </c>
      <c r="I28" s="30">
        <v>2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27"/>
      <c r="Q28" s="42">
        <f>SUM(C28:P28)</f>
        <v>22</v>
      </c>
      <c r="S28" s="28"/>
    </row>
    <row r="29" spans="1:20" ht="15.5" x14ac:dyDescent="0.35">
      <c r="A29" s="63"/>
      <c r="B29" s="25" t="s">
        <v>2</v>
      </c>
      <c r="C29" s="26"/>
      <c r="D29" s="26">
        <f>0/23</f>
        <v>0</v>
      </c>
      <c r="E29" s="26">
        <f>0/77</f>
        <v>0</v>
      </c>
      <c r="F29" s="26">
        <f>3/88</f>
        <v>3.4090909090909088E-2</v>
      </c>
      <c r="G29" s="26">
        <f>8/87</f>
        <v>9.1954022988505746E-2</v>
      </c>
      <c r="H29" s="26">
        <f>8/88</f>
        <v>9.0909090909090912E-2</v>
      </c>
      <c r="I29" s="26">
        <f>2/72</f>
        <v>2.7777777777777776E-2</v>
      </c>
      <c r="J29" s="26">
        <f>0/9</f>
        <v>0</v>
      </c>
      <c r="K29" s="26">
        <f>0/11</f>
        <v>0</v>
      </c>
      <c r="L29" s="26">
        <f>1/99</f>
        <v>1.0101010101010102E-2</v>
      </c>
      <c r="M29" s="26">
        <f>0/98</f>
        <v>0</v>
      </c>
      <c r="N29" s="26">
        <f>0/35</f>
        <v>0</v>
      </c>
      <c r="O29" s="26">
        <f>0/23</f>
        <v>0</v>
      </c>
      <c r="P29" s="27">
        <f t="shared" ref="P29:P35" si="38">AVERAGE(D29:O29)</f>
        <v>2.1236067572274472E-2</v>
      </c>
      <c r="S29" s="28">
        <f>AVERAGE(P29,P34)</f>
        <v>2.3264622944970913E-2</v>
      </c>
    </row>
    <row r="30" spans="1:20" ht="15.5" x14ac:dyDescent="0.35">
      <c r="A30" s="63"/>
      <c r="B30" s="25" t="s">
        <v>0</v>
      </c>
      <c r="C30" s="26"/>
      <c r="D30" s="26">
        <f t="shared" ref="D30" si="39">D26*D29</f>
        <v>0</v>
      </c>
      <c r="E30" s="26">
        <f t="shared" ref="E30" si="40">E26*E29</f>
        <v>0</v>
      </c>
      <c r="F30" s="26">
        <f>F26*F29</f>
        <v>0.25568181818181818</v>
      </c>
      <c r="G30" s="26">
        <f t="shared" ref="G30" si="41">G26*G29</f>
        <v>1.5249042145593867</v>
      </c>
      <c r="H30" s="26">
        <f t="shared" ref="H30" si="42">H26*H29</f>
        <v>2.0454545454545454</v>
      </c>
      <c r="I30" s="26">
        <f t="shared" ref="I30" si="43">I26*I29</f>
        <v>0.20138888888888887</v>
      </c>
      <c r="J30" s="26">
        <f t="shared" ref="J30" si="44">J26*J29</f>
        <v>0</v>
      </c>
      <c r="K30" s="26">
        <f t="shared" ref="K30" si="45">K26*K29</f>
        <v>0</v>
      </c>
      <c r="L30" s="26">
        <f t="shared" ref="L30" si="46">L26*L29</f>
        <v>0.21632996632996637</v>
      </c>
      <c r="M30" s="26">
        <f t="shared" ref="M30" si="47">M26*M29</f>
        <v>0</v>
      </c>
      <c r="N30" s="26">
        <f t="shared" ref="N30" si="48">N26*N29</f>
        <v>0</v>
      </c>
      <c r="O30" s="26">
        <f t="shared" ref="O30" si="49">O26*O29</f>
        <v>0</v>
      </c>
      <c r="P30" s="32">
        <f t="shared" si="38"/>
        <v>0.35364661945121711</v>
      </c>
      <c r="R30" s="34">
        <f>P30*30</f>
        <v>10.609398583536514</v>
      </c>
      <c r="S30" s="43">
        <f>AVERAGE(P30,P35)</f>
        <v>0.60175597148760385</v>
      </c>
      <c r="T30" s="33">
        <f>S30*30</f>
        <v>18.052679144628115</v>
      </c>
    </row>
    <row r="31" spans="1:20" ht="15.5" x14ac:dyDescent="0.35">
      <c r="A31" s="63"/>
      <c r="B31" s="25" t="s">
        <v>39</v>
      </c>
      <c r="C31" s="26"/>
      <c r="D31" s="26">
        <v>9.6666666666666661</v>
      </c>
      <c r="E31" s="26">
        <v>48.5</v>
      </c>
      <c r="F31" s="26">
        <v>23.583333333333332</v>
      </c>
      <c r="G31" s="26">
        <v>38.333333333333336</v>
      </c>
      <c r="H31" s="26">
        <v>55.416666666666664</v>
      </c>
      <c r="I31" s="26">
        <v>13.5</v>
      </c>
      <c r="J31" s="26">
        <v>2</v>
      </c>
      <c r="K31" s="26">
        <v>3</v>
      </c>
      <c r="L31" s="26">
        <v>33.416666666666664</v>
      </c>
      <c r="M31" s="26">
        <v>46.666666666666664</v>
      </c>
      <c r="N31" s="26">
        <v>9.8333333333333339</v>
      </c>
      <c r="O31" s="26">
        <v>6.333333333333333</v>
      </c>
      <c r="P31" s="27">
        <f t="shared" si="38"/>
        <v>24.187499999999996</v>
      </c>
    </row>
    <row r="32" spans="1:20" ht="15.5" x14ac:dyDescent="0.35">
      <c r="A32" s="63"/>
      <c r="B32" s="29" t="s">
        <v>58</v>
      </c>
      <c r="C32" s="26"/>
      <c r="D32" s="30">
        <v>44</v>
      </c>
      <c r="E32" s="30">
        <v>274</v>
      </c>
      <c r="F32" s="30">
        <v>148</v>
      </c>
      <c r="G32" s="30">
        <v>86</v>
      </c>
      <c r="H32" s="30">
        <v>87</v>
      </c>
      <c r="I32" s="30">
        <v>111</v>
      </c>
      <c r="J32" s="30">
        <v>16</v>
      </c>
      <c r="K32" s="30">
        <v>34</v>
      </c>
      <c r="L32" s="30">
        <v>98</v>
      </c>
      <c r="M32" s="30">
        <v>91</v>
      </c>
      <c r="N32" s="30">
        <v>77</v>
      </c>
      <c r="O32" s="30">
        <v>88</v>
      </c>
      <c r="P32" s="27"/>
      <c r="Q32" s="42">
        <f>SUM(C32:P32)</f>
        <v>1154</v>
      </c>
    </row>
    <row r="33" spans="1:18" ht="15.5" x14ac:dyDescent="0.35">
      <c r="A33" s="63"/>
      <c r="B33" s="29" t="s">
        <v>59</v>
      </c>
      <c r="C33" s="26"/>
      <c r="D33" s="30">
        <v>0</v>
      </c>
      <c r="E33" s="30">
        <v>2</v>
      </c>
      <c r="F33" s="30">
        <v>7</v>
      </c>
      <c r="G33" s="30">
        <v>6</v>
      </c>
      <c r="H33" s="30">
        <v>6</v>
      </c>
      <c r="I33" s="30">
        <v>3</v>
      </c>
      <c r="J33" s="30">
        <v>0</v>
      </c>
      <c r="K33" s="30">
        <v>1</v>
      </c>
      <c r="L33" s="30">
        <v>2</v>
      </c>
      <c r="M33" s="30">
        <v>2</v>
      </c>
      <c r="N33" s="30">
        <v>0</v>
      </c>
      <c r="O33" s="30">
        <v>1</v>
      </c>
      <c r="P33" s="27"/>
      <c r="Q33" s="42">
        <f>SUM(C33:P33)</f>
        <v>30</v>
      </c>
    </row>
    <row r="34" spans="1:18" ht="15.5" x14ac:dyDescent="0.35">
      <c r="A34" s="63"/>
      <c r="B34" s="25" t="s">
        <v>1</v>
      </c>
      <c r="C34" s="26"/>
      <c r="D34" s="26">
        <f>0/44</f>
        <v>0</v>
      </c>
      <c r="E34" s="26">
        <f>2/274</f>
        <v>7.2992700729927005E-3</v>
      </c>
      <c r="F34" s="26">
        <f>7/148</f>
        <v>4.72972972972973E-2</v>
      </c>
      <c r="G34" s="26">
        <f>6/86</f>
        <v>6.9767441860465115E-2</v>
      </c>
      <c r="H34" s="26">
        <f>6/87</f>
        <v>6.8965517241379309E-2</v>
      </c>
      <c r="I34" s="26">
        <f>3/111</f>
        <v>2.7027027027027029E-2</v>
      </c>
      <c r="J34" s="26">
        <f>0/16</f>
        <v>0</v>
      </c>
      <c r="K34" s="26">
        <f>1/34</f>
        <v>2.9411764705882353E-2</v>
      </c>
      <c r="L34" s="26">
        <f>2/98</f>
        <v>2.0408163265306121E-2</v>
      </c>
      <c r="M34" s="26">
        <f>2/91</f>
        <v>2.197802197802198E-2</v>
      </c>
      <c r="N34" s="26">
        <f>0/77</f>
        <v>0</v>
      </c>
      <c r="O34" s="26">
        <f>1/88</f>
        <v>1.1363636363636364E-2</v>
      </c>
      <c r="P34" s="27">
        <f t="shared" si="38"/>
        <v>2.5293178317667354E-2</v>
      </c>
    </row>
    <row r="35" spans="1:18" ht="15.5" x14ac:dyDescent="0.35">
      <c r="A35" s="63"/>
      <c r="B35" s="25" t="s">
        <v>3</v>
      </c>
      <c r="C35" s="26"/>
      <c r="D35" s="26">
        <f t="shared" ref="D35" si="50">D31*D34</f>
        <v>0</v>
      </c>
      <c r="E35" s="26">
        <f>E31*E34</f>
        <v>0.354014598540146</v>
      </c>
      <c r="F35" s="26">
        <f t="shared" ref="F35" si="51">F31*F34</f>
        <v>1.115427927927928</v>
      </c>
      <c r="G35" s="26">
        <f t="shared" ref="G35" si="52">G31*G34</f>
        <v>2.6744186046511631</v>
      </c>
      <c r="H35" s="26">
        <f t="shared" ref="H35" si="53">H31*H34</f>
        <v>3.8218390804597697</v>
      </c>
      <c r="I35" s="26">
        <f t="shared" ref="I35" si="54">I31*I34</f>
        <v>0.36486486486486491</v>
      </c>
      <c r="J35" s="26">
        <f t="shared" ref="J35" si="55">J31*J34</f>
        <v>0</v>
      </c>
      <c r="K35" s="26">
        <f t="shared" ref="K35" si="56">K31*K34</f>
        <v>8.8235294117647051E-2</v>
      </c>
      <c r="L35" s="26">
        <f t="shared" ref="L35" si="57">L31*L34</f>
        <v>0.68197278911564618</v>
      </c>
      <c r="M35" s="26">
        <f t="shared" ref="M35" si="58">M31*M34</f>
        <v>1.0256410256410258</v>
      </c>
      <c r="N35" s="26">
        <f t="shared" ref="N35" si="59">N31*N34</f>
        <v>0</v>
      </c>
      <c r="O35" s="26">
        <f t="shared" ref="O35" si="60">O31*O34</f>
        <v>7.1969696969696975E-2</v>
      </c>
      <c r="P35" s="32">
        <f t="shared" si="38"/>
        <v>0.84986532352399058</v>
      </c>
      <c r="R35" s="34">
        <f>P35*30</f>
        <v>25.495959705719716</v>
      </c>
    </row>
  </sheetData>
  <mergeCells count="3">
    <mergeCell ref="A4:A13"/>
    <mergeCell ref="A15:A24"/>
    <mergeCell ref="A26:A35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22C5-F0F4-4DD5-930A-9EEC8429C8E0}">
  <sheetPr codeName="Sheet4"/>
  <dimension ref="B3:I13"/>
  <sheetViews>
    <sheetView zoomScale="95" workbookViewId="0">
      <selection activeCell="J13" sqref="J13"/>
    </sheetView>
  </sheetViews>
  <sheetFormatPr defaultRowHeight="14.5" x14ac:dyDescent="0.35"/>
  <cols>
    <col min="2" max="2" width="10.7265625" bestFit="1" customWidth="1"/>
    <col min="3" max="4" width="9.1796875" bestFit="1" customWidth="1"/>
    <col min="5" max="5" width="10.1796875" bestFit="1" customWidth="1"/>
    <col min="6" max="8" width="8.81640625" bestFit="1" customWidth="1"/>
  </cols>
  <sheetData>
    <row r="3" spans="2:9" x14ac:dyDescent="0.35">
      <c r="B3" s="12" t="s">
        <v>40</v>
      </c>
      <c r="C3" s="65" t="s">
        <v>41</v>
      </c>
      <c r="D3" s="66"/>
      <c r="E3" s="12"/>
      <c r="F3" s="65" t="s">
        <v>42</v>
      </c>
      <c r="G3" s="66"/>
      <c r="H3" s="12"/>
    </row>
    <row r="4" spans="2:9" x14ac:dyDescent="0.35">
      <c r="B4" s="12"/>
      <c r="C4" s="12" t="s">
        <v>43</v>
      </c>
      <c r="D4" s="12" t="s">
        <v>44</v>
      </c>
      <c r="E4" s="13" t="s">
        <v>45</v>
      </c>
      <c r="F4" s="12" t="s">
        <v>43</v>
      </c>
      <c r="G4" s="12" t="s">
        <v>44</v>
      </c>
      <c r="H4" s="13" t="s">
        <v>45</v>
      </c>
    </row>
    <row r="5" spans="2:9" x14ac:dyDescent="0.35">
      <c r="B5" s="14" t="s">
        <v>18</v>
      </c>
      <c r="C5" s="15">
        <v>1685</v>
      </c>
      <c r="D5" s="15">
        <v>1815</v>
      </c>
      <c r="E5" s="15">
        <f>C5+D5</f>
        <v>3500</v>
      </c>
      <c r="F5" s="15">
        <v>54</v>
      </c>
      <c r="G5" s="15">
        <v>41</v>
      </c>
      <c r="H5" s="15">
        <f>F5+G5</f>
        <v>95</v>
      </c>
      <c r="I5" s="16"/>
    </row>
    <row r="6" spans="2:9" x14ac:dyDescent="0.35">
      <c r="B6" s="14" t="s">
        <v>24</v>
      </c>
      <c r="C6" s="15">
        <v>1253</v>
      </c>
      <c r="D6" s="15">
        <v>1337</v>
      </c>
      <c r="E6" s="15">
        <f t="shared" ref="E6:E9" si="0">C6+D6</f>
        <v>2590</v>
      </c>
      <c r="F6" s="15">
        <v>28</v>
      </c>
      <c r="G6" s="15">
        <v>37</v>
      </c>
      <c r="H6" s="15">
        <f t="shared" ref="H6:H9" si="1">F6+G6</f>
        <v>65</v>
      </c>
    </row>
    <row r="7" spans="2:9" x14ac:dyDescent="0.35">
      <c r="B7" s="14" t="s">
        <v>29</v>
      </c>
      <c r="C7" s="15">
        <v>1286</v>
      </c>
      <c r="D7" s="15">
        <v>1263</v>
      </c>
      <c r="E7" s="15">
        <f t="shared" si="0"/>
        <v>2549</v>
      </c>
      <c r="F7" s="15">
        <v>85</v>
      </c>
      <c r="G7" s="15">
        <v>67</v>
      </c>
      <c r="H7" s="15">
        <f t="shared" si="1"/>
        <v>152</v>
      </c>
    </row>
    <row r="8" spans="2:9" x14ac:dyDescent="0.35">
      <c r="B8" s="14" t="s">
        <v>30</v>
      </c>
      <c r="C8" s="15">
        <v>324</v>
      </c>
      <c r="D8" s="15">
        <v>372</v>
      </c>
      <c r="E8" s="15">
        <f t="shared" si="0"/>
        <v>696</v>
      </c>
      <c r="F8" s="15">
        <v>21</v>
      </c>
      <c r="G8" s="15">
        <v>16</v>
      </c>
      <c r="H8" s="15">
        <f t="shared" si="1"/>
        <v>37</v>
      </c>
    </row>
    <row r="9" spans="2:9" x14ac:dyDescent="0.35">
      <c r="B9" s="14" t="s">
        <v>46</v>
      </c>
      <c r="C9" s="15">
        <v>710</v>
      </c>
      <c r="D9" s="15">
        <v>1154</v>
      </c>
      <c r="E9" s="15">
        <f t="shared" si="0"/>
        <v>1864</v>
      </c>
      <c r="F9" s="15">
        <v>23</v>
      </c>
      <c r="G9" s="15">
        <v>30</v>
      </c>
      <c r="H9" s="15">
        <f t="shared" si="1"/>
        <v>53</v>
      </c>
    </row>
    <row r="10" spans="2:9" x14ac:dyDescent="0.35">
      <c r="B10" s="13" t="s">
        <v>45</v>
      </c>
      <c r="C10" s="17">
        <f>C5+C6+C7+C8+C9</f>
        <v>5258</v>
      </c>
      <c r="D10" s="17">
        <f>D5+D6+D7+D8+D9</f>
        <v>5941</v>
      </c>
      <c r="E10" s="17">
        <f>E5+E6+E7+E8+E9</f>
        <v>11199</v>
      </c>
      <c r="F10" s="17">
        <f>F5+F6+F7+F8+F9</f>
        <v>211</v>
      </c>
      <c r="G10" s="17">
        <f>SUM(G5:G9)</f>
        <v>191</v>
      </c>
      <c r="H10" s="17">
        <f>SUM(H5:H9)</f>
        <v>402</v>
      </c>
    </row>
    <row r="11" spans="2:9" x14ac:dyDescent="0.35">
      <c r="C11" s="16"/>
      <c r="F11" s="16"/>
    </row>
    <row r="12" spans="2:9" x14ac:dyDescent="0.35">
      <c r="E12" s="18">
        <v>4745</v>
      </c>
      <c r="F12" s="16">
        <f>E10+E12</f>
        <v>15944</v>
      </c>
    </row>
    <row r="13" spans="2:9" x14ac:dyDescent="0.35">
      <c r="E13">
        <v>94</v>
      </c>
      <c r="F13" s="16">
        <f>H10+E13</f>
        <v>496</v>
      </c>
      <c r="G13">
        <f>F13/F12*100</f>
        <v>3.1108881083793274</v>
      </c>
    </row>
  </sheetData>
  <mergeCells count="2">
    <mergeCell ref="C3:D3"/>
    <mergeCell ref="F3:G3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353E-F9B3-45D0-82AB-1D603D129962}">
  <sheetPr codeName="Sheet5"/>
  <dimension ref="A1:AC95"/>
  <sheetViews>
    <sheetView zoomScale="48" zoomScaleNormal="48" workbookViewId="0">
      <pane ySplit="1" topLeftCell="A2" activePane="bottomLeft" state="frozen"/>
      <selection activeCell="D1" sqref="D1"/>
      <selection pane="bottomLeft" activeCell="AG24" sqref="AG24"/>
    </sheetView>
  </sheetViews>
  <sheetFormatPr defaultRowHeight="14.5" x14ac:dyDescent="0.35"/>
  <cols>
    <col min="1" max="1" width="12.54296875" customWidth="1"/>
    <col min="2" max="2" width="14.453125" customWidth="1"/>
    <col min="3" max="3" width="20.81640625" bestFit="1" customWidth="1"/>
    <col min="4" max="4" width="6.7265625" bestFit="1" customWidth="1"/>
    <col min="5" max="5" width="7.1796875" bestFit="1" customWidth="1"/>
    <col min="6" max="6" width="8.81640625" customWidth="1"/>
    <col min="7" max="7" width="8.54296875" customWidth="1"/>
    <col min="8" max="8" width="11.453125" customWidth="1"/>
    <col min="9" max="9" width="11.26953125" customWidth="1"/>
    <col min="10" max="10" width="10.453125" customWidth="1"/>
    <col min="11" max="11" width="12.1796875" customWidth="1"/>
    <col min="12" max="12" width="10.7265625" customWidth="1"/>
    <col min="13" max="13" width="7.7265625" customWidth="1"/>
    <col min="14" max="14" width="10.7265625" customWidth="1"/>
    <col min="15" max="15" width="6.81640625" bestFit="1" customWidth="1"/>
    <col min="16" max="16" width="6.7265625" bestFit="1" customWidth="1"/>
    <col min="17" max="17" width="7.1796875" bestFit="1" customWidth="1"/>
    <col min="18" max="18" width="10.1796875" customWidth="1"/>
    <col min="19" max="19" width="6.453125" bestFit="1" customWidth="1"/>
    <col min="20" max="20" width="6.81640625" bestFit="1" customWidth="1"/>
    <col min="21" max="21" width="7.1796875" bestFit="1" customWidth="1"/>
    <col min="22" max="22" width="10.81640625" customWidth="1"/>
    <col min="23" max="23" width="9.1796875" customWidth="1"/>
    <col min="24" max="24" width="10.7265625" customWidth="1"/>
    <col min="25" max="25" width="6.81640625" bestFit="1" customWidth="1"/>
    <col min="27" max="27" width="9.54296875" bestFit="1" customWidth="1"/>
  </cols>
  <sheetData>
    <row r="1" spans="1:29" ht="15" thickBot="1" x14ac:dyDescent="0.4">
      <c r="C1" s="45"/>
      <c r="D1" s="46">
        <v>43374</v>
      </c>
      <c r="E1" s="46">
        <v>43405</v>
      </c>
      <c r="F1" s="46">
        <v>43435</v>
      </c>
      <c r="G1" s="46">
        <v>43466</v>
      </c>
      <c r="H1" s="46">
        <v>43497</v>
      </c>
      <c r="I1" s="46">
        <v>43525</v>
      </c>
      <c r="J1" s="46">
        <v>43556</v>
      </c>
      <c r="K1" s="46">
        <v>43586</v>
      </c>
      <c r="L1" s="46">
        <v>43617</v>
      </c>
      <c r="M1" s="46">
        <v>43647</v>
      </c>
      <c r="N1" s="46">
        <v>43678</v>
      </c>
      <c r="O1" s="46">
        <v>43709</v>
      </c>
      <c r="P1" s="46">
        <v>43739</v>
      </c>
      <c r="Q1" s="46">
        <v>43770</v>
      </c>
      <c r="R1" s="46">
        <v>43800</v>
      </c>
      <c r="S1" s="46">
        <v>43831</v>
      </c>
      <c r="T1" s="46">
        <v>43862</v>
      </c>
      <c r="U1" s="46">
        <v>43891</v>
      </c>
      <c r="V1" s="46">
        <v>43983</v>
      </c>
      <c r="W1" s="46">
        <v>44013</v>
      </c>
      <c r="X1" s="46">
        <v>44044</v>
      </c>
      <c r="Y1" s="46">
        <v>44075</v>
      </c>
      <c r="Z1" s="46" t="s">
        <v>45</v>
      </c>
      <c r="AA1" t="s">
        <v>55</v>
      </c>
    </row>
    <row r="2" spans="1:29" ht="15.5" x14ac:dyDescent="0.35">
      <c r="A2" s="67" t="s">
        <v>9</v>
      </c>
      <c r="B2" s="73" t="s">
        <v>47</v>
      </c>
      <c r="C2" s="47" t="s">
        <v>53</v>
      </c>
      <c r="D2" s="48">
        <v>26</v>
      </c>
      <c r="E2" s="48">
        <v>53</v>
      </c>
      <c r="F2" s="48">
        <v>60</v>
      </c>
      <c r="G2" s="48">
        <v>8</v>
      </c>
      <c r="H2" s="48">
        <v>15</v>
      </c>
      <c r="I2" s="48">
        <v>8</v>
      </c>
      <c r="J2" s="48">
        <v>2</v>
      </c>
      <c r="K2" s="48">
        <v>16</v>
      </c>
      <c r="L2" s="48">
        <v>0</v>
      </c>
      <c r="M2" s="48"/>
      <c r="N2" s="48">
        <v>0</v>
      </c>
      <c r="O2" s="30">
        <v>0</v>
      </c>
      <c r="P2" s="48"/>
      <c r="Q2" s="48">
        <v>19</v>
      </c>
      <c r="R2" s="48"/>
      <c r="S2" s="48">
        <v>15</v>
      </c>
      <c r="T2" s="48"/>
      <c r="U2" s="48"/>
      <c r="V2" s="30">
        <v>0</v>
      </c>
      <c r="W2" s="48"/>
      <c r="X2" s="48"/>
      <c r="Y2" s="48"/>
      <c r="Z2" s="49">
        <f>SUM(D2:Y2)</f>
        <v>222</v>
      </c>
      <c r="AA2" s="31">
        <f>Z2+Z4</f>
        <v>343</v>
      </c>
    </row>
    <row r="3" spans="1:29" ht="15.5" x14ac:dyDescent="0.35">
      <c r="A3" s="68"/>
      <c r="B3" s="71"/>
      <c r="C3" s="25" t="s">
        <v>50</v>
      </c>
      <c r="D3" s="30">
        <v>0</v>
      </c>
      <c r="E3" s="30">
        <v>3</v>
      </c>
      <c r="F3" s="30">
        <v>2</v>
      </c>
      <c r="G3" s="30">
        <v>0</v>
      </c>
      <c r="H3" s="30">
        <v>0</v>
      </c>
      <c r="I3" s="30">
        <v>0</v>
      </c>
      <c r="J3" s="30">
        <v>0</v>
      </c>
      <c r="K3" s="30">
        <v>2</v>
      </c>
      <c r="L3" s="30">
        <v>0</v>
      </c>
      <c r="M3" s="30"/>
      <c r="N3" s="30">
        <v>0</v>
      </c>
      <c r="O3" s="30">
        <v>0</v>
      </c>
      <c r="P3" s="30"/>
      <c r="Q3" s="30">
        <v>0</v>
      </c>
      <c r="R3" s="30"/>
      <c r="S3" s="30">
        <v>0</v>
      </c>
      <c r="T3" s="30"/>
      <c r="U3" s="30"/>
      <c r="V3" s="30">
        <v>0</v>
      </c>
      <c r="W3" s="30"/>
      <c r="X3" s="30"/>
      <c r="Y3" s="30"/>
      <c r="Z3" s="50">
        <f>SUM(D3:Y3)</f>
        <v>7</v>
      </c>
      <c r="AA3" s="31">
        <f>Z3+Z5</f>
        <v>11</v>
      </c>
    </row>
    <row r="4" spans="1:29" ht="15.5" x14ac:dyDescent="0.35">
      <c r="A4" s="68"/>
      <c r="B4" s="71"/>
      <c r="C4" s="25" t="s">
        <v>54</v>
      </c>
      <c r="D4" s="30">
        <v>0</v>
      </c>
      <c r="E4" s="30">
        <v>21</v>
      </c>
      <c r="F4" s="30">
        <v>0</v>
      </c>
      <c r="G4" s="30">
        <v>15</v>
      </c>
      <c r="H4" s="30">
        <v>3</v>
      </c>
      <c r="I4" s="30">
        <v>27</v>
      </c>
      <c r="J4" s="30">
        <v>0</v>
      </c>
      <c r="K4" s="30">
        <v>15</v>
      </c>
      <c r="L4" s="30">
        <v>7</v>
      </c>
      <c r="M4" s="30"/>
      <c r="N4" s="30">
        <v>2</v>
      </c>
      <c r="O4" s="30">
        <v>3</v>
      </c>
      <c r="P4" s="30"/>
      <c r="Q4" s="30">
        <v>17</v>
      </c>
      <c r="R4" s="30"/>
      <c r="S4" s="30">
        <v>6</v>
      </c>
      <c r="T4" s="30"/>
      <c r="U4" s="30"/>
      <c r="V4" s="30">
        <v>5</v>
      </c>
      <c r="W4" s="30"/>
      <c r="X4" s="30"/>
      <c r="Y4" s="30"/>
      <c r="Z4" s="50">
        <f>SUM(D4:Y4)</f>
        <v>121</v>
      </c>
    </row>
    <row r="5" spans="1:29" ht="15.5" x14ac:dyDescent="0.35">
      <c r="A5" s="68"/>
      <c r="B5" s="74"/>
      <c r="C5" s="25" t="s">
        <v>51</v>
      </c>
      <c r="D5" s="30">
        <v>0</v>
      </c>
      <c r="E5" s="30">
        <v>2</v>
      </c>
      <c r="F5" s="30">
        <v>0</v>
      </c>
      <c r="G5" s="30">
        <v>0</v>
      </c>
      <c r="H5" s="30">
        <v>0</v>
      </c>
      <c r="I5" s="30">
        <v>1</v>
      </c>
      <c r="J5" s="30">
        <v>0</v>
      </c>
      <c r="K5" s="30">
        <v>0</v>
      </c>
      <c r="L5" s="30">
        <v>0</v>
      </c>
      <c r="M5" s="30"/>
      <c r="N5" s="30">
        <v>0</v>
      </c>
      <c r="O5" s="30">
        <v>0</v>
      </c>
      <c r="P5" s="30"/>
      <c r="Q5" s="30">
        <v>0</v>
      </c>
      <c r="R5" s="30"/>
      <c r="S5" s="30">
        <v>0</v>
      </c>
      <c r="T5" s="30"/>
      <c r="U5" s="30"/>
      <c r="V5" s="30">
        <v>1</v>
      </c>
      <c r="W5" s="30"/>
      <c r="X5" s="30"/>
      <c r="Y5" s="30"/>
      <c r="Z5" s="50">
        <f>SUM(D5:Y5)</f>
        <v>4</v>
      </c>
    </row>
    <row r="6" spans="1:29" ht="10" customHeight="1" x14ac:dyDescent="0.35">
      <c r="A6" s="68"/>
      <c r="B6" s="51"/>
      <c r="C6" s="25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50"/>
    </row>
    <row r="7" spans="1:29" ht="16" thickBot="1" x14ac:dyDescent="0.4">
      <c r="A7" s="68"/>
      <c r="B7" s="70" t="s">
        <v>21</v>
      </c>
      <c r="C7" s="25" t="s">
        <v>53</v>
      </c>
      <c r="D7" s="30">
        <v>11</v>
      </c>
      <c r="E7" s="30">
        <v>6</v>
      </c>
      <c r="F7" s="30">
        <v>24</v>
      </c>
      <c r="G7" s="30"/>
      <c r="H7" s="30">
        <v>2</v>
      </c>
      <c r="I7" s="30"/>
      <c r="J7" s="30">
        <v>1</v>
      </c>
      <c r="K7" s="30">
        <v>1</v>
      </c>
      <c r="L7" s="30"/>
      <c r="M7" s="30"/>
      <c r="N7" s="30"/>
      <c r="O7" s="30"/>
      <c r="P7" s="30"/>
      <c r="Q7" s="30">
        <v>0</v>
      </c>
      <c r="R7" s="30"/>
      <c r="S7" s="30">
        <v>0</v>
      </c>
      <c r="T7" s="30"/>
      <c r="U7" s="30">
        <v>0</v>
      </c>
      <c r="V7" s="30">
        <v>2</v>
      </c>
      <c r="W7" s="30"/>
      <c r="X7" s="30"/>
      <c r="Y7" s="30"/>
      <c r="Z7" s="50">
        <f>SUM(D7:Y7)</f>
        <v>47</v>
      </c>
      <c r="AA7" s="31">
        <f>Z7+Z9</f>
        <v>85</v>
      </c>
      <c r="AC7" s="59"/>
    </row>
    <row r="8" spans="1:29" ht="16" thickBot="1" x14ac:dyDescent="0.4">
      <c r="A8" s="68"/>
      <c r="B8" s="71"/>
      <c r="C8" s="25" t="s">
        <v>50</v>
      </c>
      <c r="D8" s="30">
        <v>0</v>
      </c>
      <c r="E8" s="30">
        <v>0</v>
      </c>
      <c r="F8" s="30">
        <v>0</v>
      </c>
      <c r="G8" s="30"/>
      <c r="H8" s="30">
        <v>1</v>
      </c>
      <c r="I8" s="30"/>
      <c r="J8" s="30">
        <v>0</v>
      </c>
      <c r="K8" s="30">
        <v>0</v>
      </c>
      <c r="L8" s="30"/>
      <c r="M8" s="30"/>
      <c r="N8" s="30"/>
      <c r="O8" s="30"/>
      <c r="P8" s="30"/>
      <c r="Q8" s="30">
        <v>0</v>
      </c>
      <c r="R8" s="30"/>
      <c r="S8" s="30">
        <v>0</v>
      </c>
      <c r="T8" s="30"/>
      <c r="U8" s="30">
        <v>0</v>
      </c>
      <c r="V8" s="30">
        <v>0</v>
      </c>
      <c r="W8" s="30"/>
      <c r="X8" s="30"/>
      <c r="Y8" s="30"/>
      <c r="Z8" s="50">
        <f t="shared" ref="Z8:Z37" si="0">SUM(D8:Y8)</f>
        <v>1</v>
      </c>
      <c r="AA8" s="31">
        <f>Z8+Z10</f>
        <v>2</v>
      </c>
      <c r="AC8" s="60">
        <f>SUM(AA2,AA7,AA12,AA16,AA20,AA24,AA29,AA34,AA39,AA44,AA49,AA53,AA58,AA63,AA67,AA72,AA77,AA82,AA87,AA92)</f>
        <v>4745</v>
      </c>
    </row>
    <row r="9" spans="1:29" ht="16" thickBot="1" x14ac:dyDescent="0.4">
      <c r="A9" s="68"/>
      <c r="B9" s="71"/>
      <c r="C9" s="37" t="s">
        <v>54</v>
      </c>
      <c r="D9" s="30">
        <v>0</v>
      </c>
      <c r="E9" s="30">
        <v>15</v>
      </c>
      <c r="F9" s="30">
        <v>0</v>
      </c>
      <c r="G9" s="30"/>
      <c r="H9" s="30">
        <v>0</v>
      </c>
      <c r="I9" s="30"/>
      <c r="J9" s="30">
        <v>3</v>
      </c>
      <c r="K9" s="30">
        <v>7</v>
      </c>
      <c r="L9" s="30"/>
      <c r="M9" s="30"/>
      <c r="N9" s="30"/>
      <c r="O9" s="30"/>
      <c r="P9" s="30"/>
      <c r="Q9" s="30">
        <v>5</v>
      </c>
      <c r="R9" s="30"/>
      <c r="S9" s="30">
        <v>0</v>
      </c>
      <c r="T9" s="30"/>
      <c r="U9" s="30">
        <v>3</v>
      </c>
      <c r="V9" s="30">
        <v>5</v>
      </c>
      <c r="W9" s="30"/>
      <c r="X9" s="30"/>
      <c r="Y9" s="30"/>
      <c r="Z9" s="50">
        <f t="shared" si="0"/>
        <v>38</v>
      </c>
      <c r="AC9" s="60">
        <f>SUM(AA3,AA8,AA13,AA17,AA21,AA25,AA30,AA35,AA40,AA45,AA50,AA54,AA59,AA64,AA68,AA73,AA78,AA83,AA88,AA93)</f>
        <v>94</v>
      </c>
    </row>
    <row r="10" spans="1:29" ht="15.5" x14ac:dyDescent="0.35">
      <c r="A10" s="68"/>
      <c r="B10" s="74"/>
      <c r="C10" s="25" t="s">
        <v>51</v>
      </c>
      <c r="D10" s="30">
        <v>0</v>
      </c>
      <c r="E10" s="30">
        <v>1</v>
      </c>
      <c r="F10" s="30">
        <v>0</v>
      </c>
      <c r="G10" s="30"/>
      <c r="H10" s="30">
        <v>0</v>
      </c>
      <c r="I10" s="30"/>
      <c r="J10" s="30">
        <v>0</v>
      </c>
      <c r="K10" s="30">
        <v>0</v>
      </c>
      <c r="L10" s="30"/>
      <c r="M10" s="30"/>
      <c r="N10" s="30"/>
      <c r="O10" s="30"/>
      <c r="P10" s="30"/>
      <c r="Q10" s="30">
        <v>0</v>
      </c>
      <c r="R10" s="30"/>
      <c r="S10" s="30">
        <v>0</v>
      </c>
      <c r="T10" s="30"/>
      <c r="U10" s="30">
        <v>0</v>
      </c>
      <c r="V10" s="30">
        <v>0</v>
      </c>
      <c r="W10" s="30"/>
      <c r="X10" s="30"/>
      <c r="Y10" s="30"/>
      <c r="Z10" s="50">
        <f t="shared" si="0"/>
        <v>1</v>
      </c>
    </row>
    <row r="11" spans="1:29" ht="7.5" customHeight="1" x14ac:dyDescent="0.35">
      <c r="A11" s="68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50"/>
    </row>
    <row r="12" spans="1:29" ht="15.5" x14ac:dyDescent="0.35">
      <c r="A12" s="68"/>
      <c r="B12" s="70" t="s">
        <v>27</v>
      </c>
      <c r="C12" s="25" t="s">
        <v>53</v>
      </c>
      <c r="D12" s="30">
        <v>2</v>
      </c>
      <c r="E12" s="30">
        <v>0</v>
      </c>
      <c r="F12" s="30"/>
      <c r="G12" s="30"/>
      <c r="H12" s="30">
        <v>1</v>
      </c>
      <c r="I12" s="30"/>
      <c r="J12" s="30">
        <v>2</v>
      </c>
      <c r="K12" s="30">
        <v>0</v>
      </c>
      <c r="L12" s="30"/>
      <c r="M12" s="30">
        <v>0</v>
      </c>
      <c r="N12" s="30"/>
      <c r="O12" s="30"/>
      <c r="P12" s="30"/>
      <c r="Q12" s="30">
        <v>0</v>
      </c>
      <c r="R12" s="30"/>
      <c r="S12" s="30"/>
      <c r="T12" s="30"/>
      <c r="U12" s="30"/>
      <c r="V12" s="30"/>
      <c r="W12" s="30"/>
      <c r="X12" s="30"/>
      <c r="Y12" s="30"/>
      <c r="Z12" s="50">
        <f>SUM(D12:Y12)</f>
        <v>5</v>
      </c>
      <c r="AA12" s="31">
        <f>Z12+Z14</f>
        <v>8</v>
      </c>
    </row>
    <row r="13" spans="1:29" ht="15.5" x14ac:dyDescent="0.35">
      <c r="A13" s="68"/>
      <c r="B13" s="71"/>
      <c r="C13" s="25" t="s">
        <v>50</v>
      </c>
      <c r="D13" s="30">
        <v>0</v>
      </c>
      <c r="E13" s="30">
        <v>0</v>
      </c>
      <c r="F13" s="30"/>
      <c r="G13" s="30"/>
      <c r="H13" s="30">
        <v>0</v>
      </c>
      <c r="I13" s="30"/>
      <c r="J13" s="30">
        <v>0</v>
      </c>
      <c r="K13" s="30">
        <v>0</v>
      </c>
      <c r="L13" s="30"/>
      <c r="M13" s="30">
        <v>0</v>
      </c>
      <c r="N13" s="30"/>
      <c r="O13" s="30"/>
      <c r="P13" s="30"/>
      <c r="Q13" s="30">
        <v>0</v>
      </c>
      <c r="R13" s="30"/>
      <c r="S13" s="30"/>
      <c r="T13" s="30"/>
      <c r="U13" s="30"/>
      <c r="V13" s="30"/>
      <c r="W13" s="30"/>
      <c r="X13" s="30"/>
      <c r="Y13" s="30"/>
      <c r="Z13" s="50">
        <f>SUM(D13:Y13)</f>
        <v>0</v>
      </c>
      <c r="AA13" s="31">
        <f>Z13+Z15</f>
        <v>0</v>
      </c>
    </row>
    <row r="14" spans="1:29" ht="15.5" x14ac:dyDescent="0.35">
      <c r="A14" s="68"/>
      <c r="B14" s="71"/>
      <c r="C14" s="37" t="s">
        <v>54</v>
      </c>
      <c r="D14" s="30">
        <v>0</v>
      </c>
      <c r="E14" s="30">
        <v>0</v>
      </c>
      <c r="F14" s="30"/>
      <c r="G14" s="30">
        <v>1</v>
      </c>
      <c r="H14" s="30">
        <v>0</v>
      </c>
      <c r="I14" s="30"/>
      <c r="J14" s="30">
        <v>0</v>
      </c>
      <c r="K14" s="30">
        <v>1</v>
      </c>
      <c r="L14" s="30"/>
      <c r="M14" s="30">
        <v>1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50">
        <f>SUM(D14:Y14)</f>
        <v>3</v>
      </c>
    </row>
    <row r="15" spans="1:29" ht="15.5" x14ac:dyDescent="0.35">
      <c r="A15" s="68"/>
      <c r="B15" s="74"/>
      <c r="C15" s="25" t="s">
        <v>51</v>
      </c>
      <c r="D15" s="30">
        <v>0</v>
      </c>
      <c r="E15" s="30">
        <v>0</v>
      </c>
      <c r="F15" s="30"/>
      <c r="G15" s="30">
        <v>0</v>
      </c>
      <c r="H15" s="30">
        <v>0</v>
      </c>
      <c r="I15" s="30"/>
      <c r="J15" s="30">
        <v>0</v>
      </c>
      <c r="K15" s="30">
        <v>0</v>
      </c>
      <c r="L15" s="30"/>
      <c r="M15" s="30">
        <v>0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50">
        <f>SUM(D15:Y15)</f>
        <v>0</v>
      </c>
    </row>
    <row r="16" spans="1:29" ht="15.5" x14ac:dyDescent="0.35">
      <c r="A16" s="68"/>
      <c r="B16" s="70" t="s">
        <v>22</v>
      </c>
      <c r="C16" s="37" t="s">
        <v>53</v>
      </c>
      <c r="D16" s="30"/>
      <c r="E16" s="30">
        <v>0</v>
      </c>
      <c r="F16" s="30">
        <v>10</v>
      </c>
      <c r="G16" s="30">
        <v>0</v>
      </c>
      <c r="H16" s="30">
        <v>1</v>
      </c>
      <c r="I16" s="30">
        <v>10</v>
      </c>
      <c r="J16" s="30"/>
      <c r="K16" s="30">
        <v>1</v>
      </c>
      <c r="L16" s="30">
        <v>1</v>
      </c>
      <c r="M16" s="30">
        <v>2</v>
      </c>
      <c r="N16" s="30">
        <v>0</v>
      </c>
      <c r="O16" s="30">
        <v>1</v>
      </c>
      <c r="P16" s="30"/>
      <c r="Q16" s="30">
        <v>2</v>
      </c>
      <c r="R16" s="30"/>
      <c r="S16" s="30">
        <v>11</v>
      </c>
      <c r="T16" s="30"/>
      <c r="U16" s="30">
        <v>4</v>
      </c>
      <c r="V16" s="30">
        <v>2</v>
      </c>
      <c r="W16" s="30"/>
      <c r="X16" s="30"/>
      <c r="Y16" s="30"/>
      <c r="Z16" s="50">
        <f t="shared" si="0"/>
        <v>45</v>
      </c>
      <c r="AA16" s="31">
        <f>Z16+Z18</f>
        <v>128</v>
      </c>
    </row>
    <row r="17" spans="1:27" ht="15.5" x14ac:dyDescent="0.35">
      <c r="A17" s="68"/>
      <c r="B17" s="71"/>
      <c r="C17" s="25" t="s">
        <v>50</v>
      </c>
      <c r="D17" s="30"/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/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/>
      <c r="Q17" s="30">
        <v>0</v>
      </c>
      <c r="R17" s="30"/>
      <c r="S17" s="30">
        <v>0</v>
      </c>
      <c r="T17" s="30"/>
      <c r="U17" s="30">
        <v>0</v>
      </c>
      <c r="V17" s="30">
        <v>0</v>
      </c>
      <c r="W17" s="30"/>
      <c r="X17" s="30"/>
      <c r="Y17" s="30"/>
      <c r="Z17" s="50">
        <f t="shared" si="0"/>
        <v>0</v>
      </c>
      <c r="AA17" s="31">
        <f>Z17+Z19</f>
        <v>6</v>
      </c>
    </row>
    <row r="18" spans="1:27" ht="15.5" x14ac:dyDescent="0.35">
      <c r="A18" s="68"/>
      <c r="B18" s="71"/>
      <c r="C18" s="37" t="s">
        <v>54</v>
      </c>
      <c r="D18" s="30"/>
      <c r="E18" s="30">
        <v>2</v>
      </c>
      <c r="F18" s="30">
        <v>0</v>
      </c>
      <c r="G18" s="30">
        <v>1</v>
      </c>
      <c r="H18" s="30">
        <v>0</v>
      </c>
      <c r="I18" s="30">
        <v>46</v>
      </c>
      <c r="J18" s="30"/>
      <c r="K18" s="30">
        <v>0</v>
      </c>
      <c r="L18" s="30">
        <v>1</v>
      </c>
      <c r="M18" s="30">
        <v>4</v>
      </c>
      <c r="N18" s="30">
        <v>8</v>
      </c>
      <c r="O18" s="30">
        <v>0</v>
      </c>
      <c r="P18" s="30"/>
      <c r="Q18" s="30">
        <v>2</v>
      </c>
      <c r="R18" s="30"/>
      <c r="S18" s="30">
        <v>15</v>
      </c>
      <c r="T18" s="30"/>
      <c r="U18" s="30">
        <v>3</v>
      </c>
      <c r="V18" s="30">
        <v>1</v>
      </c>
      <c r="W18" s="30"/>
      <c r="X18" s="30"/>
      <c r="Y18" s="30"/>
      <c r="Z18" s="50">
        <f>SUM(D18:Y18)</f>
        <v>83</v>
      </c>
    </row>
    <row r="19" spans="1:27" ht="15.5" x14ac:dyDescent="0.35">
      <c r="A19" s="68"/>
      <c r="B19" s="74"/>
      <c r="C19" s="25" t="s">
        <v>51</v>
      </c>
      <c r="D19" s="30"/>
      <c r="E19" s="30" t="s">
        <v>57</v>
      </c>
      <c r="F19" s="30">
        <v>0</v>
      </c>
      <c r="G19" s="30">
        <v>0</v>
      </c>
      <c r="H19" s="30">
        <v>0</v>
      </c>
      <c r="I19" s="30">
        <v>6</v>
      </c>
      <c r="J19" s="30"/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/>
      <c r="Q19" s="30">
        <v>0</v>
      </c>
      <c r="R19" s="30"/>
      <c r="S19" s="30">
        <v>0</v>
      </c>
      <c r="T19" s="30"/>
      <c r="U19" s="30">
        <v>0</v>
      </c>
      <c r="V19" s="30">
        <v>0</v>
      </c>
      <c r="W19" s="30"/>
      <c r="X19" s="30"/>
      <c r="Y19" s="30"/>
      <c r="Z19" s="50">
        <f>SUM(D19:Y19)</f>
        <v>6</v>
      </c>
    </row>
    <row r="20" spans="1:27" ht="15.5" x14ac:dyDescent="0.35">
      <c r="A20" s="68"/>
      <c r="B20" s="70" t="s">
        <v>48</v>
      </c>
      <c r="C20" s="37" t="s">
        <v>53</v>
      </c>
      <c r="D20" s="30"/>
      <c r="E20" s="30"/>
      <c r="F20" s="30"/>
      <c r="G20" s="30"/>
      <c r="H20" s="30"/>
      <c r="I20" s="30">
        <v>0</v>
      </c>
      <c r="J20" s="30"/>
      <c r="K20" s="30">
        <v>0</v>
      </c>
      <c r="L20" s="30">
        <v>0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50">
        <f t="shared" si="0"/>
        <v>0</v>
      </c>
      <c r="AA20" s="31">
        <f>Z20+Z22</f>
        <v>3</v>
      </c>
    </row>
    <row r="21" spans="1:27" ht="15.5" x14ac:dyDescent="0.35">
      <c r="A21" s="68"/>
      <c r="B21" s="71"/>
      <c r="C21" s="25" t="s">
        <v>50</v>
      </c>
      <c r="D21" s="30"/>
      <c r="E21" s="30"/>
      <c r="F21" s="30"/>
      <c r="G21" s="30"/>
      <c r="H21" s="30"/>
      <c r="I21" s="30">
        <v>0</v>
      </c>
      <c r="J21" s="30"/>
      <c r="K21" s="30">
        <v>0</v>
      </c>
      <c r="L21" s="30">
        <v>0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50">
        <f t="shared" si="0"/>
        <v>0</v>
      </c>
      <c r="AA21" s="31">
        <f>Z21+Z23</f>
        <v>0</v>
      </c>
    </row>
    <row r="22" spans="1:27" ht="15.5" x14ac:dyDescent="0.35">
      <c r="A22" s="68"/>
      <c r="B22" s="71"/>
      <c r="C22" s="37" t="s">
        <v>54</v>
      </c>
      <c r="D22" s="30"/>
      <c r="E22" s="30"/>
      <c r="F22" s="30"/>
      <c r="G22" s="30"/>
      <c r="H22" s="30"/>
      <c r="I22" s="30">
        <v>3</v>
      </c>
      <c r="J22" s="30"/>
      <c r="K22" s="30">
        <v>0</v>
      </c>
      <c r="L22" s="30">
        <v>0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50">
        <f>SUM(D22:Y22)</f>
        <v>3</v>
      </c>
    </row>
    <row r="23" spans="1:27" ht="15.5" x14ac:dyDescent="0.35">
      <c r="A23" s="68"/>
      <c r="B23" s="74"/>
      <c r="C23" s="25" t="s">
        <v>51</v>
      </c>
      <c r="D23" s="30"/>
      <c r="E23" s="30"/>
      <c r="F23" s="30"/>
      <c r="G23" s="30"/>
      <c r="H23" s="30"/>
      <c r="I23" s="30">
        <v>0</v>
      </c>
      <c r="J23" s="30"/>
      <c r="K23" s="30">
        <v>0</v>
      </c>
      <c r="L23" s="30">
        <v>0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50">
        <f t="shared" si="0"/>
        <v>0</v>
      </c>
    </row>
    <row r="24" spans="1:27" ht="15.5" x14ac:dyDescent="0.35">
      <c r="A24" s="68"/>
      <c r="B24" s="70" t="s">
        <v>49</v>
      </c>
      <c r="C24" s="37" t="s">
        <v>53</v>
      </c>
      <c r="D24" s="30"/>
      <c r="E24" s="30"/>
      <c r="F24" s="30"/>
      <c r="G24" s="30">
        <v>0</v>
      </c>
      <c r="H24" s="30"/>
      <c r="I24" s="30">
        <v>0</v>
      </c>
      <c r="J24" s="30"/>
      <c r="K24" s="30">
        <v>1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50">
        <f t="shared" si="0"/>
        <v>1</v>
      </c>
      <c r="AA24" s="31">
        <f>Z24+Z26</f>
        <v>6</v>
      </c>
    </row>
    <row r="25" spans="1:27" ht="15.5" x14ac:dyDescent="0.35">
      <c r="A25" s="68"/>
      <c r="B25" s="71"/>
      <c r="C25" s="25" t="s">
        <v>50</v>
      </c>
      <c r="D25" s="30"/>
      <c r="E25" s="30"/>
      <c r="F25" s="30"/>
      <c r="G25" s="30">
        <v>0</v>
      </c>
      <c r="H25" s="30"/>
      <c r="I25" s="30">
        <v>0</v>
      </c>
      <c r="J25" s="30"/>
      <c r="K25" s="30">
        <v>1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50">
        <f t="shared" si="0"/>
        <v>1</v>
      </c>
      <c r="AA25" s="31">
        <f>Z25+Z27</f>
        <v>2</v>
      </c>
    </row>
    <row r="26" spans="1:27" ht="15.5" x14ac:dyDescent="0.35">
      <c r="A26" s="68"/>
      <c r="B26" s="71"/>
      <c r="C26" s="37" t="s">
        <v>54</v>
      </c>
      <c r="D26" s="30"/>
      <c r="E26" s="30"/>
      <c r="F26" s="30"/>
      <c r="G26" s="30">
        <v>0</v>
      </c>
      <c r="H26" s="30"/>
      <c r="I26" s="30">
        <v>3</v>
      </c>
      <c r="J26" s="30"/>
      <c r="K26" s="30">
        <v>2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50">
        <f t="shared" si="0"/>
        <v>5</v>
      </c>
    </row>
    <row r="27" spans="1:27" ht="15.5" x14ac:dyDescent="0.35">
      <c r="A27" s="68"/>
      <c r="B27" s="74"/>
      <c r="C27" s="25" t="s">
        <v>51</v>
      </c>
      <c r="D27" s="30"/>
      <c r="E27" s="30"/>
      <c r="F27" s="30"/>
      <c r="G27" s="30">
        <v>0</v>
      </c>
      <c r="H27" s="30"/>
      <c r="I27" s="30">
        <v>0</v>
      </c>
      <c r="J27" s="30"/>
      <c r="K27" s="30">
        <v>1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50">
        <f t="shared" si="0"/>
        <v>1</v>
      </c>
    </row>
    <row r="28" spans="1:27" ht="9" customHeight="1" x14ac:dyDescent="0.35">
      <c r="A28" s="68"/>
      <c r="B28" s="52"/>
      <c r="C28" s="25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50"/>
    </row>
    <row r="29" spans="1:27" ht="15.5" x14ac:dyDescent="0.35">
      <c r="A29" s="68"/>
      <c r="B29" s="70" t="s">
        <v>28</v>
      </c>
      <c r="C29" s="37" t="s">
        <v>53</v>
      </c>
      <c r="D29" s="30">
        <v>1</v>
      </c>
      <c r="E29" s="30">
        <v>0</v>
      </c>
      <c r="F29" s="30">
        <v>8</v>
      </c>
      <c r="G29" s="30">
        <v>0</v>
      </c>
      <c r="H29" s="30">
        <v>20</v>
      </c>
      <c r="I29" s="30">
        <v>0</v>
      </c>
      <c r="J29" s="30">
        <v>1</v>
      </c>
      <c r="K29" s="30">
        <v>8</v>
      </c>
      <c r="L29" s="30">
        <v>0</v>
      </c>
      <c r="M29" s="30"/>
      <c r="N29" s="30"/>
      <c r="O29" s="30">
        <v>2</v>
      </c>
      <c r="P29" s="30"/>
      <c r="Q29" s="30">
        <v>0</v>
      </c>
      <c r="R29" s="30"/>
      <c r="S29" s="30">
        <v>0</v>
      </c>
      <c r="T29" s="30"/>
      <c r="U29" s="30">
        <v>3</v>
      </c>
      <c r="V29" s="30">
        <v>2</v>
      </c>
      <c r="W29" s="30"/>
      <c r="X29" s="30"/>
      <c r="Y29" s="30"/>
      <c r="Z29" s="50">
        <f>SUM(D29:Y29)</f>
        <v>45</v>
      </c>
      <c r="AA29" s="31">
        <f>Z29+Z31</f>
        <v>115</v>
      </c>
    </row>
    <row r="30" spans="1:27" ht="15.5" x14ac:dyDescent="0.35">
      <c r="A30" s="68"/>
      <c r="B30" s="71"/>
      <c r="C30" s="25" t="s">
        <v>50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/>
      <c r="O30" s="30">
        <v>0</v>
      </c>
      <c r="P30" s="30"/>
      <c r="Q30" s="30">
        <v>0</v>
      </c>
      <c r="R30" s="30"/>
      <c r="S30" s="30">
        <v>0</v>
      </c>
      <c r="T30" s="30"/>
      <c r="U30" s="30">
        <v>0</v>
      </c>
      <c r="V30" s="30">
        <v>0</v>
      </c>
      <c r="W30" s="30"/>
      <c r="X30" s="30"/>
      <c r="Y30" s="30"/>
      <c r="Z30" s="50">
        <f t="shared" si="0"/>
        <v>0</v>
      </c>
      <c r="AA30" s="31">
        <f>Z30+Z32</f>
        <v>0</v>
      </c>
    </row>
    <row r="31" spans="1:27" ht="15.5" x14ac:dyDescent="0.35">
      <c r="A31" s="68"/>
      <c r="B31" s="71"/>
      <c r="C31" s="37" t="s">
        <v>54</v>
      </c>
      <c r="D31" s="30">
        <v>0</v>
      </c>
      <c r="E31" s="30">
        <v>3</v>
      </c>
      <c r="F31" s="30">
        <v>0</v>
      </c>
      <c r="G31" s="30">
        <v>6</v>
      </c>
      <c r="H31" s="30">
        <v>20</v>
      </c>
      <c r="I31" s="30">
        <v>16</v>
      </c>
      <c r="J31" s="30">
        <v>2</v>
      </c>
      <c r="K31" s="30">
        <v>6</v>
      </c>
      <c r="L31" s="30">
        <v>1</v>
      </c>
      <c r="M31" s="30"/>
      <c r="N31" s="30"/>
      <c r="O31" s="30">
        <v>0</v>
      </c>
      <c r="P31" s="30"/>
      <c r="Q31" s="30">
        <v>1</v>
      </c>
      <c r="R31" s="30"/>
      <c r="S31" s="30">
        <v>6</v>
      </c>
      <c r="T31" s="30"/>
      <c r="U31" s="30">
        <v>3</v>
      </c>
      <c r="V31" s="30">
        <v>6</v>
      </c>
      <c r="W31" s="30"/>
      <c r="X31" s="30"/>
      <c r="Y31" s="30"/>
      <c r="Z31" s="50">
        <f>SUM(D31:Y31)</f>
        <v>70</v>
      </c>
    </row>
    <row r="32" spans="1:27" ht="16" thickBot="1" x14ac:dyDescent="0.4">
      <c r="A32" s="69"/>
      <c r="B32" s="72"/>
      <c r="C32" s="53" t="s">
        <v>51</v>
      </c>
      <c r="D32" s="54">
        <v>0</v>
      </c>
      <c r="E32" s="30">
        <v>0</v>
      </c>
      <c r="F32" s="54">
        <v>0</v>
      </c>
      <c r="G32" s="30">
        <v>0</v>
      </c>
      <c r="H32" s="30">
        <v>0</v>
      </c>
      <c r="I32" s="30">
        <v>0</v>
      </c>
      <c r="J32" s="30"/>
      <c r="K32" s="30">
        <v>0</v>
      </c>
      <c r="L32" s="30">
        <v>0</v>
      </c>
      <c r="M32" s="54"/>
      <c r="N32" s="54"/>
      <c r="O32" s="30">
        <v>0</v>
      </c>
      <c r="P32" s="54"/>
      <c r="Q32" s="30">
        <v>0</v>
      </c>
      <c r="R32" s="54"/>
      <c r="S32" s="30">
        <v>0</v>
      </c>
      <c r="T32" s="54"/>
      <c r="U32" s="30">
        <v>0</v>
      </c>
      <c r="V32" s="30">
        <v>0</v>
      </c>
      <c r="W32" s="54"/>
      <c r="X32" s="54"/>
      <c r="Y32" s="54"/>
      <c r="Z32" s="55">
        <f>SUM(D32:Y32)</f>
        <v>0</v>
      </c>
    </row>
    <row r="33" spans="1:27" ht="8.5" customHeight="1" thickBot="1" x14ac:dyDescent="0.4">
      <c r="A33" s="56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57"/>
    </row>
    <row r="34" spans="1:27" ht="15.5" x14ac:dyDescent="0.35">
      <c r="A34" s="67" t="s">
        <v>24</v>
      </c>
      <c r="B34" s="73" t="s">
        <v>37</v>
      </c>
      <c r="C34" s="58" t="s">
        <v>53</v>
      </c>
      <c r="D34" s="48">
        <v>13</v>
      </c>
      <c r="E34" s="48">
        <v>31</v>
      </c>
      <c r="F34" s="48">
        <v>0</v>
      </c>
      <c r="G34" s="48">
        <v>0</v>
      </c>
      <c r="H34" s="48">
        <v>1</v>
      </c>
      <c r="I34" s="48">
        <v>4</v>
      </c>
      <c r="J34" s="48"/>
      <c r="K34" s="48">
        <v>4</v>
      </c>
      <c r="L34" s="48">
        <v>2</v>
      </c>
      <c r="M34" s="48"/>
      <c r="N34" s="48"/>
      <c r="O34" s="48"/>
      <c r="P34" s="48"/>
      <c r="Q34" s="48">
        <v>16</v>
      </c>
      <c r="R34" s="48"/>
      <c r="S34" s="48"/>
      <c r="T34" s="48"/>
      <c r="U34" s="48"/>
      <c r="V34" s="48"/>
      <c r="W34" s="48"/>
      <c r="X34" s="48"/>
      <c r="Y34" s="48"/>
      <c r="Z34" s="49">
        <f t="shared" si="0"/>
        <v>71</v>
      </c>
      <c r="AA34" s="31">
        <f>Z34+Z36</f>
        <v>87</v>
      </c>
    </row>
    <row r="35" spans="1:27" ht="15.5" x14ac:dyDescent="0.35">
      <c r="A35" s="68"/>
      <c r="B35" s="71"/>
      <c r="C35" s="25" t="s">
        <v>50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/>
      <c r="K35" s="30">
        <v>1</v>
      </c>
      <c r="L35" s="30">
        <v>0</v>
      </c>
      <c r="M35" s="30"/>
      <c r="N35" s="30"/>
      <c r="O35" s="30"/>
      <c r="P35" s="30"/>
      <c r="Q35" s="30">
        <v>1</v>
      </c>
      <c r="R35" s="30"/>
      <c r="S35" s="30"/>
      <c r="T35" s="30"/>
      <c r="U35" s="30"/>
      <c r="V35" s="30"/>
      <c r="W35" s="30"/>
      <c r="X35" s="30"/>
      <c r="Y35" s="30"/>
      <c r="Z35" s="50">
        <f t="shared" si="0"/>
        <v>2</v>
      </c>
      <c r="AA35" s="31">
        <f>Z35+Z37</f>
        <v>3</v>
      </c>
    </row>
    <row r="36" spans="1:27" ht="15.5" x14ac:dyDescent="0.35">
      <c r="A36" s="68"/>
      <c r="B36" s="71"/>
      <c r="C36" s="37" t="s">
        <v>54</v>
      </c>
      <c r="D36" s="30">
        <v>0</v>
      </c>
      <c r="E36" s="30">
        <v>0</v>
      </c>
      <c r="F36" s="30">
        <v>0</v>
      </c>
      <c r="G36" s="30"/>
      <c r="H36" s="30"/>
      <c r="I36" s="30">
        <v>4</v>
      </c>
      <c r="J36" s="30"/>
      <c r="K36" s="30">
        <v>0</v>
      </c>
      <c r="L36" s="30">
        <v>0</v>
      </c>
      <c r="M36" s="30"/>
      <c r="N36" s="30"/>
      <c r="O36" s="30"/>
      <c r="P36" s="30"/>
      <c r="Q36" s="30">
        <v>12</v>
      </c>
      <c r="R36" s="30"/>
      <c r="S36" s="30"/>
      <c r="T36" s="30"/>
      <c r="U36" s="30"/>
      <c r="V36" s="30"/>
      <c r="W36" s="30"/>
      <c r="X36" s="30"/>
      <c r="Y36" s="30"/>
      <c r="Z36" s="50">
        <f t="shared" si="0"/>
        <v>16</v>
      </c>
    </row>
    <row r="37" spans="1:27" ht="15.5" x14ac:dyDescent="0.35">
      <c r="A37" s="68"/>
      <c r="B37" s="74"/>
      <c r="C37" s="25" t="s">
        <v>51</v>
      </c>
      <c r="D37" s="30">
        <v>0</v>
      </c>
      <c r="E37" s="30">
        <v>0</v>
      </c>
      <c r="F37" s="30">
        <v>0</v>
      </c>
      <c r="G37" s="30"/>
      <c r="H37" s="30"/>
      <c r="I37" s="30">
        <v>0</v>
      </c>
      <c r="J37" s="30"/>
      <c r="K37" s="30">
        <v>0</v>
      </c>
      <c r="L37" s="30"/>
      <c r="M37" s="30"/>
      <c r="N37" s="30"/>
      <c r="O37" s="30"/>
      <c r="P37" s="30"/>
      <c r="Q37" s="30">
        <v>1</v>
      </c>
      <c r="R37" s="30"/>
      <c r="S37" s="30"/>
      <c r="T37" s="30"/>
      <c r="U37" s="30"/>
      <c r="V37" s="30"/>
      <c r="W37" s="30"/>
      <c r="X37" s="30"/>
      <c r="Y37" s="30"/>
      <c r="Z37" s="50">
        <f t="shared" si="0"/>
        <v>1</v>
      </c>
    </row>
    <row r="38" spans="1:27" ht="8.5" customHeight="1" x14ac:dyDescent="0.35">
      <c r="A38" s="68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50"/>
    </row>
    <row r="39" spans="1:27" ht="15.5" x14ac:dyDescent="0.35">
      <c r="A39" s="68"/>
      <c r="B39" s="70" t="s">
        <v>28</v>
      </c>
      <c r="C39" s="37" t="s">
        <v>53</v>
      </c>
      <c r="D39" s="30">
        <v>48</v>
      </c>
      <c r="E39" s="30">
        <v>46</v>
      </c>
      <c r="F39" s="30">
        <v>15</v>
      </c>
      <c r="G39" s="30">
        <v>141</v>
      </c>
      <c r="H39" s="30">
        <v>93</v>
      </c>
      <c r="I39" s="30"/>
      <c r="J39" s="30">
        <v>50</v>
      </c>
      <c r="K39" s="30">
        <v>36</v>
      </c>
      <c r="L39" s="30">
        <v>15</v>
      </c>
      <c r="M39" s="30">
        <v>14</v>
      </c>
      <c r="N39" s="30">
        <v>12</v>
      </c>
      <c r="O39" s="30">
        <v>14</v>
      </c>
      <c r="P39" s="30"/>
      <c r="Q39" s="30">
        <v>2</v>
      </c>
      <c r="R39" s="30"/>
      <c r="S39" s="30">
        <v>28</v>
      </c>
      <c r="T39" s="30"/>
      <c r="U39" s="30">
        <v>94</v>
      </c>
      <c r="V39" s="30">
        <v>27</v>
      </c>
      <c r="W39" s="30">
        <v>24</v>
      </c>
      <c r="X39" s="30">
        <v>16</v>
      </c>
      <c r="Y39" s="30">
        <v>21</v>
      </c>
      <c r="Z39" s="50">
        <f t="shared" ref="Z39:Z70" si="1">SUM(D39:Y39)</f>
        <v>696</v>
      </c>
      <c r="AA39" s="31">
        <f>Z39+Z41</f>
        <v>1118</v>
      </c>
    </row>
    <row r="40" spans="1:27" ht="15.5" x14ac:dyDescent="0.35">
      <c r="A40" s="68"/>
      <c r="B40" s="71"/>
      <c r="C40" s="25" t="s">
        <v>50</v>
      </c>
      <c r="D40" s="30">
        <v>0</v>
      </c>
      <c r="E40" s="30">
        <v>0</v>
      </c>
      <c r="F40" s="30">
        <v>0</v>
      </c>
      <c r="G40" s="30">
        <v>2</v>
      </c>
      <c r="H40" s="30">
        <v>0</v>
      </c>
      <c r="I40" s="30"/>
      <c r="J40" s="30">
        <v>3</v>
      </c>
      <c r="K40" s="30">
        <v>0</v>
      </c>
      <c r="L40" s="30">
        <v>0</v>
      </c>
      <c r="M40" s="30">
        <v>0</v>
      </c>
      <c r="N40" s="30">
        <v>2</v>
      </c>
      <c r="O40" s="30">
        <v>1</v>
      </c>
      <c r="P40" s="30"/>
      <c r="Q40" s="30">
        <v>0</v>
      </c>
      <c r="R40" s="30"/>
      <c r="S40" s="30">
        <v>1</v>
      </c>
      <c r="T40" s="30"/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50">
        <f t="shared" si="1"/>
        <v>9</v>
      </c>
      <c r="AA40" s="31">
        <f>Z40+Z42</f>
        <v>15</v>
      </c>
    </row>
    <row r="41" spans="1:27" ht="15.5" x14ac:dyDescent="0.35">
      <c r="A41" s="68"/>
      <c r="B41" s="71"/>
      <c r="C41" s="37" t="s">
        <v>54</v>
      </c>
      <c r="D41" s="30">
        <v>0</v>
      </c>
      <c r="E41" s="30">
        <v>0</v>
      </c>
      <c r="F41" s="30">
        <v>0</v>
      </c>
      <c r="G41" s="30">
        <v>1</v>
      </c>
      <c r="H41" s="30">
        <v>76</v>
      </c>
      <c r="I41" s="30"/>
      <c r="J41" s="30">
        <v>50</v>
      </c>
      <c r="K41" s="30">
        <v>38</v>
      </c>
      <c r="L41" s="30">
        <v>15</v>
      </c>
      <c r="M41" s="30">
        <v>12</v>
      </c>
      <c r="N41" s="30">
        <v>12</v>
      </c>
      <c r="O41" s="30">
        <v>9</v>
      </c>
      <c r="P41" s="30"/>
      <c r="Q41" s="30">
        <v>6</v>
      </c>
      <c r="R41" s="30"/>
      <c r="S41" s="30">
        <v>21</v>
      </c>
      <c r="T41" s="30"/>
      <c r="U41" s="30">
        <v>106</v>
      </c>
      <c r="V41" s="30">
        <v>14</v>
      </c>
      <c r="W41" s="30">
        <v>21</v>
      </c>
      <c r="X41" s="30">
        <v>17</v>
      </c>
      <c r="Y41" s="30">
        <v>24</v>
      </c>
      <c r="Z41" s="50">
        <f t="shared" si="1"/>
        <v>422</v>
      </c>
    </row>
    <row r="42" spans="1:27" ht="15.5" x14ac:dyDescent="0.35">
      <c r="A42" s="68"/>
      <c r="B42" s="74"/>
      <c r="C42" s="25" t="s">
        <v>51</v>
      </c>
      <c r="D42" s="30">
        <v>0</v>
      </c>
      <c r="E42" s="30">
        <v>0</v>
      </c>
      <c r="F42" s="30">
        <v>0</v>
      </c>
      <c r="G42" s="30">
        <v>0</v>
      </c>
      <c r="H42" s="30">
        <v>1</v>
      </c>
      <c r="I42" s="30"/>
      <c r="J42" s="30">
        <v>0</v>
      </c>
      <c r="K42" s="30">
        <v>1</v>
      </c>
      <c r="L42" s="30">
        <v>0</v>
      </c>
      <c r="M42" s="30">
        <v>0</v>
      </c>
      <c r="N42" s="30">
        <v>2</v>
      </c>
      <c r="O42" s="30">
        <v>0</v>
      </c>
      <c r="P42" s="30"/>
      <c r="Q42" s="30">
        <v>1</v>
      </c>
      <c r="R42" s="30"/>
      <c r="S42" s="30">
        <v>1</v>
      </c>
      <c r="T42" s="30"/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50">
        <f t="shared" si="1"/>
        <v>6</v>
      </c>
    </row>
    <row r="43" spans="1:27" ht="7.5" customHeight="1" x14ac:dyDescent="0.35">
      <c r="A43" s="68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50"/>
    </row>
    <row r="44" spans="1:27" ht="15.5" x14ac:dyDescent="0.35">
      <c r="A44" s="68"/>
      <c r="B44" s="70" t="s">
        <v>26</v>
      </c>
      <c r="C44" s="37" t="s">
        <v>53</v>
      </c>
      <c r="D44" s="30"/>
      <c r="E44" s="30"/>
      <c r="F44" s="30"/>
      <c r="G44" s="30"/>
      <c r="H44" s="30"/>
      <c r="I44" s="30">
        <v>9</v>
      </c>
      <c r="J44" s="30">
        <v>50</v>
      </c>
      <c r="K44" s="30">
        <v>24</v>
      </c>
      <c r="L44" s="30">
        <v>28</v>
      </c>
      <c r="M44" s="30"/>
      <c r="N44" s="30"/>
      <c r="O44" s="30"/>
      <c r="P44" s="30"/>
      <c r="Q44" s="30">
        <v>10</v>
      </c>
      <c r="R44" s="30"/>
      <c r="S44" s="30"/>
      <c r="T44" s="30"/>
      <c r="U44" s="30">
        <v>0</v>
      </c>
      <c r="V44" s="30">
        <v>5</v>
      </c>
      <c r="W44" s="30"/>
      <c r="X44" s="30"/>
      <c r="Y44" s="30"/>
      <c r="Z44" s="50">
        <f t="shared" si="1"/>
        <v>126</v>
      </c>
      <c r="AA44" s="31">
        <f>Z44+Z46</f>
        <v>261</v>
      </c>
    </row>
    <row r="45" spans="1:27" ht="15.5" x14ac:dyDescent="0.35">
      <c r="A45" s="68"/>
      <c r="B45" s="71"/>
      <c r="C45" s="25" t="s">
        <v>50</v>
      </c>
      <c r="D45" s="30"/>
      <c r="E45" s="30"/>
      <c r="F45" s="30"/>
      <c r="G45" s="30"/>
      <c r="H45" s="30"/>
      <c r="I45" s="30">
        <v>0</v>
      </c>
      <c r="J45" s="30">
        <v>1</v>
      </c>
      <c r="K45" s="30">
        <v>2</v>
      </c>
      <c r="L45" s="30">
        <v>0</v>
      </c>
      <c r="M45" s="30"/>
      <c r="N45" s="30"/>
      <c r="O45" s="30"/>
      <c r="P45" s="30"/>
      <c r="Q45" s="30">
        <v>0</v>
      </c>
      <c r="R45" s="30"/>
      <c r="S45" s="30"/>
      <c r="T45" s="30"/>
      <c r="U45" s="30">
        <v>0</v>
      </c>
      <c r="V45" s="30">
        <v>0</v>
      </c>
      <c r="W45" s="30"/>
      <c r="X45" s="30"/>
      <c r="Y45" s="30"/>
      <c r="Z45" s="50">
        <f t="shared" si="1"/>
        <v>3</v>
      </c>
      <c r="AA45" s="31">
        <f>Z45+Z47</f>
        <v>7</v>
      </c>
    </row>
    <row r="46" spans="1:27" ht="15.5" x14ac:dyDescent="0.35">
      <c r="A46" s="68"/>
      <c r="B46" s="71"/>
      <c r="C46" s="25" t="s">
        <v>54</v>
      </c>
      <c r="D46" s="30"/>
      <c r="E46" s="30"/>
      <c r="F46" s="30"/>
      <c r="G46" s="30"/>
      <c r="H46" s="30"/>
      <c r="I46" s="30">
        <v>4</v>
      </c>
      <c r="J46" s="30">
        <v>50</v>
      </c>
      <c r="K46" s="30">
        <v>32</v>
      </c>
      <c r="L46" s="30">
        <v>28</v>
      </c>
      <c r="M46" s="30"/>
      <c r="N46" s="30"/>
      <c r="O46" s="30"/>
      <c r="P46" s="30"/>
      <c r="Q46" s="30">
        <v>11</v>
      </c>
      <c r="R46" s="30"/>
      <c r="S46" s="30"/>
      <c r="T46" s="30"/>
      <c r="U46" s="30">
        <v>4</v>
      </c>
      <c r="V46" s="30">
        <v>6</v>
      </c>
      <c r="W46" s="30"/>
      <c r="X46" s="30"/>
      <c r="Y46" s="30"/>
      <c r="Z46" s="50">
        <f t="shared" si="1"/>
        <v>135</v>
      </c>
    </row>
    <row r="47" spans="1:27" ht="15.5" x14ac:dyDescent="0.35">
      <c r="A47" s="68"/>
      <c r="B47" s="74"/>
      <c r="C47" s="37" t="s">
        <v>51</v>
      </c>
      <c r="D47" s="30"/>
      <c r="E47" s="30"/>
      <c r="F47" s="30"/>
      <c r="G47" s="30"/>
      <c r="H47" s="30"/>
      <c r="I47" s="30">
        <v>0</v>
      </c>
      <c r="J47" s="30">
        <v>1</v>
      </c>
      <c r="K47" s="30">
        <v>3</v>
      </c>
      <c r="L47" s="30">
        <v>0</v>
      </c>
      <c r="M47" s="30"/>
      <c r="N47" s="30"/>
      <c r="O47" s="30"/>
      <c r="P47" s="30"/>
      <c r="Q47" s="30">
        <v>0</v>
      </c>
      <c r="R47" s="30"/>
      <c r="S47" s="30"/>
      <c r="T47" s="30"/>
      <c r="U47" s="30">
        <v>0</v>
      </c>
      <c r="V47" s="30">
        <v>0</v>
      </c>
      <c r="W47" s="30"/>
      <c r="X47" s="30"/>
      <c r="Y47" s="30"/>
      <c r="Z47" s="50">
        <f t="shared" si="1"/>
        <v>4</v>
      </c>
    </row>
    <row r="48" spans="1:27" ht="9" customHeight="1" x14ac:dyDescent="0.35">
      <c r="A48" s="68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50"/>
    </row>
    <row r="49" spans="1:29" ht="15.5" x14ac:dyDescent="0.35">
      <c r="A49" s="68"/>
      <c r="B49" s="70" t="s">
        <v>27</v>
      </c>
      <c r="C49" s="37" t="s">
        <v>53</v>
      </c>
      <c r="D49" s="30">
        <v>8</v>
      </c>
      <c r="E49" s="30">
        <v>8</v>
      </c>
      <c r="F49" s="30"/>
      <c r="G49" s="30">
        <v>3</v>
      </c>
      <c r="H49" s="30"/>
      <c r="I49" s="30">
        <v>3</v>
      </c>
      <c r="J49" s="30"/>
      <c r="K49" s="30"/>
      <c r="L49" s="30">
        <v>1</v>
      </c>
      <c r="M49" s="30"/>
      <c r="N49" s="30"/>
      <c r="O49" s="30">
        <v>0</v>
      </c>
      <c r="P49" s="30"/>
      <c r="Q49" s="30"/>
      <c r="R49" s="30"/>
      <c r="S49" s="30"/>
      <c r="T49" s="30"/>
      <c r="U49" s="30">
        <v>1</v>
      </c>
      <c r="V49" s="30"/>
      <c r="W49" s="30"/>
      <c r="X49" s="30"/>
      <c r="Y49" s="30"/>
      <c r="Z49" s="50">
        <f t="shared" si="1"/>
        <v>24</v>
      </c>
      <c r="AA49" s="31">
        <f>Z49+Z51</f>
        <v>30</v>
      </c>
    </row>
    <row r="50" spans="1:29" ht="15.5" x14ac:dyDescent="0.35">
      <c r="A50" s="68"/>
      <c r="B50" s="71"/>
      <c r="C50" s="25" t="s">
        <v>50</v>
      </c>
      <c r="D50" s="30">
        <v>0</v>
      </c>
      <c r="E50" s="30">
        <v>0</v>
      </c>
      <c r="F50" s="30"/>
      <c r="G50" s="30">
        <v>0</v>
      </c>
      <c r="H50" s="30"/>
      <c r="I50" s="30">
        <v>0</v>
      </c>
      <c r="J50" s="30"/>
      <c r="K50" s="30"/>
      <c r="L50" s="30">
        <v>0</v>
      </c>
      <c r="M50" s="30"/>
      <c r="N50" s="30"/>
      <c r="O50" s="30">
        <v>0</v>
      </c>
      <c r="P50" s="30"/>
      <c r="Q50" s="30"/>
      <c r="R50" s="30"/>
      <c r="S50" s="30"/>
      <c r="T50" s="30"/>
      <c r="U50" s="30">
        <v>0</v>
      </c>
      <c r="V50" s="30"/>
      <c r="W50" s="30"/>
      <c r="X50" s="30"/>
      <c r="Y50" s="30"/>
      <c r="Z50" s="50">
        <f t="shared" si="1"/>
        <v>0</v>
      </c>
      <c r="AA50" s="31">
        <f>Z50+Z52</f>
        <v>1</v>
      </c>
    </row>
    <row r="51" spans="1:29" ht="15.5" x14ac:dyDescent="0.35">
      <c r="A51" s="68"/>
      <c r="B51" s="71"/>
      <c r="C51" s="37" t="s">
        <v>54</v>
      </c>
      <c r="D51" s="30">
        <v>0</v>
      </c>
      <c r="E51" s="30">
        <v>0</v>
      </c>
      <c r="F51" s="30"/>
      <c r="G51" s="30">
        <v>2</v>
      </c>
      <c r="H51" s="30"/>
      <c r="I51" s="30">
        <v>1</v>
      </c>
      <c r="J51" s="30"/>
      <c r="K51" s="30"/>
      <c r="L51" s="30">
        <v>1</v>
      </c>
      <c r="M51" s="30"/>
      <c r="N51" s="30"/>
      <c r="O51" s="30">
        <v>1</v>
      </c>
      <c r="P51" s="30"/>
      <c r="Q51" s="30">
        <v>1</v>
      </c>
      <c r="R51" s="30"/>
      <c r="S51" s="30"/>
      <c r="T51" s="30"/>
      <c r="U51" s="30">
        <v>0</v>
      </c>
      <c r="V51" s="30"/>
      <c r="W51" s="30"/>
      <c r="X51" s="30"/>
      <c r="Y51" s="30"/>
      <c r="Z51" s="50">
        <f t="shared" si="1"/>
        <v>6</v>
      </c>
    </row>
    <row r="52" spans="1:29" ht="15.5" x14ac:dyDescent="0.35">
      <c r="A52" s="68"/>
      <c r="B52" s="74"/>
      <c r="C52" s="25" t="s">
        <v>51</v>
      </c>
      <c r="D52" s="30">
        <v>0</v>
      </c>
      <c r="E52" s="30">
        <v>0</v>
      </c>
      <c r="F52" s="30"/>
      <c r="G52" s="30">
        <v>0</v>
      </c>
      <c r="H52" s="30"/>
      <c r="I52" s="30">
        <v>0</v>
      </c>
      <c r="J52" s="30"/>
      <c r="K52" s="30"/>
      <c r="L52" s="30">
        <v>0</v>
      </c>
      <c r="M52" s="30"/>
      <c r="N52" s="30"/>
      <c r="O52" s="30">
        <v>1</v>
      </c>
      <c r="P52" s="30"/>
      <c r="Q52" s="30">
        <v>0</v>
      </c>
      <c r="R52" s="30"/>
      <c r="S52" s="30"/>
      <c r="T52" s="30"/>
      <c r="U52" s="30">
        <v>0</v>
      </c>
      <c r="V52" s="30"/>
      <c r="W52" s="30"/>
      <c r="X52" s="30"/>
      <c r="Y52" s="30"/>
      <c r="Z52" s="50">
        <f t="shared" si="1"/>
        <v>1</v>
      </c>
    </row>
    <row r="53" spans="1:29" ht="15.5" x14ac:dyDescent="0.35">
      <c r="A53" s="68"/>
      <c r="B53" s="70" t="s">
        <v>52</v>
      </c>
      <c r="C53" s="37" t="s">
        <v>53</v>
      </c>
      <c r="D53" s="30"/>
      <c r="E53" s="30"/>
      <c r="F53" s="30"/>
      <c r="G53" s="30"/>
      <c r="H53" s="30">
        <v>1</v>
      </c>
      <c r="I53" s="30">
        <v>3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50">
        <f t="shared" si="1"/>
        <v>4</v>
      </c>
      <c r="AA53" s="31">
        <f>Z53+Z55</f>
        <v>5</v>
      </c>
    </row>
    <row r="54" spans="1:29" ht="15.5" x14ac:dyDescent="0.35">
      <c r="A54" s="68"/>
      <c r="B54" s="71"/>
      <c r="C54" s="25" t="s">
        <v>50</v>
      </c>
      <c r="D54" s="30"/>
      <c r="E54" s="30"/>
      <c r="F54" s="30"/>
      <c r="G54" s="30"/>
      <c r="H54" s="30">
        <v>0</v>
      </c>
      <c r="I54" s="30">
        <v>0</v>
      </c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50">
        <f t="shared" si="1"/>
        <v>0</v>
      </c>
      <c r="AA54" s="31">
        <f>Z54+Z56</f>
        <v>0</v>
      </c>
    </row>
    <row r="55" spans="1:29" ht="15.5" x14ac:dyDescent="0.35">
      <c r="A55" s="68"/>
      <c r="B55" s="71"/>
      <c r="C55" s="37" t="s">
        <v>54</v>
      </c>
      <c r="D55" s="30"/>
      <c r="E55" s="30"/>
      <c r="F55" s="30"/>
      <c r="G55" s="30"/>
      <c r="H55" s="30">
        <v>0</v>
      </c>
      <c r="I55" s="30">
        <v>1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50">
        <f t="shared" si="1"/>
        <v>1</v>
      </c>
    </row>
    <row r="56" spans="1:29" ht="15.5" x14ac:dyDescent="0.35">
      <c r="A56" s="68"/>
      <c r="B56" s="74"/>
      <c r="C56" s="25" t="s">
        <v>51</v>
      </c>
      <c r="D56" s="30"/>
      <c r="E56" s="30"/>
      <c r="F56" s="30"/>
      <c r="G56" s="30"/>
      <c r="H56" s="30">
        <v>0</v>
      </c>
      <c r="I56" s="30">
        <v>0</v>
      </c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50">
        <f t="shared" si="1"/>
        <v>0</v>
      </c>
    </row>
    <row r="57" spans="1:29" ht="8.5" customHeight="1" x14ac:dyDescent="0.35">
      <c r="A57" s="68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50"/>
    </row>
    <row r="58" spans="1:29" ht="15.5" x14ac:dyDescent="0.35">
      <c r="A58" s="68"/>
      <c r="B58" s="70" t="s">
        <v>21</v>
      </c>
      <c r="C58" s="37" t="s">
        <v>53</v>
      </c>
      <c r="D58" s="30">
        <v>177</v>
      </c>
      <c r="E58" s="30">
        <v>189</v>
      </c>
      <c r="F58" s="30">
        <v>5</v>
      </c>
      <c r="G58" s="30"/>
      <c r="H58" s="30"/>
      <c r="I58" s="30"/>
      <c r="J58" s="30">
        <v>8</v>
      </c>
      <c r="K58" s="30">
        <v>1</v>
      </c>
      <c r="L58" s="30">
        <v>0</v>
      </c>
      <c r="M58" s="30">
        <v>4</v>
      </c>
      <c r="N58" s="30">
        <v>5</v>
      </c>
      <c r="O58" s="30">
        <v>0</v>
      </c>
      <c r="P58" s="30"/>
      <c r="Q58" s="30">
        <v>0</v>
      </c>
      <c r="R58" s="30"/>
      <c r="S58" s="30"/>
      <c r="T58" s="30"/>
      <c r="U58" s="30"/>
      <c r="V58" s="30">
        <v>2</v>
      </c>
      <c r="W58" s="30"/>
      <c r="X58" s="30">
        <v>0</v>
      </c>
      <c r="Y58" s="30"/>
      <c r="Z58" s="50">
        <f t="shared" si="1"/>
        <v>391</v>
      </c>
      <c r="AA58" s="31">
        <f>Z58+Z60</f>
        <v>421</v>
      </c>
    </row>
    <row r="59" spans="1:29" ht="15.5" x14ac:dyDescent="0.35">
      <c r="A59" s="68"/>
      <c r="B59" s="71"/>
      <c r="C59" s="25" t="s">
        <v>50</v>
      </c>
      <c r="D59" s="30">
        <v>0</v>
      </c>
      <c r="E59" s="30">
        <v>1</v>
      </c>
      <c r="F59" s="30">
        <v>0</v>
      </c>
      <c r="G59" s="30"/>
      <c r="H59" s="30"/>
      <c r="I59" s="30"/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/>
      <c r="Q59" s="30">
        <v>0</v>
      </c>
      <c r="R59" s="30"/>
      <c r="S59" s="30"/>
      <c r="T59" s="30"/>
      <c r="U59" s="30"/>
      <c r="V59" s="30">
        <v>0</v>
      </c>
      <c r="W59" s="30"/>
      <c r="X59" s="30">
        <v>0</v>
      </c>
      <c r="Y59" s="30"/>
      <c r="Z59" s="50">
        <f t="shared" si="1"/>
        <v>1</v>
      </c>
      <c r="AA59" s="31">
        <f>Z59+Z61</f>
        <v>2</v>
      </c>
    </row>
    <row r="60" spans="1:29" ht="15.5" x14ac:dyDescent="0.35">
      <c r="A60" s="68"/>
      <c r="B60" s="71"/>
      <c r="C60" s="37" t="s">
        <v>54</v>
      </c>
      <c r="D60" s="30">
        <v>0</v>
      </c>
      <c r="E60" s="30">
        <v>0</v>
      </c>
      <c r="F60" s="30">
        <v>0</v>
      </c>
      <c r="G60" s="30"/>
      <c r="H60" s="30"/>
      <c r="I60" s="30"/>
      <c r="J60" s="30">
        <v>0</v>
      </c>
      <c r="K60" s="30">
        <v>0</v>
      </c>
      <c r="L60" s="30">
        <v>2</v>
      </c>
      <c r="M60" s="30">
        <v>0</v>
      </c>
      <c r="N60" s="30">
        <v>8</v>
      </c>
      <c r="O60" s="30">
        <v>3</v>
      </c>
      <c r="P60" s="30"/>
      <c r="Q60" s="30">
        <v>2</v>
      </c>
      <c r="R60" s="30"/>
      <c r="S60" s="30"/>
      <c r="T60" s="30"/>
      <c r="U60" s="30"/>
      <c r="V60" s="30">
        <v>5</v>
      </c>
      <c r="W60" s="30"/>
      <c r="X60" s="30">
        <v>10</v>
      </c>
      <c r="Y60" s="30"/>
      <c r="Z60" s="50">
        <f t="shared" si="1"/>
        <v>30</v>
      </c>
      <c r="AC60" t="s">
        <v>56</v>
      </c>
    </row>
    <row r="61" spans="1:29" ht="16" thickBot="1" x14ac:dyDescent="0.4">
      <c r="A61" s="69"/>
      <c r="B61" s="72"/>
      <c r="C61" s="53" t="s">
        <v>51</v>
      </c>
      <c r="D61" s="30">
        <v>0</v>
      </c>
      <c r="E61" s="30">
        <v>0</v>
      </c>
      <c r="F61" s="30">
        <v>0</v>
      </c>
      <c r="G61" s="54"/>
      <c r="H61" s="54"/>
      <c r="I61" s="54"/>
      <c r="J61" s="54">
        <v>0</v>
      </c>
      <c r="K61" s="30">
        <v>0</v>
      </c>
      <c r="L61" s="30"/>
      <c r="M61" s="30">
        <v>0</v>
      </c>
      <c r="N61" s="54">
        <v>1</v>
      </c>
      <c r="O61" s="30">
        <v>0</v>
      </c>
      <c r="P61" s="54"/>
      <c r="Q61" s="54">
        <v>0</v>
      </c>
      <c r="R61" s="54"/>
      <c r="S61" s="54"/>
      <c r="T61" s="54"/>
      <c r="U61" s="54"/>
      <c r="V61" s="54">
        <v>0</v>
      </c>
      <c r="W61" s="54"/>
      <c r="X61" s="30">
        <v>0</v>
      </c>
      <c r="Y61" s="54"/>
      <c r="Z61" s="55">
        <f t="shared" si="1"/>
        <v>1</v>
      </c>
    </row>
    <row r="62" spans="1:29" ht="9.65" customHeight="1" thickBot="1" x14ac:dyDescent="0.4">
      <c r="A62" s="56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57"/>
    </row>
    <row r="63" spans="1:29" ht="15.5" x14ac:dyDescent="0.35">
      <c r="A63" s="67" t="s">
        <v>6</v>
      </c>
      <c r="B63" s="73" t="s">
        <v>21</v>
      </c>
      <c r="C63" s="58" t="s">
        <v>53</v>
      </c>
      <c r="D63" s="48">
        <v>11</v>
      </c>
      <c r="E63" s="48"/>
      <c r="F63" s="48"/>
      <c r="G63" s="48"/>
      <c r="H63" s="48">
        <v>2</v>
      </c>
      <c r="I63" s="48"/>
      <c r="J63" s="48">
        <v>2</v>
      </c>
      <c r="K63" s="48"/>
      <c r="L63" s="48"/>
      <c r="M63" s="48"/>
      <c r="N63" s="48">
        <v>8</v>
      </c>
      <c r="O63" s="48"/>
      <c r="P63" s="48">
        <v>4</v>
      </c>
      <c r="Q63" s="48"/>
      <c r="R63" s="48"/>
      <c r="S63" s="48"/>
      <c r="T63" s="48"/>
      <c r="U63" s="48"/>
      <c r="V63" s="48">
        <v>1</v>
      </c>
      <c r="W63" s="48"/>
      <c r="X63" s="48"/>
      <c r="Y63" s="48"/>
      <c r="Z63" s="49">
        <f>SUM(D63:Y63)</f>
        <v>28</v>
      </c>
      <c r="AA63" s="31">
        <f>Z63+Z65</f>
        <v>57</v>
      </c>
    </row>
    <row r="64" spans="1:29" ht="15" thickBot="1" x14ac:dyDescent="0.4">
      <c r="A64" s="68"/>
      <c r="B64" s="71"/>
      <c r="C64" s="25" t="s">
        <v>50</v>
      </c>
      <c r="D64" s="30">
        <v>0</v>
      </c>
      <c r="E64" s="30"/>
      <c r="F64" s="30"/>
      <c r="G64" s="30"/>
      <c r="H64" s="30">
        <v>1</v>
      </c>
      <c r="I64" s="30"/>
      <c r="J64" s="30">
        <v>0</v>
      </c>
      <c r="K64" s="30"/>
      <c r="L64" s="30"/>
      <c r="M64" s="30"/>
      <c r="N64" s="30">
        <v>0</v>
      </c>
      <c r="O64" s="30"/>
      <c r="P64" s="30">
        <v>0</v>
      </c>
      <c r="Q64" s="30"/>
      <c r="R64" s="30"/>
      <c r="S64" s="30"/>
      <c r="T64" s="30"/>
      <c r="U64" s="30"/>
      <c r="V64" s="54">
        <v>0</v>
      </c>
      <c r="W64" s="30"/>
      <c r="X64" s="30"/>
      <c r="Y64" s="30"/>
      <c r="Z64" s="30">
        <f t="shared" si="1"/>
        <v>1</v>
      </c>
      <c r="AA64" s="31">
        <f>Z64+Z66</f>
        <v>3</v>
      </c>
    </row>
    <row r="65" spans="1:27" ht="16" thickBot="1" x14ac:dyDescent="0.4">
      <c r="A65" s="68"/>
      <c r="B65" s="71"/>
      <c r="C65" s="37" t="s">
        <v>54</v>
      </c>
      <c r="D65" s="30">
        <v>0</v>
      </c>
      <c r="E65" s="30"/>
      <c r="F65" s="30"/>
      <c r="G65" s="30"/>
      <c r="H65" s="30">
        <v>0</v>
      </c>
      <c r="I65" s="30"/>
      <c r="J65" s="30">
        <v>4</v>
      </c>
      <c r="K65" s="30"/>
      <c r="L65" s="30"/>
      <c r="M65" s="30"/>
      <c r="N65" s="30">
        <v>16</v>
      </c>
      <c r="O65" s="30"/>
      <c r="P65" s="30">
        <v>9</v>
      </c>
      <c r="Q65" s="30"/>
      <c r="R65" s="30"/>
      <c r="S65" s="30"/>
      <c r="T65" s="30"/>
      <c r="U65" s="30"/>
      <c r="V65" s="54">
        <v>0</v>
      </c>
      <c r="W65" s="30"/>
      <c r="X65" s="30"/>
      <c r="Y65" s="30"/>
      <c r="Z65" s="50">
        <f>SUM(D65:Y65)</f>
        <v>29</v>
      </c>
    </row>
    <row r="66" spans="1:27" ht="16" thickBot="1" x14ac:dyDescent="0.4">
      <c r="A66" s="68"/>
      <c r="B66" s="74"/>
      <c r="C66" s="25" t="s">
        <v>51</v>
      </c>
      <c r="D66" s="30">
        <v>0</v>
      </c>
      <c r="E66" s="30"/>
      <c r="F66" s="30"/>
      <c r="G66" s="30"/>
      <c r="H66" s="30">
        <v>0</v>
      </c>
      <c r="I66" s="30"/>
      <c r="J66" s="30">
        <v>0</v>
      </c>
      <c r="K66" s="30"/>
      <c r="L66" s="30"/>
      <c r="M66" s="30"/>
      <c r="N66" s="30">
        <v>1</v>
      </c>
      <c r="O66" s="30"/>
      <c r="P66" s="30">
        <v>1</v>
      </c>
      <c r="Q66" s="30"/>
      <c r="R66" s="30"/>
      <c r="S66" s="30"/>
      <c r="T66" s="30"/>
      <c r="U66" s="30"/>
      <c r="V66" s="54">
        <v>0</v>
      </c>
      <c r="W66" s="30"/>
      <c r="X66" s="30"/>
      <c r="Y66" s="30"/>
      <c r="Z66" s="50">
        <f>SUM(D66:Y66)</f>
        <v>2</v>
      </c>
    </row>
    <row r="67" spans="1:27" ht="15.5" x14ac:dyDescent="0.35">
      <c r="A67" s="68"/>
      <c r="B67" s="70" t="s">
        <v>37</v>
      </c>
      <c r="C67" s="37" t="s">
        <v>53</v>
      </c>
      <c r="D67" s="30">
        <v>1</v>
      </c>
      <c r="E67" s="30"/>
      <c r="F67" s="30"/>
      <c r="G67" s="30"/>
      <c r="H67" s="30">
        <v>2</v>
      </c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50">
        <f t="shared" si="1"/>
        <v>3</v>
      </c>
      <c r="AA67" s="31">
        <f>Z67+Z69</f>
        <v>6</v>
      </c>
    </row>
    <row r="68" spans="1:27" x14ac:dyDescent="0.35">
      <c r="A68" s="68"/>
      <c r="B68" s="71"/>
      <c r="C68" s="25" t="s">
        <v>50</v>
      </c>
      <c r="D68" s="30">
        <v>0</v>
      </c>
      <c r="E68" s="30"/>
      <c r="F68" s="30"/>
      <c r="G68" s="30"/>
      <c r="H68" s="30">
        <v>0</v>
      </c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>
        <f t="shared" si="1"/>
        <v>0</v>
      </c>
      <c r="AA68" s="31">
        <f>Z68+Z70</f>
        <v>0</v>
      </c>
    </row>
    <row r="69" spans="1:27" ht="15.5" x14ac:dyDescent="0.35">
      <c r="A69" s="68"/>
      <c r="B69" s="71"/>
      <c r="C69" s="37" t="s">
        <v>54</v>
      </c>
      <c r="D69" s="30">
        <v>0</v>
      </c>
      <c r="E69" s="30"/>
      <c r="F69" s="30"/>
      <c r="G69" s="30"/>
      <c r="H69" s="30">
        <v>3</v>
      </c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50">
        <f t="shared" si="1"/>
        <v>3</v>
      </c>
    </row>
    <row r="70" spans="1:27" ht="15" thickBot="1" x14ac:dyDescent="0.4">
      <c r="A70" s="69"/>
      <c r="B70" s="72"/>
      <c r="C70" s="53" t="s">
        <v>51</v>
      </c>
      <c r="D70" s="30">
        <v>0</v>
      </c>
      <c r="E70" s="54"/>
      <c r="F70" s="54"/>
      <c r="G70" s="54"/>
      <c r="H70" s="30">
        <v>0</v>
      </c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30">
        <f t="shared" si="1"/>
        <v>0</v>
      </c>
    </row>
    <row r="71" spans="1:27" ht="7" customHeight="1" thickBot="1" x14ac:dyDescent="0.4">
      <c r="A71" s="56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57"/>
    </row>
    <row r="72" spans="1:27" ht="15.5" x14ac:dyDescent="0.35">
      <c r="A72" s="67" t="s">
        <v>7</v>
      </c>
      <c r="B72" s="73" t="s">
        <v>31</v>
      </c>
      <c r="C72" s="58" t="s">
        <v>53</v>
      </c>
      <c r="D72" s="48">
        <v>63</v>
      </c>
      <c r="E72" s="48"/>
      <c r="F72" s="30">
        <v>0</v>
      </c>
      <c r="G72" s="48"/>
      <c r="H72" s="48">
        <v>0</v>
      </c>
      <c r="I72" s="48"/>
      <c r="J72" s="48">
        <v>40</v>
      </c>
      <c r="K72" s="48"/>
      <c r="L72" s="48">
        <v>40</v>
      </c>
      <c r="M72" s="48"/>
      <c r="N72" s="48">
        <v>25</v>
      </c>
      <c r="O72" s="48"/>
      <c r="P72" s="48">
        <v>34</v>
      </c>
      <c r="Q72" s="48"/>
      <c r="R72" s="48"/>
      <c r="S72" s="48"/>
      <c r="T72" s="48">
        <v>24</v>
      </c>
      <c r="U72" s="48"/>
      <c r="V72" s="48"/>
      <c r="W72" s="48">
        <v>86</v>
      </c>
      <c r="X72" s="48"/>
      <c r="Y72" s="48">
        <v>48</v>
      </c>
      <c r="Z72" s="49">
        <f>SUM(D72:Y72)</f>
        <v>360</v>
      </c>
      <c r="AA72" s="31">
        <f>Z72+Z74</f>
        <v>899</v>
      </c>
    </row>
    <row r="73" spans="1:27" ht="15.5" x14ac:dyDescent="0.35">
      <c r="A73" s="68"/>
      <c r="B73" s="71"/>
      <c r="C73" s="25" t="s">
        <v>50</v>
      </c>
      <c r="D73" s="30">
        <v>0</v>
      </c>
      <c r="E73" s="30"/>
      <c r="F73" s="30">
        <v>0</v>
      </c>
      <c r="G73" s="30"/>
      <c r="H73" s="30">
        <v>0</v>
      </c>
      <c r="I73" s="30"/>
      <c r="J73" s="30">
        <v>0</v>
      </c>
      <c r="K73" s="30"/>
      <c r="L73" s="30">
        <v>0</v>
      </c>
      <c r="M73" s="30"/>
      <c r="N73" s="30">
        <v>6</v>
      </c>
      <c r="O73" s="30"/>
      <c r="P73" s="30">
        <v>1</v>
      </c>
      <c r="Q73" s="30"/>
      <c r="R73" s="30"/>
      <c r="S73" s="30"/>
      <c r="T73" s="30">
        <v>0</v>
      </c>
      <c r="U73" s="30"/>
      <c r="V73" s="30"/>
      <c r="W73" s="30">
        <v>1</v>
      </c>
      <c r="X73" s="30"/>
      <c r="Y73" s="30">
        <v>1</v>
      </c>
      <c r="Z73" s="50">
        <f>SUM(D73:Y73)</f>
        <v>9</v>
      </c>
      <c r="AA73" s="31">
        <f>Z73+Z75</f>
        <v>17</v>
      </c>
    </row>
    <row r="74" spans="1:27" ht="15.5" x14ac:dyDescent="0.35">
      <c r="A74" s="68"/>
      <c r="B74" s="71"/>
      <c r="C74" s="37" t="s">
        <v>54</v>
      </c>
      <c r="D74" s="30">
        <v>100</v>
      </c>
      <c r="E74" s="30"/>
      <c r="F74" s="30">
        <v>110</v>
      </c>
      <c r="G74" s="30"/>
      <c r="H74" s="30">
        <v>0</v>
      </c>
      <c r="I74" s="30"/>
      <c r="J74" s="30">
        <v>78</v>
      </c>
      <c r="K74" s="30"/>
      <c r="L74" s="30">
        <v>38</v>
      </c>
      <c r="M74" s="30"/>
      <c r="N74" s="30">
        <v>25</v>
      </c>
      <c r="O74" s="30"/>
      <c r="P74" s="30">
        <v>36</v>
      </c>
      <c r="Q74" s="30"/>
      <c r="R74" s="30"/>
      <c r="S74" s="30"/>
      <c r="T74" s="30">
        <v>24</v>
      </c>
      <c r="U74" s="30"/>
      <c r="V74" s="30"/>
      <c r="W74" s="30">
        <v>91</v>
      </c>
      <c r="X74" s="30"/>
      <c r="Y74" s="30">
        <v>37</v>
      </c>
      <c r="Z74" s="50">
        <f>SUM(D74:Y74)</f>
        <v>539</v>
      </c>
    </row>
    <row r="75" spans="1:27" ht="15.5" x14ac:dyDescent="0.35">
      <c r="A75" s="68"/>
      <c r="B75" s="74"/>
      <c r="C75" s="25" t="s">
        <v>51</v>
      </c>
      <c r="D75" s="30">
        <v>0</v>
      </c>
      <c r="E75" s="30"/>
      <c r="F75" s="30">
        <v>1</v>
      </c>
      <c r="G75" s="30"/>
      <c r="H75" s="30">
        <v>0</v>
      </c>
      <c r="I75" s="30"/>
      <c r="J75" s="30">
        <v>0</v>
      </c>
      <c r="K75" s="30"/>
      <c r="L75" s="30">
        <v>0</v>
      </c>
      <c r="M75" s="30"/>
      <c r="N75" s="30">
        <v>5</v>
      </c>
      <c r="O75" s="30"/>
      <c r="P75" s="30">
        <v>2</v>
      </c>
      <c r="Q75" s="30"/>
      <c r="R75" s="30"/>
      <c r="S75" s="30"/>
      <c r="T75" s="30">
        <v>0</v>
      </c>
      <c r="U75" s="30"/>
      <c r="V75" s="30"/>
      <c r="W75" s="30">
        <v>0</v>
      </c>
      <c r="X75" s="30"/>
      <c r="Y75" s="30">
        <v>0</v>
      </c>
      <c r="Z75" s="50">
        <f t="shared" ref="Z75:Z95" si="2">SUM(D75:Y75)</f>
        <v>8</v>
      </c>
    </row>
    <row r="76" spans="1:27" ht="9" customHeight="1" x14ac:dyDescent="0.35">
      <c r="A76" s="68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50"/>
    </row>
    <row r="77" spans="1:27" ht="15.5" x14ac:dyDescent="0.35">
      <c r="A77" s="68"/>
      <c r="B77" s="70" t="s">
        <v>32</v>
      </c>
      <c r="C77" s="37" t="s">
        <v>53</v>
      </c>
      <c r="D77" s="30">
        <v>51</v>
      </c>
      <c r="E77" s="30"/>
      <c r="F77" s="30">
        <v>0</v>
      </c>
      <c r="G77" s="30"/>
      <c r="H77" s="30"/>
      <c r="I77" s="30"/>
      <c r="J77" s="30">
        <v>26</v>
      </c>
      <c r="K77" s="30"/>
      <c r="L77" s="30">
        <v>4</v>
      </c>
      <c r="M77" s="30"/>
      <c r="N77" s="30">
        <v>6</v>
      </c>
      <c r="O77" s="30"/>
      <c r="P77" s="30">
        <v>0</v>
      </c>
      <c r="Q77" s="30"/>
      <c r="R77" s="30"/>
      <c r="S77" s="30"/>
      <c r="T77" s="30">
        <v>2</v>
      </c>
      <c r="U77" s="30"/>
      <c r="V77" s="30"/>
      <c r="W77" s="30"/>
      <c r="X77" s="30"/>
      <c r="Y77" s="30">
        <v>54</v>
      </c>
      <c r="Z77" s="50">
        <f t="shared" si="2"/>
        <v>143</v>
      </c>
      <c r="AA77" s="31">
        <f>Z77+Z79</f>
        <v>248</v>
      </c>
    </row>
    <row r="78" spans="1:27" ht="15.5" x14ac:dyDescent="0.35">
      <c r="A78" s="68"/>
      <c r="B78" s="71"/>
      <c r="C78" s="25" t="s">
        <v>50</v>
      </c>
      <c r="D78" s="30">
        <v>0</v>
      </c>
      <c r="E78" s="30"/>
      <c r="F78" s="30">
        <v>0</v>
      </c>
      <c r="G78" s="30"/>
      <c r="H78" s="30"/>
      <c r="I78" s="30"/>
      <c r="J78" s="30">
        <v>0</v>
      </c>
      <c r="K78" s="30"/>
      <c r="L78" s="30">
        <v>0</v>
      </c>
      <c r="M78" s="30"/>
      <c r="N78" s="30">
        <v>0</v>
      </c>
      <c r="O78" s="30"/>
      <c r="P78" s="30">
        <v>0</v>
      </c>
      <c r="Q78" s="30"/>
      <c r="R78" s="30"/>
      <c r="S78" s="30"/>
      <c r="T78" s="30">
        <v>1</v>
      </c>
      <c r="U78" s="30"/>
      <c r="V78" s="30"/>
      <c r="W78" s="30"/>
      <c r="X78" s="30"/>
      <c r="Y78" s="30">
        <v>1</v>
      </c>
      <c r="Z78" s="50">
        <f t="shared" si="2"/>
        <v>2</v>
      </c>
      <c r="AA78" s="31">
        <f>Z78+Z80</f>
        <v>5</v>
      </c>
    </row>
    <row r="79" spans="1:27" ht="15.5" x14ac:dyDescent="0.35">
      <c r="A79" s="68"/>
      <c r="B79" s="71"/>
      <c r="C79" s="37" t="s">
        <v>54</v>
      </c>
      <c r="D79" s="30">
        <v>49</v>
      </c>
      <c r="E79" s="30"/>
      <c r="F79" s="30">
        <v>6</v>
      </c>
      <c r="G79" s="30"/>
      <c r="H79" s="30"/>
      <c r="I79" s="30"/>
      <c r="J79" s="30">
        <v>20</v>
      </c>
      <c r="K79" s="30"/>
      <c r="L79" s="30">
        <v>6</v>
      </c>
      <c r="M79" s="30"/>
      <c r="N79" s="30">
        <v>6</v>
      </c>
      <c r="O79" s="30"/>
      <c r="P79" s="30">
        <v>17</v>
      </c>
      <c r="Q79" s="30"/>
      <c r="R79" s="30"/>
      <c r="S79" s="30"/>
      <c r="T79" s="30">
        <v>1</v>
      </c>
      <c r="U79" s="30"/>
      <c r="V79" s="30"/>
      <c r="W79" s="30"/>
      <c r="X79" s="30"/>
      <c r="Y79" s="30">
        <v>0</v>
      </c>
      <c r="Z79" s="50">
        <f t="shared" si="2"/>
        <v>105</v>
      </c>
    </row>
    <row r="80" spans="1:27" ht="15.5" x14ac:dyDescent="0.35">
      <c r="A80" s="68"/>
      <c r="B80" s="74"/>
      <c r="C80" s="25" t="s">
        <v>51</v>
      </c>
      <c r="D80" s="30">
        <v>1</v>
      </c>
      <c r="E80" s="30"/>
      <c r="F80" s="30">
        <v>0</v>
      </c>
      <c r="G80" s="30"/>
      <c r="H80" s="30"/>
      <c r="I80" s="30"/>
      <c r="J80" s="30">
        <v>0</v>
      </c>
      <c r="K80" s="30"/>
      <c r="L80" s="30">
        <v>0</v>
      </c>
      <c r="M80" s="30"/>
      <c r="N80" s="30">
        <v>1</v>
      </c>
      <c r="O80" s="30"/>
      <c r="P80" s="30">
        <v>1</v>
      </c>
      <c r="Q80" s="30"/>
      <c r="R80" s="30"/>
      <c r="S80" s="30"/>
      <c r="T80" s="30"/>
      <c r="U80" s="30"/>
      <c r="V80" s="30"/>
      <c r="W80" s="30"/>
      <c r="X80" s="30"/>
      <c r="Y80" s="30">
        <v>0</v>
      </c>
      <c r="Z80" s="50">
        <f t="shared" si="2"/>
        <v>3</v>
      </c>
    </row>
    <row r="81" spans="1:27" ht="9" customHeight="1" x14ac:dyDescent="0.35">
      <c r="A81" s="68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50"/>
    </row>
    <row r="82" spans="1:27" ht="15.5" x14ac:dyDescent="0.35">
      <c r="A82" s="68"/>
      <c r="B82" s="70" t="s">
        <v>33</v>
      </c>
      <c r="C82" s="37" t="s">
        <v>53</v>
      </c>
      <c r="D82" s="30">
        <v>1</v>
      </c>
      <c r="E82" s="30"/>
      <c r="F82" s="30">
        <v>7</v>
      </c>
      <c r="G82" s="30"/>
      <c r="H82" s="30">
        <v>83</v>
      </c>
      <c r="I82" s="30"/>
      <c r="J82" s="30">
        <v>39</v>
      </c>
      <c r="K82" s="30"/>
      <c r="L82" s="30">
        <v>17</v>
      </c>
      <c r="M82" s="30"/>
      <c r="N82" s="30">
        <v>35</v>
      </c>
      <c r="O82" s="30"/>
      <c r="P82" s="30">
        <v>17</v>
      </c>
      <c r="Q82" s="30"/>
      <c r="R82" s="30"/>
      <c r="S82" s="30"/>
      <c r="T82" s="30">
        <v>61</v>
      </c>
      <c r="U82" s="30"/>
      <c r="V82" s="30">
        <v>59</v>
      </c>
      <c r="W82" s="30"/>
      <c r="X82" s="30"/>
      <c r="Y82" s="30">
        <v>86</v>
      </c>
      <c r="Z82" s="50">
        <f>SUM(D82:Y82)</f>
        <v>405</v>
      </c>
      <c r="AA82" s="31">
        <f>Z82+Z84</f>
        <v>826</v>
      </c>
    </row>
    <row r="83" spans="1:27" ht="15.5" x14ac:dyDescent="0.35">
      <c r="A83" s="68"/>
      <c r="B83" s="71"/>
      <c r="C83" s="25" t="s">
        <v>50</v>
      </c>
      <c r="D83" s="30">
        <v>0</v>
      </c>
      <c r="E83" s="30"/>
      <c r="F83" s="30">
        <v>0</v>
      </c>
      <c r="G83" s="30"/>
      <c r="H83" s="30">
        <v>0</v>
      </c>
      <c r="I83" s="30"/>
      <c r="J83" s="30">
        <v>0</v>
      </c>
      <c r="K83" s="30"/>
      <c r="L83" s="30">
        <v>1</v>
      </c>
      <c r="M83" s="30"/>
      <c r="N83" s="30">
        <v>3</v>
      </c>
      <c r="O83" s="30"/>
      <c r="P83" s="30">
        <v>2</v>
      </c>
      <c r="Q83" s="30"/>
      <c r="R83" s="30"/>
      <c r="S83" s="30"/>
      <c r="T83" s="30">
        <v>0</v>
      </c>
      <c r="U83" s="30"/>
      <c r="V83" s="30">
        <v>0</v>
      </c>
      <c r="W83" s="30"/>
      <c r="X83" s="30"/>
      <c r="Y83" s="30">
        <v>1</v>
      </c>
      <c r="Z83" s="50">
        <f t="shared" si="2"/>
        <v>7</v>
      </c>
      <c r="AA83" s="31">
        <f>Z83+Z85</f>
        <v>15</v>
      </c>
    </row>
    <row r="84" spans="1:27" ht="15.5" x14ac:dyDescent="0.35">
      <c r="A84" s="68"/>
      <c r="B84" s="71"/>
      <c r="C84" s="37" t="s">
        <v>54</v>
      </c>
      <c r="D84" s="30">
        <v>2</v>
      </c>
      <c r="E84" s="30"/>
      <c r="F84" s="30">
        <v>17</v>
      </c>
      <c r="G84" s="30"/>
      <c r="H84" s="30">
        <v>88</v>
      </c>
      <c r="I84" s="30"/>
      <c r="J84" s="30">
        <v>40</v>
      </c>
      <c r="K84" s="30"/>
      <c r="L84" s="30">
        <v>18</v>
      </c>
      <c r="M84" s="30"/>
      <c r="N84" s="30">
        <v>34</v>
      </c>
      <c r="O84" s="30"/>
      <c r="P84" s="30">
        <v>18</v>
      </c>
      <c r="Q84" s="30"/>
      <c r="R84" s="30"/>
      <c r="S84" s="30"/>
      <c r="T84" s="30">
        <v>61</v>
      </c>
      <c r="U84" s="30"/>
      <c r="V84" s="30">
        <v>61</v>
      </c>
      <c r="W84" s="30"/>
      <c r="X84" s="30"/>
      <c r="Y84" s="30">
        <v>82</v>
      </c>
      <c r="Z84" s="50">
        <f t="shared" si="2"/>
        <v>421</v>
      </c>
    </row>
    <row r="85" spans="1:27" ht="15.5" x14ac:dyDescent="0.35">
      <c r="A85" s="68"/>
      <c r="B85" s="74"/>
      <c r="C85" s="25" t="s">
        <v>51</v>
      </c>
      <c r="D85" s="30">
        <v>0</v>
      </c>
      <c r="E85" s="30"/>
      <c r="F85" s="30">
        <v>0</v>
      </c>
      <c r="G85" s="30"/>
      <c r="H85" s="30">
        <v>0</v>
      </c>
      <c r="I85" s="30"/>
      <c r="J85" s="30">
        <v>0</v>
      </c>
      <c r="K85" s="30"/>
      <c r="L85" s="30">
        <v>0</v>
      </c>
      <c r="M85" s="30"/>
      <c r="N85" s="30">
        <v>4</v>
      </c>
      <c r="O85" s="30"/>
      <c r="P85" s="30">
        <v>1</v>
      </c>
      <c r="Q85" s="30"/>
      <c r="R85" s="30"/>
      <c r="S85" s="30"/>
      <c r="T85" s="30">
        <v>2</v>
      </c>
      <c r="U85" s="30"/>
      <c r="V85" s="30">
        <v>1</v>
      </c>
      <c r="W85" s="30"/>
      <c r="X85" s="30"/>
      <c r="Y85" s="30">
        <v>0</v>
      </c>
      <c r="Z85" s="50">
        <f t="shared" si="2"/>
        <v>8</v>
      </c>
    </row>
    <row r="86" spans="1:27" ht="6.65" customHeight="1" x14ac:dyDescent="0.35">
      <c r="A86" s="68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50"/>
    </row>
    <row r="87" spans="1:27" ht="15.5" x14ac:dyDescent="0.35">
      <c r="A87" s="68"/>
      <c r="B87" s="70" t="s">
        <v>34</v>
      </c>
      <c r="C87" s="37" t="s">
        <v>53</v>
      </c>
      <c r="D87" s="30">
        <v>1</v>
      </c>
      <c r="E87" s="30"/>
      <c r="F87" s="30">
        <v>1</v>
      </c>
      <c r="G87" s="30"/>
      <c r="H87" s="30"/>
      <c r="I87" s="30"/>
      <c r="J87" s="30"/>
      <c r="K87" s="30"/>
      <c r="L87" s="30">
        <v>4</v>
      </c>
      <c r="M87" s="30"/>
      <c r="N87" s="30"/>
      <c r="O87" s="30"/>
      <c r="P87" s="30">
        <v>8</v>
      </c>
      <c r="Q87" s="30"/>
      <c r="R87" s="30"/>
      <c r="S87" s="30"/>
      <c r="T87" s="30">
        <v>3</v>
      </c>
      <c r="U87" s="30"/>
      <c r="V87" s="30">
        <v>4</v>
      </c>
      <c r="W87" s="30"/>
      <c r="X87" s="30"/>
      <c r="Y87" s="30"/>
      <c r="Z87" s="50">
        <f t="shared" si="2"/>
        <v>21</v>
      </c>
      <c r="AA87" s="31">
        <f>Z87+Z89</f>
        <v>45</v>
      </c>
    </row>
    <row r="88" spans="1:27" ht="15.5" x14ac:dyDescent="0.35">
      <c r="A88" s="68"/>
      <c r="B88" s="71"/>
      <c r="C88" s="25" t="s">
        <v>50</v>
      </c>
      <c r="D88" s="30">
        <v>0</v>
      </c>
      <c r="E88" s="30"/>
      <c r="F88" s="30">
        <v>0</v>
      </c>
      <c r="G88" s="30"/>
      <c r="H88" s="30"/>
      <c r="I88" s="30"/>
      <c r="J88" s="30"/>
      <c r="K88" s="30"/>
      <c r="L88" s="30">
        <v>1</v>
      </c>
      <c r="M88" s="30"/>
      <c r="N88" s="30"/>
      <c r="O88" s="30"/>
      <c r="P88" s="30">
        <v>1</v>
      </c>
      <c r="Q88" s="30"/>
      <c r="R88" s="30"/>
      <c r="S88" s="30"/>
      <c r="T88" s="30">
        <v>0</v>
      </c>
      <c r="U88" s="30"/>
      <c r="V88" s="30">
        <v>0</v>
      </c>
      <c r="W88" s="30"/>
      <c r="X88" s="30"/>
      <c r="Y88" s="30"/>
      <c r="Z88" s="50">
        <f t="shared" si="2"/>
        <v>2</v>
      </c>
      <c r="AA88" s="31">
        <f>Z88+Z90</f>
        <v>2</v>
      </c>
    </row>
    <row r="89" spans="1:27" ht="15.5" x14ac:dyDescent="0.35">
      <c r="A89" s="68"/>
      <c r="B89" s="71"/>
      <c r="C89" s="37" t="s">
        <v>54</v>
      </c>
      <c r="D89" s="30">
        <v>2</v>
      </c>
      <c r="E89" s="30"/>
      <c r="F89" s="30">
        <v>2</v>
      </c>
      <c r="G89" s="30"/>
      <c r="H89" s="30"/>
      <c r="I89" s="30"/>
      <c r="J89" s="30"/>
      <c r="K89" s="30"/>
      <c r="L89" s="30">
        <v>1</v>
      </c>
      <c r="M89" s="30"/>
      <c r="N89" s="30"/>
      <c r="O89" s="30"/>
      <c r="P89" s="30">
        <v>8</v>
      </c>
      <c r="Q89" s="30"/>
      <c r="R89" s="30"/>
      <c r="S89" s="30"/>
      <c r="T89" s="30">
        <v>2</v>
      </c>
      <c r="U89" s="30"/>
      <c r="V89" s="30">
        <v>9</v>
      </c>
      <c r="W89" s="30"/>
      <c r="X89" s="30"/>
      <c r="Y89" s="30"/>
      <c r="Z89" s="50">
        <f t="shared" si="2"/>
        <v>24</v>
      </c>
    </row>
    <row r="90" spans="1:27" ht="15.5" x14ac:dyDescent="0.35">
      <c r="A90" s="68"/>
      <c r="B90" s="74"/>
      <c r="C90" s="25" t="s">
        <v>51</v>
      </c>
      <c r="D90" s="30">
        <v>0</v>
      </c>
      <c r="E90" s="30"/>
      <c r="F90" s="30">
        <v>0</v>
      </c>
      <c r="G90" s="30"/>
      <c r="H90" s="30"/>
      <c r="I90" s="30"/>
      <c r="J90" s="30"/>
      <c r="K90" s="30"/>
      <c r="L90" s="30">
        <v>0</v>
      </c>
      <c r="M90" s="30"/>
      <c r="N90" s="30"/>
      <c r="O90" s="30"/>
      <c r="P90" s="30">
        <v>0</v>
      </c>
      <c r="Q90" s="30"/>
      <c r="R90" s="30"/>
      <c r="S90" s="30"/>
      <c r="T90" s="30">
        <v>0</v>
      </c>
      <c r="U90" s="30"/>
      <c r="V90" s="30">
        <v>0</v>
      </c>
      <c r="W90" s="30"/>
      <c r="X90" s="30"/>
      <c r="Y90" s="30"/>
      <c r="Z90" s="50">
        <f t="shared" si="2"/>
        <v>0</v>
      </c>
    </row>
    <row r="91" spans="1:27" ht="6.65" customHeight="1" x14ac:dyDescent="0.35">
      <c r="A91" s="68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50"/>
    </row>
    <row r="92" spans="1:27" ht="15.5" x14ac:dyDescent="0.35">
      <c r="A92" s="68"/>
      <c r="B92" s="70" t="s">
        <v>21</v>
      </c>
      <c r="C92" s="37" t="s">
        <v>53</v>
      </c>
      <c r="D92" s="30">
        <v>3</v>
      </c>
      <c r="E92" s="30"/>
      <c r="F92" s="30">
        <v>0</v>
      </c>
      <c r="G92" s="30"/>
      <c r="H92" s="30"/>
      <c r="I92" s="30"/>
      <c r="J92" s="30">
        <v>0</v>
      </c>
      <c r="K92" s="30"/>
      <c r="L92" s="30"/>
      <c r="M92" s="30"/>
      <c r="N92" s="30">
        <v>21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50">
        <f t="shared" si="2"/>
        <v>24</v>
      </c>
      <c r="AA92" s="31">
        <f>Z92+Z94</f>
        <v>54</v>
      </c>
    </row>
    <row r="93" spans="1:27" ht="15.5" x14ac:dyDescent="0.35">
      <c r="A93" s="68"/>
      <c r="B93" s="71"/>
      <c r="C93" s="25" t="s">
        <v>50</v>
      </c>
      <c r="D93" s="30">
        <v>0</v>
      </c>
      <c r="E93" s="30"/>
      <c r="F93" s="30">
        <v>0</v>
      </c>
      <c r="G93" s="30"/>
      <c r="H93" s="30"/>
      <c r="I93" s="30"/>
      <c r="J93" s="30">
        <v>0</v>
      </c>
      <c r="K93" s="30"/>
      <c r="L93" s="30"/>
      <c r="M93" s="30"/>
      <c r="N93" s="30">
        <v>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50">
        <f t="shared" si="2"/>
        <v>1</v>
      </c>
      <c r="AA93" s="31">
        <f>Z93+Z95</f>
        <v>3</v>
      </c>
    </row>
    <row r="94" spans="1:27" ht="15.5" x14ac:dyDescent="0.35">
      <c r="A94" s="68"/>
      <c r="B94" s="71"/>
      <c r="C94" s="37" t="s">
        <v>54</v>
      </c>
      <c r="D94" s="30">
        <v>4</v>
      </c>
      <c r="E94" s="30"/>
      <c r="F94" s="30">
        <v>3</v>
      </c>
      <c r="G94" s="30"/>
      <c r="H94" s="30"/>
      <c r="I94" s="30"/>
      <c r="J94" s="30">
        <v>3</v>
      </c>
      <c r="K94" s="30"/>
      <c r="L94" s="30"/>
      <c r="M94" s="30"/>
      <c r="N94" s="30">
        <v>20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50">
        <f t="shared" si="2"/>
        <v>30</v>
      </c>
    </row>
    <row r="95" spans="1:27" ht="16" thickBot="1" x14ac:dyDescent="0.4">
      <c r="A95" s="69"/>
      <c r="B95" s="72"/>
      <c r="C95" s="53" t="s">
        <v>51</v>
      </c>
      <c r="D95" s="30">
        <v>0</v>
      </c>
      <c r="E95" s="54"/>
      <c r="F95" s="30">
        <v>0</v>
      </c>
      <c r="G95" s="54"/>
      <c r="H95" s="54"/>
      <c r="I95" s="54"/>
      <c r="J95" s="30">
        <v>0</v>
      </c>
      <c r="K95" s="54"/>
      <c r="L95" s="54"/>
      <c r="M95" s="54"/>
      <c r="N95" s="54">
        <v>2</v>
      </c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5">
        <f t="shared" si="2"/>
        <v>2</v>
      </c>
    </row>
  </sheetData>
  <mergeCells count="24">
    <mergeCell ref="A2:A32"/>
    <mergeCell ref="B2:B5"/>
    <mergeCell ref="B7:B10"/>
    <mergeCell ref="B12:B15"/>
    <mergeCell ref="B16:B19"/>
    <mergeCell ref="B20:B23"/>
    <mergeCell ref="B24:B27"/>
    <mergeCell ref="B29:B32"/>
    <mergeCell ref="A72:A95"/>
    <mergeCell ref="B58:B61"/>
    <mergeCell ref="A34:A61"/>
    <mergeCell ref="B63:B66"/>
    <mergeCell ref="B67:B70"/>
    <mergeCell ref="B72:B75"/>
    <mergeCell ref="B77:B80"/>
    <mergeCell ref="B53:B56"/>
    <mergeCell ref="A63:A70"/>
    <mergeCell ref="B82:B85"/>
    <mergeCell ref="B87:B90"/>
    <mergeCell ref="B34:B37"/>
    <mergeCell ref="B39:B42"/>
    <mergeCell ref="B44:B47"/>
    <mergeCell ref="B49:B52"/>
    <mergeCell ref="B92:B95"/>
  </mergeCell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CACE-73D8-4921-AFC1-E3E438A97895}">
  <sheetPr codeName="Sheet6"/>
  <dimension ref="B1:G27"/>
  <sheetViews>
    <sheetView topLeftCell="G3" workbookViewId="0">
      <selection activeCell="J24" sqref="J24"/>
    </sheetView>
  </sheetViews>
  <sheetFormatPr defaultRowHeight="14.5" x14ac:dyDescent="0.35"/>
  <cols>
    <col min="2" max="2" width="13.54296875" customWidth="1"/>
    <col min="3" max="3" width="16.453125" customWidth="1"/>
    <col min="4" max="4" width="9.54296875" customWidth="1"/>
    <col min="5" max="5" width="11.1796875" customWidth="1"/>
    <col min="6" max="6" width="20" customWidth="1"/>
    <col min="7" max="7" width="19.54296875" customWidth="1"/>
  </cols>
  <sheetData>
    <row r="1" spans="2:7" ht="15" thickBot="1" x14ac:dyDescent="0.4"/>
    <row r="2" spans="2:7" ht="30.5" thickBot="1" x14ac:dyDescent="0.4">
      <c r="B2" s="1" t="s">
        <v>14</v>
      </c>
      <c r="C2" s="1" t="s">
        <v>15</v>
      </c>
      <c r="D2" s="1" t="s">
        <v>16</v>
      </c>
      <c r="E2" s="1" t="s">
        <v>17</v>
      </c>
      <c r="F2" s="1" t="s">
        <v>64</v>
      </c>
      <c r="G2" s="1" t="s">
        <v>63</v>
      </c>
    </row>
    <row r="3" spans="2:7" ht="16" thickBot="1" x14ac:dyDescent="0.4">
      <c r="B3" s="77" t="s">
        <v>18</v>
      </c>
      <c r="C3" s="2" t="s">
        <v>19</v>
      </c>
      <c r="D3" s="6">
        <v>35.6</v>
      </c>
      <c r="E3" s="6">
        <v>0.04</v>
      </c>
      <c r="F3" s="6">
        <v>1.74698098033336</v>
      </c>
      <c r="G3" s="6">
        <f>F3*30</f>
        <v>52.409429410000797</v>
      </c>
    </row>
    <row r="4" spans="2:7" ht="16" thickBot="1" x14ac:dyDescent="0.4">
      <c r="B4" s="75"/>
      <c r="C4" s="4" t="s">
        <v>20</v>
      </c>
      <c r="D4" s="7">
        <v>2.2000000000000002</v>
      </c>
      <c r="E4" s="7">
        <v>0.03</v>
      </c>
      <c r="F4" s="7">
        <v>6.6000000000000003E-2</v>
      </c>
      <c r="G4" s="6">
        <f t="shared" ref="G4:G27" si="0">F4*30</f>
        <v>1.98</v>
      </c>
    </row>
    <row r="5" spans="2:7" ht="16" thickBot="1" x14ac:dyDescent="0.4">
      <c r="B5" s="75"/>
      <c r="C5" s="5" t="s">
        <v>21</v>
      </c>
      <c r="D5" s="8">
        <v>0.3</v>
      </c>
      <c r="E5" s="8">
        <v>0.01</v>
      </c>
      <c r="F5" s="8">
        <v>3.0000000000000001E-3</v>
      </c>
      <c r="G5" s="6">
        <f t="shared" si="0"/>
        <v>0.09</v>
      </c>
    </row>
    <row r="6" spans="2:7" ht="15.5" x14ac:dyDescent="0.35">
      <c r="B6" s="75"/>
      <c r="C6" s="4" t="s">
        <v>22</v>
      </c>
      <c r="D6" s="7">
        <v>0.33</v>
      </c>
      <c r="E6" s="7">
        <v>0.09</v>
      </c>
      <c r="F6" s="7">
        <v>2.9700000000000001E-2</v>
      </c>
      <c r="G6" s="7">
        <f t="shared" si="0"/>
        <v>0.89100000000000001</v>
      </c>
    </row>
    <row r="7" spans="2:7" ht="16" thickBot="1" x14ac:dyDescent="0.4">
      <c r="B7" s="3"/>
      <c r="C7" s="19" t="s">
        <v>49</v>
      </c>
      <c r="D7" s="7">
        <v>0.02</v>
      </c>
      <c r="E7" s="7">
        <v>0.33</v>
      </c>
      <c r="F7" s="7">
        <v>6.4999999999999997E-3</v>
      </c>
      <c r="G7" s="7">
        <f t="shared" si="0"/>
        <v>0.19499999999999998</v>
      </c>
    </row>
    <row r="8" spans="2:7" ht="15.5" thickBot="1" x14ac:dyDescent="0.4">
      <c r="B8" s="76" t="s">
        <v>23</v>
      </c>
      <c r="C8" s="76"/>
      <c r="D8" s="9">
        <f>SUM(D3:D6)</f>
        <v>38.43</v>
      </c>
      <c r="E8" s="9">
        <f t="shared" ref="E8" si="1">SUM(E3:E6)</f>
        <v>0.16999999999999998</v>
      </c>
      <c r="F8" s="9">
        <f t="shared" ref="F8" si="2">SUM(F3:F6)</f>
        <v>1.84568098033336</v>
      </c>
      <c r="G8" s="9">
        <f t="shared" ref="G8" si="3">SUM(G3:G6)</f>
        <v>55.370429410000796</v>
      </c>
    </row>
    <row r="9" spans="2:7" ht="16" thickBot="1" x14ac:dyDescent="0.4">
      <c r="B9" s="75" t="s">
        <v>24</v>
      </c>
      <c r="C9" s="4" t="s">
        <v>25</v>
      </c>
      <c r="D9" s="7">
        <v>73.91</v>
      </c>
      <c r="E9" s="7">
        <v>0.05</v>
      </c>
      <c r="F9" s="7">
        <v>2.9175783152915669</v>
      </c>
      <c r="G9" s="6">
        <f t="shared" si="0"/>
        <v>87.527349458747011</v>
      </c>
    </row>
    <row r="10" spans="2:7" ht="16" thickBot="1" x14ac:dyDescent="0.4">
      <c r="B10" s="75"/>
      <c r="C10" s="5" t="s">
        <v>20</v>
      </c>
      <c r="D10" s="8">
        <v>0.41</v>
      </c>
      <c r="E10" s="8">
        <v>0.01</v>
      </c>
      <c r="F10" s="8">
        <v>4.0000000000000001E-3</v>
      </c>
      <c r="G10" s="6">
        <f t="shared" si="0"/>
        <v>0.12</v>
      </c>
    </row>
    <row r="11" spans="2:7" ht="16" thickBot="1" x14ac:dyDescent="0.4">
      <c r="B11" s="75"/>
      <c r="C11" s="4" t="s">
        <v>21</v>
      </c>
      <c r="D11" s="7">
        <v>2.2799999999999998</v>
      </c>
      <c r="E11" s="7">
        <v>4.0000000000000001E-3</v>
      </c>
      <c r="F11" s="7">
        <v>8.9999999999999993E-3</v>
      </c>
      <c r="G11" s="6">
        <f t="shared" si="0"/>
        <v>0.26999999999999996</v>
      </c>
    </row>
    <row r="12" spans="2:7" ht="16" thickBot="1" x14ac:dyDescent="0.4">
      <c r="B12" s="75"/>
      <c r="C12" s="5" t="s">
        <v>26</v>
      </c>
      <c r="D12" s="8">
        <v>6</v>
      </c>
      <c r="E12" s="8">
        <v>0.03</v>
      </c>
      <c r="F12" s="8">
        <v>0.18</v>
      </c>
      <c r="G12" s="6">
        <f t="shared" si="0"/>
        <v>5.3999999999999995</v>
      </c>
    </row>
    <row r="13" spans="2:7" ht="16" thickBot="1" x14ac:dyDescent="0.4">
      <c r="B13" s="75"/>
      <c r="C13" s="4" t="s">
        <v>27</v>
      </c>
      <c r="D13" s="7">
        <v>0.09</v>
      </c>
      <c r="E13" s="7">
        <v>0.03</v>
      </c>
      <c r="F13" s="7">
        <v>3.0000000000000001E-3</v>
      </c>
      <c r="G13" s="6">
        <f t="shared" si="0"/>
        <v>0.09</v>
      </c>
    </row>
    <row r="14" spans="2:7" ht="16" thickBot="1" x14ac:dyDescent="0.4">
      <c r="B14" s="75"/>
      <c r="C14" s="10" t="s">
        <v>28</v>
      </c>
      <c r="D14" s="11">
        <v>18.600000000000001</v>
      </c>
      <c r="E14" s="11">
        <v>0.01</v>
      </c>
      <c r="F14" s="11">
        <v>0.186</v>
      </c>
      <c r="G14" s="7">
        <f t="shared" si="0"/>
        <v>5.58</v>
      </c>
    </row>
    <row r="15" spans="2:7" ht="15.5" thickBot="1" x14ac:dyDescent="0.4">
      <c r="B15" s="76" t="s">
        <v>23</v>
      </c>
      <c r="C15" s="76"/>
      <c r="D15" s="9">
        <f>SUM(D9:D14)</f>
        <v>101.28999999999999</v>
      </c>
      <c r="E15" s="9">
        <f t="shared" ref="E15" si="4">SUM(E9:E14)</f>
        <v>0.13400000000000001</v>
      </c>
      <c r="F15" s="9">
        <f t="shared" ref="F15" si="5">SUM(F9:F14)</f>
        <v>3.299578315291567</v>
      </c>
      <c r="G15" s="9">
        <f t="shared" ref="G15" si="6">SUM(G9:G14)</f>
        <v>98.987349458747019</v>
      </c>
    </row>
    <row r="16" spans="2:7" ht="16" thickBot="1" x14ac:dyDescent="0.4">
      <c r="B16" s="75" t="s">
        <v>29</v>
      </c>
      <c r="C16" s="2" t="s">
        <v>25</v>
      </c>
      <c r="D16" s="6">
        <v>15.57</v>
      </c>
      <c r="E16" s="6">
        <v>0.08</v>
      </c>
      <c r="F16" s="6">
        <v>1.6950924354852894</v>
      </c>
      <c r="G16" s="6">
        <f t="shared" si="0"/>
        <v>50.852773064558683</v>
      </c>
    </row>
    <row r="17" spans="2:7" ht="16" thickBot="1" x14ac:dyDescent="0.4">
      <c r="B17" s="75"/>
      <c r="C17" s="4" t="s">
        <v>21</v>
      </c>
      <c r="D17" s="7">
        <v>0.37</v>
      </c>
      <c r="E17" s="7">
        <v>0.03</v>
      </c>
      <c r="F17" s="7">
        <v>1.11E-2</v>
      </c>
      <c r="G17" s="7">
        <f t="shared" si="0"/>
        <v>0.33300000000000002</v>
      </c>
    </row>
    <row r="18" spans="2:7" ht="15.5" thickBot="1" x14ac:dyDescent="0.4">
      <c r="B18" s="76" t="s">
        <v>23</v>
      </c>
      <c r="C18" s="76"/>
      <c r="D18" s="9">
        <f>SUM(D16:D17)</f>
        <v>15.94</v>
      </c>
      <c r="E18" s="9">
        <f t="shared" ref="E18" si="7">SUM(E16:E17)</f>
        <v>0.11</v>
      </c>
      <c r="F18" s="9">
        <f t="shared" ref="F18" si="8">SUM(F16:F17)</f>
        <v>1.7061924354852895</v>
      </c>
      <c r="G18" s="9">
        <f t="shared" ref="G18" si="9">SUM(G16:G17)</f>
        <v>51.185773064558681</v>
      </c>
    </row>
    <row r="19" spans="2:7" ht="16" thickBot="1" x14ac:dyDescent="0.4">
      <c r="B19" s="75" t="s">
        <v>30</v>
      </c>
      <c r="C19" s="4" t="s">
        <v>25</v>
      </c>
      <c r="D19" s="7">
        <v>3.55</v>
      </c>
      <c r="E19" s="7">
        <v>0.05</v>
      </c>
      <c r="F19" s="7">
        <v>0.210731997075223</v>
      </c>
      <c r="G19" s="6">
        <f t="shared" si="0"/>
        <v>6.3219599122566903</v>
      </c>
    </row>
    <row r="20" spans="2:7" ht="16" thickBot="1" x14ac:dyDescent="0.4">
      <c r="B20" s="75"/>
      <c r="C20" s="5" t="s">
        <v>31</v>
      </c>
      <c r="D20" s="8">
        <v>10.48</v>
      </c>
      <c r="E20" s="8">
        <v>0.02</v>
      </c>
      <c r="F20" s="8">
        <v>0.20960000000000001</v>
      </c>
      <c r="G20" s="6">
        <f t="shared" si="0"/>
        <v>6.2880000000000003</v>
      </c>
    </row>
    <row r="21" spans="2:7" ht="16" thickBot="1" x14ac:dyDescent="0.4">
      <c r="B21" s="75"/>
      <c r="C21" s="4" t="s">
        <v>32</v>
      </c>
      <c r="D21" s="7">
        <v>2.04</v>
      </c>
      <c r="E21" s="7">
        <v>1.7000000000000001E-2</v>
      </c>
      <c r="F21" s="7">
        <v>3.4700000000000002E-2</v>
      </c>
      <c r="G21" s="6">
        <f t="shared" si="0"/>
        <v>1.0410000000000001</v>
      </c>
    </row>
    <row r="22" spans="2:7" ht="16" thickBot="1" x14ac:dyDescent="0.4">
      <c r="B22" s="75"/>
      <c r="C22" s="5" t="s">
        <v>21</v>
      </c>
      <c r="D22" s="8">
        <v>0.63</v>
      </c>
      <c r="E22" s="8">
        <v>0.05</v>
      </c>
      <c r="F22" s="8">
        <v>3.15E-2</v>
      </c>
      <c r="G22" s="6">
        <f t="shared" si="0"/>
        <v>0.94500000000000006</v>
      </c>
    </row>
    <row r="23" spans="2:7" ht="16" thickBot="1" x14ac:dyDescent="0.4">
      <c r="B23" s="75"/>
      <c r="C23" s="4" t="s">
        <v>33</v>
      </c>
      <c r="D23" s="7">
        <v>13.21</v>
      </c>
      <c r="E23" s="7">
        <v>0.02</v>
      </c>
      <c r="F23" s="7">
        <v>0.26419999999999999</v>
      </c>
      <c r="G23" s="6">
        <f t="shared" si="0"/>
        <v>7.9260000000000002</v>
      </c>
    </row>
    <row r="24" spans="2:7" ht="16" thickBot="1" x14ac:dyDescent="0.4">
      <c r="B24" s="75"/>
      <c r="C24" s="10" t="s">
        <v>34</v>
      </c>
      <c r="D24" s="11">
        <v>0.56000000000000005</v>
      </c>
      <c r="E24" s="11">
        <v>0.11</v>
      </c>
      <c r="F24" s="11">
        <v>6.1600000000000002E-2</v>
      </c>
      <c r="G24" s="7">
        <f t="shared" si="0"/>
        <v>1.8480000000000001</v>
      </c>
    </row>
    <row r="25" spans="2:7" ht="15.5" thickBot="1" x14ac:dyDescent="0.4">
      <c r="B25" s="76" t="s">
        <v>23</v>
      </c>
      <c r="C25" s="76"/>
      <c r="D25" s="9">
        <f>SUM(D19:D24)</f>
        <v>30.47</v>
      </c>
      <c r="E25" s="9">
        <f t="shared" ref="E25" si="10">SUM(E19:E24)</f>
        <v>0.26700000000000002</v>
      </c>
      <c r="F25" s="9">
        <f t="shared" ref="F25" si="11">SUM(F19:F24)</f>
        <v>0.81233199707522297</v>
      </c>
      <c r="G25" s="9">
        <f t="shared" ref="G25" si="12">SUM(G19:G24)</f>
        <v>24.369959912256689</v>
      </c>
    </row>
    <row r="26" spans="2:7" ht="16" thickBot="1" x14ac:dyDescent="0.4">
      <c r="B26" s="3" t="s">
        <v>35</v>
      </c>
      <c r="C26" s="4" t="s">
        <v>25</v>
      </c>
      <c r="D26" s="7">
        <v>17.47</v>
      </c>
      <c r="E26" s="7">
        <v>3.7999999999999999E-2</v>
      </c>
      <c r="F26" s="7">
        <v>0.60175597148760385</v>
      </c>
      <c r="G26" s="7">
        <f t="shared" si="0"/>
        <v>18.052679144628115</v>
      </c>
    </row>
    <row r="27" spans="2:7" ht="15.5" thickBot="1" x14ac:dyDescent="0.4">
      <c r="B27" s="76" t="s">
        <v>23</v>
      </c>
      <c r="C27" s="76"/>
      <c r="D27" s="9">
        <v>17.47</v>
      </c>
      <c r="E27" s="9">
        <v>3.7999999999999999E-2</v>
      </c>
      <c r="F27" s="9">
        <v>0.60175597148760385</v>
      </c>
      <c r="G27" s="9">
        <f t="shared" si="0"/>
        <v>18.052679144628115</v>
      </c>
    </row>
  </sheetData>
  <mergeCells count="9">
    <mergeCell ref="B19:B24"/>
    <mergeCell ref="B25:C25"/>
    <mergeCell ref="B27:C27"/>
    <mergeCell ref="B3:B6"/>
    <mergeCell ref="B8:C8"/>
    <mergeCell ref="B9:B14"/>
    <mergeCell ref="B15:C15"/>
    <mergeCell ref="B16:B17"/>
    <mergeCell ref="B18:C18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D657-10AF-4AE7-A4E5-7060798FC04D}">
  <sheetPr codeName="Sheet2"/>
  <dimension ref="B2:O22"/>
  <sheetViews>
    <sheetView topLeftCell="A3" zoomScale="82" zoomScaleNormal="82" workbookViewId="0">
      <selection activeCell="H22" sqref="H22"/>
    </sheetView>
  </sheetViews>
  <sheetFormatPr defaultRowHeight="14.5" x14ac:dyDescent="0.35"/>
  <cols>
    <col min="2" max="2" width="11.54296875" customWidth="1"/>
  </cols>
  <sheetData>
    <row r="2" spans="2:15" x14ac:dyDescent="0.35">
      <c r="B2" s="64" t="s">
        <v>18</v>
      </c>
      <c r="C2" s="64"/>
      <c r="E2" s="64" t="s">
        <v>24</v>
      </c>
      <c r="F2" s="64"/>
      <c r="G2" s="61"/>
      <c r="H2" s="64" t="s">
        <v>29</v>
      </c>
      <c r="I2" s="64"/>
      <c r="J2" s="61"/>
      <c r="K2" s="64" t="s">
        <v>30</v>
      </c>
      <c r="L2" s="64"/>
      <c r="M2" s="61"/>
      <c r="N2" s="64" t="s">
        <v>46</v>
      </c>
      <c r="O2" s="64"/>
    </row>
    <row r="3" spans="2:15" x14ac:dyDescent="0.35">
      <c r="B3" s="61" t="s">
        <v>65</v>
      </c>
      <c r="C3" s="61" t="s">
        <v>44</v>
      </c>
      <c r="E3" s="61" t="s">
        <v>65</v>
      </c>
      <c r="F3" s="61" t="s">
        <v>44</v>
      </c>
      <c r="G3" s="61"/>
      <c r="H3" s="61" t="s">
        <v>65</v>
      </c>
      <c r="I3" s="61" t="s">
        <v>44</v>
      </c>
      <c r="J3" s="61"/>
      <c r="K3" s="61" t="s">
        <v>65</v>
      </c>
      <c r="L3" s="61" t="s">
        <v>44</v>
      </c>
      <c r="M3" s="61"/>
      <c r="N3" s="61" t="s">
        <v>65</v>
      </c>
      <c r="O3" s="61" t="s">
        <v>44</v>
      </c>
    </row>
    <row r="4" spans="2:15" x14ac:dyDescent="0.35">
      <c r="B4" s="62">
        <v>0.84745762711864403</v>
      </c>
      <c r="C4" s="62">
        <v>0.315</v>
      </c>
      <c r="E4" s="62">
        <v>0.17291666666666669</v>
      </c>
      <c r="F4" s="62">
        <v>0</v>
      </c>
      <c r="G4" s="61"/>
      <c r="H4" s="62">
        <v>0.13354700854700854</v>
      </c>
      <c r="I4" s="62">
        <v>0.23260517799352751</v>
      </c>
      <c r="J4" s="61"/>
      <c r="K4" s="62">
        <v>0.46698113207547171</v>
      </c>
      <c r="L4" s="62">
        <v>0.84558823529411775</v>
      </c>
      <c r="M4" s="61"/>
      <c r="N4" s="62">
        <v>0</v>
      </c>
      <c r="O4" s="62">
        <v>0</v>
      </c>
    </row>
    <row r="5" spans="2:15" x14ac:dyDescent="0.35">
      <c r="B5" s="62">
        <v>0.54099462365591533</v>
      </c>
      <c r="C5" s="62">
        <v>0.23958333333333331</v>
      </c>
      <c r="E5" s="62">
        <v>0</v>
      </c>
      <c r="F5" s="62">
        <v>0</v>
      </c>
      <c r="G5" s="61"/>
      <c r="H5" s="62">
        <v>0.18960244648318045</v>
      </c>
      <c r="I5" s="62">
        <v>9.2391304347826081E-2</v>
      </c>
      <c r="J5" s="61"/>
      <c r="K5" s="62">
        <v>0.53594771241830064</v>
      </c>
      <c r="L5" s="62">
        <v>0.42749999999999999</v>
      </c>
      <c r="M5" s="61"/>
      <c r="N5" s="62">
        <v>0</v>
      </c>
      <c r="O5" s="62">
        <v>0.354014598540146</v>
      </c>
    </row>
    <row r="6" spans="2:15" x14ac:dyDescent="0.35">
      <c r="B6" s="62">
        <v>0.1761904761904762</v>
      </c>
      <c r="C6" s="62">
        <v>1.1627906976744186E-2</v>
      </c>
      <c r="E6" s="62">
        <v>0</v>
      </c>
      <c r="F6" s="62">
        <v>0</v>
      </c>
      <c r="G6" s="61"/>
      <c r="H6" s="62">
        <v>0.67287784679089024</v>
      </c>
      <c r="I6" s="62">
        <v>0.17197452229299365</v>
      </c>
      <c r="J6" s="61"/>
      <c r="K6" s="62">
        <v>0.3</v>
      </c>
      <c r="L6" s="62">
        <v>0</v>
      </c>
      <c r="M6" s="61"/>
      <c r="N6" s="62">
        <v>0.25568181818181818</v>
      </c>
      <c r="O6" s="62">
        <v>1.115427927927928</v>
      </c>
    </row>
    <row r="7" spans="2:15" x14ac:dyDescent="0.35">
      <c r="B7" s="62">
        <v>0.17366946778711484</v>
      </c>
      <c r="C7" s="62">
        <v>8.4886128364389218E-2</v>
      </c>
      <c r="E7" s="62">
        <v>0</v>
      </c>
      <c r="F7" s="62">
        <v>0</v>
      </c>
      <c r="G7" s="61"/>
      <c r="H7" s="62">
        <v>1.4229559748427674</v>
      </c>
      <c r="I7" s="62">
        <v>2.469512195121951</v>
      </c>
      <c r="J7" s="61"/>
      <c r="K7" s="62">
        <v>0.32926829268292679</v>
      </c>
      <c r="L7" s="62">
        <v>0.25543478260869562</v>
      </c>
      <c r="M7" s="61"/>
      <c r="N7" s="62">
        <v>1.5249042145593867</v>
      </c>
      <c r="O7" s="62">
        <v>2.6744186046511631</v>
      </c>
    </row>
    <row r="8" spans="2:15" x14ac:dyDescent="0.35">
      <c r="B8" s="62">
        <v>0</v>
      </c>
      <c r="C8" s="62">
        <v>0</v>
      </c>
      <c r="E8" s="62">
        <v>0</v>
      </c>
      <c r="F8" s="62">
        <v>0</v>
      </c>
      <c r="G8" s="61"/>
      <c r="H8" s="62">
        <v>8.6392405063291129</v>
      </c>
      <c r="I8" s="62">
        <v>18.071428571428569</v>
      </c>
      <c r="J8" s="61"/>
      <c r="K8" s="62">
        <v>0.46527777777777773</v>
      </c>
      <c r="L8" s="62">
        <v>0.25806451612903225</v>
      </c>
      <c r="M8" s="61"/>
      <c r="N8" s="62">
        <v>2.0454545454545454</v>
      </c>
      <c r="O8" s="62">
        <v>3.8218390804597697</v>
      </c>
    </row>
    <row r="9" spans="2:15" x14ac:dyDescent="0.35">
      <c r="B9" s="62">
        <v>0.22539682539682543</v>
      </c>
      <c r="C9" s="62">
        <v>0.90714285714285714</v>
      </c>
      <c r="E9" s="62">
        <v>0.79</v>
      </c>
      <c r="F9" s="62">
        <v>0.28642714570858285</v>
      </c>
      <c r="G9" s="61"/>
      <c r="H9" s="62">
        <v>5.4597701149425291</v>
      </c>
      <c r="I9" s="62">
        <v>2.1103896103896105</v>
      </c>
      <c r="J9" s="61"/>
      <c r="K9" s="62">
        <v>0.20833333333333334</v>
      </c>
      <c r="L9" s="62">
        <v>0.20512820512820512</v>
      </c>
      <c r="M9" s="61"/>
      <c r="N9" s="62">
        <v>0.20138888888888887</v>
      </c>
      <c r="O9" s="62">
        <v>0.36486486486486491</v>
      </c>
    </row>
    <row r="10" spans="2:15" x14ac:dyDescent="0.35">
      <c r="B10" s="62">
        <v>0</v>
      </c>
      <c r="C10" s="62">
        <v>0</v>
      </c>
      <c r="E10" s="62">
        <v>0</v>
      </c>
      <c r="F10" s="62">
        <v>0.29004329004329005</v>
      </c>
      <c r="G10" s="61"/>
      <c r="H10" s="62">
        <v>1.8562500000000002</v>
      </c>
      <c r="I10" s="62">
        <v>1.1302083333333333</v>
      </c>
      <c r="J10" s="61"/>
      <c r="K10" s="62">
        <v>0.3214285714285714</v>
      </c>
      <c r="L10" s="62">
        <v>0.38666666666666666</v>
      </c>
      <c r="M10" s="61"/>
      <c r="N10" s="62">
        <v>0</v>
      </c>
      <c r="O10" s="62">
        <v>0</v>
      </c>
    </row>
    <row r="11" spans="2:15" x14ac:dyDescent="0.35">
      <c r="B11" s="62">
        <v>0.32258064516129031</v>
      </c>
      <c r="C11" s="62">
        <v>0</v>
      </c>
      <c r="E11" s="62">
        <v>0</v>
      </c>
      <c r="F11" s="62">
        <v>0</v>
      </c>
      <c r="G11" s="61"/>
      <c r="H11" s="62">
        <v>0</v>
      </c>
      <c r="I11" s="62">
        <v>0.12835249042145594</v>
      </c>
      <c r="J11" s="61"/>
      <c r="K11" s="62">
        <v>0.14285714285714285</v>
      </c>
      <c r="L11" s="62">
        <v>0.18055555555555552</v>
      </c>
      <c r="M11" s="61"/>
      <c r="N11" s="62">
        <v>0</v>
      </c>
      <c r="O11" s="62">
        <v>8.8235294117647051E-2</v>
      </c>
    </row>
    <row r="12" spans="2:15" x14ac:dyDescent="0.35">
      <c r="B12" s="62">
        <v>1.9764150943396226</v>
      </c>
      <c r="C12" s="62">
        <v>0.66959064327485374</v>
      </c>
      <c r="E12" s="62">
        <v>0</v>
      </c>
      <c r="F12" s="62">
        <v>0</v>
      </c>
      <c r="G12" s="61"/>
      <c r="H12" s="62">
        <v>0.21611721611721615</v>
      </c>
      <c r="I12" s="62">
        <v>0.29734848484848486</v>
      </c>
      <c r="J12" s="61"/>
      <c r="K12" s="62">
        <v>0</v>
      </c>
      <c r="L12" s="62">
        <v>0</v>
      </c>
      <c r="M12" s="61"/>
      <c r="N12" s="62">
        <v>0.21632996632996637</v>
      </c>
      <c r="O12" s="62">
        <v>0.68197278911564618</v>
      </c>
    </row>
    <row r="13" spans="2:15" x14ac:dyDescent="0.35">
      <c r="B13" s="62">
        <v>12.263888888888888</v>
      </c>
      <c r="C13" s="62">
        <v>5.484276729559749</v>
      </c>
      <c r="E13" s="62">
        <v>0</v>
      </c>
      <c r="F13" s="62">
        <v>26.543478260869566</v>
      </c>
      <c r="G13" s="61"/>
      <c r="H13" s="62">
        <v>0.15540540540540543</v>
      </c>
      <c r="I13" s="62">
        <v>0.19</v>
      </c>
      <c r="J13" s="61"/>
      <c r="K13" s="62">
        <v>8.3333333333333329E-2</v>
      </c>
      <c r="L13" s="62">
        <v>0</v>
      </c>
      <c r="M13" s="61"/>
      <c r="N13" s="62">
        <v>0</v>
      </c>
      <c r="O13" s="62">
        <v>1.0256410256410258</v>
      </c>
    </row>
    <row r="14" spans="2:15" x14ac:dyDescent="0.35">
      <c r="B14" s="62">
        <v>9.8016431924882621</v>
      </c>
      <c r="C14" s="62">
        <v>19.04225352112676</v>
      </c>
      <c r="E14" s="62">
        <v>20.027777777777775</v>
      </c>
      <c r="F14" s="62">
        <v>12.512345679012345</v>
      </c>
      <c r="G14" s="61"/>
      <c r="H14" s="62">
        <v>0.13510101010101008</v>
      </c>
      <c r="I14" s="62">
        <v>0.21399176954732507</v>
      </c>
      <c r="J14" s="61"/>
      <c r="K14" s="62">
        <v>0</v>
      </c>
      <c r="L14" s="62">
        <v>0</v>
      </c>
      <c r="M14" s="61"/>
      <c r="N14" s="62">
        <v>0</v>
      </c>
      <c r="O14" s="62">
        <v>0</v>
      </c>
    </row>
    <row r="15" spans="2:15" x14ac:dyDescent="0.35">
      <c r="B15" s="62">
        <v>4.774193548387097</v>
      </c>
      <c r="C15" s="62">
        <v>2.6984126984126982</v>
      </c>
      <c r="E15" s="62">
        <v>29.574999999999999</v>
      </c>
      <c r="F15" s="62">
        <v>8.8967391304347814</v>
      </c>
      <c r="G15" s="61"/>
      <c r="H15" s="62">
        <v>0</v>
      </c>
      <c r="I15" s="62">
        <v>8.3333333333333329E-2</v>
      </c>
      <c r="J15" s="61"/>
      <c r="K15" s="62">
        <v>0</v>
      </c>
      <c r="L15" s="62">
        <v>0</v>
      </c>
      <c r="M15" s="61"/>
      <c r="N15" s="62">
        <v>0</v>
      </c>
      <c r="O15" s="62">
        <v>7.1969696969696975E-2</v>
      </c>
    </row>
    <row r="16" spans="2:15" x14ac:dyDescent="0.35">
      <c r="B16" s="62">
        <v>0.87414965986394555</v>
      </c>
      <c r="C16" s="62">
        <v>0.10950854700854699</v>
      </c>
      <c r="E16" s="62">
        <v>0</v>
      </c>
      <c r="F16" s="62">
        <v>0.13513513513513514</v>
      </c>
      <c r="G16" s="61"/>
      <c r="H16" s="62">
        <v>0</v>
      </c>
      <c r="I16" s="62">
        <v>0</v>
      </c>
      <c r="J16" s="61"/>
      <c r="K16" s="62">
        <v>6.6666666666666666E-2</v>
      </c>
      <c r="L16" s="62">
        <v>0</v>
      </c>
      <c r="M16" s="61"/>
      <c r="N16" s="61"/>
      <c r="O16" s="61"/>
    </row>
    <row r="17" spans="2:15" x14ac:dyDescent="0.35">
      <c r="B17" s="62">
        <v>0</v>
      </c>
      <c r="C17" s="62">
        <v>9.722222222222221E-2</v>
      </c>
      <c r="E17" s="62">
        <v>0</v>
      </c>
      <c r="F17" s="62">
        <v>0</v>
      </c>
      <c r="G17" s="61"/>
      <c r="H17" s="61"/>
      <c r="I17" s="61"/>
      <c r="J17" s="61"/>
      <c r="K17" s="61"/>
      <c r="L17" s="61"/>
      <c r="M17" s="61"/>
      <c r="N17" s="61"/>
      <c r="O17" s="61"/>
    </row>
    <row r="18" spans="2:15" x14ac:dyDescent="0.35">
      <c r="B18" s="62">
        <v>0</v>
      </c>
      <c r="C18" s="62">
        <v>0</v>
      </c>
      <c r="E18" s="62">
        <v>0</v>
      </c>
      <c r="F18" s="62">
        <v>0</v>
      </c>
      <c r="G18" s="61"/>
      <c r="H18" s="61"/>
      <c r="I18" s="61"/>
      <c r="J18" s="61"/>
      <c r="K18" s="61"/>
      <c r="L18" s="61"/>
      <c r="M18" s="61"/>
      <c r="N18" s="61"/>
      <c r="O18" s="61"/>
    </row>
    <row r="19" spans="2:15" x14ac:dyDescent="0.35">
      <c r="B19" s="62">
        <v>0</v>
      </c>
      <c r="C19" s="62">
        <v>0.84294871794871806</v>
      </c>
      <c r="E19" s="62">
        <v>0</v>
      </c>
      <c r="F19" s="62">
        <v>0</v>
      </c>
      <c r="G19" s="61"/>
      <c r="H19" s="61"/>
      <c r="I19" s="61"/>
      <c r="J19" s="61"/>
      <c r="K19" s="61"/>
      <c r="L19" s="61"/>
      <c r="M19" s="61"/>
      <c r="N19" s="61"/>
      <c r="O19" s="61"/>
    </row>
    <row r="20" spans="2:15" x14ac:dyDescent="0.35">
      <c r="B20" s="62">
        <v>0</v>
      </c>
      <c r="C20" s="62">
        <v>0</v>
      </c>
      <c r="E20" s="62">
        <v>0</v>
      </c>
      <c r="F20" s="62">
        <v>9.2448979591836729</v>
      </c>
      <c r="G20" s="61"/>
      <c r="H20" s="61"/>
      <c r="I20" s="61"/>
      <c r="J20" s="61"/>
      <c r="K20" s="61"/>
      <c r="L20" s="61"/>
      <c r="M20" s="61"/>
      <c r="N20" s="61"/>
      <c r="O20" s="61"/>
    </row>
    <row r="21" spans="2:15" x14ac:dyDescent="0.35">
      <c r="B21" s="62">
        <v>1.2297297297297298</v>
      </c>
      <c r="C21" s="62">
        <v>1.3217391304347825</v>
      </c>
      <c r="E21" s="62">
        <v>0</v>
      </c>
      <c r="F21" s="62">
        <v>1.6987704918032789</v>
      </c>
      <c r="G21" s="61"/>
      <c r="H21" s="61"/>
      <c r="I21" s="61"/>
      <c r="J21" s="61"/>
      <c r="K21" s="61"/>
      <c r="L21" s="61"/>
      <c r="M21" s="61"/>
      <c r="N21" s="61"/>
      <c r="O21" s="61"/>
    </row>
    <row r="22" spans="2:15" x14ac:dyDescent="0.35">
      <c r="B22" s="62">
        <v>0.88557213930348255</v>
      </c>
      <c r="C22" s="62">
        <v>0.46920289855072467</v>
      </c>
      <c r="E22" s="62">
        <v>0.69444444444444442</v>
      </c>
      <c r="F22" s="62">
        <v>0</v>
      </c>
      <c r="G22" s="61"/>
      <c r="H22" s="61"/>
      <c r="I22" s="61"/>
      <c r="J22" s="61"/>
      <c r="K22" s="61"/>
      <c r="L22" s="61"/>
      <c r="M22" s="61"/>
      <c r="N22" s="61"/>
      <c r="O22" s="61"/>
    </row>
  </sheetData>
  <mergeCells count="5">
    <mergeCell ref="H2:I2"/>
    <mergeCell ref="K2:L2"/>
    <mergeCell ref="N2:O2"/>
    <mergeCell ref="B2:C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0D8C-D582-4509-8287-527933BAD648}">
  <sheetPr codeName="XLSTAT_20230117_102702_1">
    <tabColor rgb="FF007800"/>
  </sheetPr>
  <dimension ref="B1:M38"/>
  <sheetViews>
    <sheetView topLeftCell="A19" zoomScaleNormal="100" workbookViewId="0">
      <selection activeCell="L18" sqref="L18"/>
    </sheetView>
  </sheetViews>
  <sheetFormatPr defaultRowHeight="14.5" x14ac:dyDescent="0.35"/>
  <cols>
    <col min="1" max="1" width="4.6328125" customWidth="1"/>
    <col min="2" max="2" width="8.7265625" customWidth="1"/>
  </cols>
  <sheetData>
    <row r="1" spans="2:13" x14ac:dyDescent="0.35">
      <c r="B1" s="80" t="s">
        <v>66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8"/>
    </row>
    <row r="2" spans="2:13" x14ac:dyDescent="0.3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8"/>
    </row>
    <row r="3" spans="2:13" x14ac:dyDescent="0.35">
      <c r="B3" t="s">
        <v>95</v>
      </c>
    </row>
    <row r="4" spans="2:13" x14ac:dyDescent="0.35">
      <c r="B4" t="s">
        <v>67</v>
      </c>
    </row>
    <row r="5" spans="2:13" x14ac:dyDescent="0.35">
      <c r="B5" t="s">
        <v>68</v>
      </c>
    </row>
    <row r="6" spans="2:13" x14ac:dyDescent="0.35">
      <c r="B6" t="s">
        <v>69</v>
      </c>
    </row>
    <row r="7" spans="2:13" x14ac:dyDescent="0.35">
      <c r="B7" t="s">
        <v>70</v>
      </c>
    </row>
    <row r="8" spans="2:13" x14ac:dyDescent="0.35">
      <c r="B8" t="s">
        <v>71</v>
      </c>
    </row>
    <row r="9" spans="2:13" x14ac:dyDescent="0.35">
      <c r="B9" t="s">
        <v>72</v>
      </c>
    </row>
    <row r="10" spans="2:13" ht="38" customHeight="1" x14ac:dyDescent="0.35"/>
    <row r="11" spans="2:13" ht="16" customHeight="1" x14ac:dyDescent="0.35">
      <c r="B11" s="59"/>
    </row>
    <row r="14" spans="2:13" x14ac:dyDescent="0.35">
      <c r="B14" s="81" t="s">
        <v>73</v>
      </c>
    </row>
    <row r="15" spans="2:13" ht="15" thickBot="1" x14ac:dyDescent="0.4"/>
    <row r="16" spans="2:13" ht="29" customHeight="1" x14ac:dyDescent="0.35">
      <c r="B16" s="83" t="s">
        <v>74</v>
      </c>
      <c r="C16" s="84" t="s">
        <v>75</v>
      </c>
      <c r="D16" s="84" t="s">
        <v>76</v>
      </c>
      <c r="E16" s="84" t="s">
        <v>77</v>
      </c>
      <c r="F16" s="84" t="s">
        <v>78</v>
      </c>
      <c r="G16" s="84" t="s">
        <v>79</v>
      </c>
      <c r="H16" s="84" t="s">
        <v>80</v>
      </c>
      <c r="I16" s="84" t="s">
        <v>81</v>
      </c>
    </row>
    <row r="17" spans="2:9" x14ac:dyDescent="0.35">
      <c r="B17" s="85" t="s">
        <v>65</v>
      </c>
      <c r="C17" s="87">
        <v>19</v>
      </c>
      <c r="D17" s="87">
        <v>0</v>
      </c>
      <c r="E17" s="87">
        <v>19</v>
      </c>
      <c r="F17" s="89">
        <v>0</v>
      </c>
      <c r="G17" s="89">
        <v>12.263888888888888</v>
      </c>
      <c r="H17" s="89">
        <v>1.7943095746479627</v>
      </c>
      <c r="I17" s="89">
        <v>3.4664300167836459</v>
      </c>
    </row>
    <row r="18" spans="2:9" ht="15" thickBot="1" x14ac:dyDescent="0.4">
      <c r="B18" s="86" t="s">
        <v>44</v>
      </c>
      <c r="C18" s="88">
        <v>19</v>
      </c>
      <c r="D18" s="88">
        <v>0</v>
      </c>
      <c r="E18" s="88">
        <v>19</v>
      </c>
      <c r="F18" s="90">
        <v>0</v>
      </c>
      <c r="G18" s="90">
        <v>19.04225352112676</v>
      </c>
      <c r="H18" s="90">
        <v>1.6996523860187569</v>
      </c>
      <c r="I18" s="90">
        <v>4.4046249267064939</v>
      </c>
    </row>
    <row r="21" spans="2:9" x14ac:dyDescent="0.35">
      <c r="B21" s="81" t="s">
        <v>82</v>
      </c>
    </row>
    <row r="22" spans="2:9" ht="15" thickBot="1" x14ac:dyDescent="0.4"/>
    <row r="23" spans="2:9" x14ac:dyDescent="0.35">
      <c r="B23" s="91" t="s">
        <v>83</v>
      </c>
      <c r="C23" s="92">
        <v>191</v>
      </c>
    </row>
    <row r="24" spans="2:9" x14ac:dyDescent="0.35">
      <c r="B24" s="82" t="s">
        <v>84</v>
      </c>
      <c r="C24" s="93">
        <v>0.29552619031961042</v>
      </c>
    </row>
    <row r="25" spans="2:9" x14ac:dyDescent="0.35">
      <c r="B25" s="82" t="s">
        <v>85</v>
      </c>
      <c r="C25" s="93">
        <v>180.5</v>
      </c>
    </row>
    <row r="26" spans="2:9" x14ac:dyDescent="0.35">
      <c r="B26" s="82" t="s">
        <v>86</v>
      </c>
      <c r="C26" s="93">
        <v>1145.0067567567567</v>
      </c>
    </row>
    <row r="27" spans="2:9" x14ac:dyDescent="0.35">
      <c r="B27" s="82" t="s">
        <v>87</v>
      </c>
      <c r="C27" s="94">
        <v>0.767591948293604</v>
      </c>
    </row>
    <row r="28" spans="2:9" ht="15" thickBot="1" x14ac:dyDescent="0.4">
      <c r="B28" s="86" t="s">
        <v>88</v>
      </c>
      <c r="C28" s="88">
        <v>0.05</v>
      </c>
    </row>
    <row r="29" spans="2:9" x14ac:dyDescent="0.35">
      <c r="B29" t="s">
        <v>89</v>
      </c>
    </row>
    <row r="31" spans="2:9" x14ac:dyDescent="0.35">
      <c r="B31" s="81" t="s">
        <v>90</v>
      </c>
    </row>
    <row r="32" spans="2:9" x14ac:dyDescent="0.35">
      <c r="B32" s="81" t="s">
        <v>91</v>
      </c>
    </row>
    <row r="33" spans="2:10" x14ac:dyDescent="0.35">
      <c r="B33" s="81" t="s">
        <v>92</v>
      </c>
    </row>
    <row r="34" spans="2:10" ht="14.5" customHeight="1" x14ac:dyDescent="0.35">
      <c r="B34" s="95" t="s">
        <v>93</v>
      </c>
      <c r="C34" s="95"/>
      <c r="D34" s="95"/>
      <c r="E34" s="95"/>
      <c r="F34" s="95"/>
      <c r="G34" s="95"/>
      <c r="H34" s="95"/>
      <c r="I34" s="95"/>
      <c r="J34" s="95"/>
    </row>
    <row r="35" spans="2:10" x14ac:dyDescent="0.35">
      <c r="B35" s="95"/>
      <c r="C35" s="95"/>
      <c r="D35" s="95"/>
      <c r="E35" s="95"/>
      <c r="F35" s="95"/>
      <c r="G35" s="95"/>
      <c r="H35" s="95"/>
      <c r="I35" s="95"/>
      <c r="J35" s="95"/>
    </row>
    <row r="38" spans="2:10" x14ac:dyDescent="0.35">
      <c r="B38" t="s">
        <v>94</v>
      </c>
    </row>
  </sheetData>
  <mergeCells count="2">
    <mergeCell ref="B1:L2"/>
    <mergeCell ref="B34:J35"/>
  </mergeCells>
  <pageMargins left="0.7" right="0.7" top="0.75" bottom="0.75" header="0.3" footer="0.3"/>
  <pageSetup orientation="portrait" verticalDpi="0" r:id="rId1"/>
  <ignoredErrors>
    <ignoredError sqref="A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D688787">
              <controlPr defaultSize="0" autoFill="0" autoPict="0" macro="[0]!GoToResultsNew0117202310274710">
                <anchor moveWithCells="1">
                  <from>
                    <xdr:col>1</xdr:col>
                    <xdr:colOff>6350</xdr:colOff>
                    <xdr:row>9</xdr:row>
                    <xdr:rowOff>476250</xdr:rowOff>
                  </from>
                  <to>
                    <xdr:col>4</xdr:col>
                    <xdr:colOff>6350</xdr:colOff>
                    <xdr:row>10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6E01-0C08-4162-8BC5-FDB4F75CB5C6}">
  <sheetPr codeName="XLSTAT_20230117_103439_1">
    <tabColor rgb="FF007800"/>
  </sheetPr>
  <dimension ref="B1:M38"/>
  <sheetViews>
    <sheetView topLeftCell="A13" zoomScaleNormal="100" workbookViewId="0">
      <selection activeCell="K24" sqref="K24"/>
    </sheetView>
  </sheetViews>
  <sheetFormatPr defaultRowHeight="14.5" x14ac:dyDescent="0.35"/>
  <cols>
    <col min="1" max="1" width="4.6328125" customWidth="1"/>
    <col min="2" max="2" width="13.81640625" customWidth="1"/>
  </cols>
  <sheetData>
    <row r="1" spans="2:13" x14ac:dyDescent="0.35">
      <c r="B1" s="80" t="s">
        <v>66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8"/>
    </row>
    <row r="2" spans="2:13" x14ac:dyDescent="0.3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8"/>
    </row>
    <row r="3" spans="2:13" x14ac:dyDescent="0.35">
      <c r="B3" t="s">
        <v>99</v>
      </c>
    </row>
    <row r="4" spans="2:13" x14ac:dyDescent="0.35">
      <c r="B4" t="s">
        <v>67</v>
      </c>
    </row>
    <row r="5" spans="2:13" x14ac:dyDescent="0.35">
      <c r="B5" t="s">
        <v>96</v>
      </c>
    </row>
    <row r="6" spans="2:13" x14ac:dyDescent="0.35">
      <c r="B6" t="s">
        <v>97</v>
      </c>
    </row>
    <row r="7" spans="2:13" x14ac:dyDescent="0.35">
      <c r="B7" t="s">
        <v>70</v>
      </c>
    </row>
    <row r="8" spans="2:13" x14ac:dyDescent="0.35">
      <c r="B8" t="s">
        <v>71</v>
      </c>
    </row>
    <row r="9" spans="2:13" x14ac:dyDescent="0.35">
      <c r="B9" t="s">
        <v>72</v>
      </c>
    </row>
    <row r="10" spans="2:13" ht="38" customHeight="1" x14ac:dyDescent="0.35"/>
    <row r="11" spans="2:13" ht="16" customHeight="1" x14ac:dyDescent="0.35">
      <c r="B11" s="59"/>
    </row>
    <row r="14" spans="2:13" x14ac:dyDescent="0.35">
      <c r="B14" s="81" t="s">
        <v>73</v>
      </c>
    </row>
    <row r="15" spans="2:13" ht="15" thickBot="1" x14ac:dyDescent="0.4"/>
    <row r="16" spans="2:13" ht="29" customHeight="1" x14ac:dyDescent="0.35">
      <c r="B16" s="83" t="s">
        <v>74</v>
      </c>
      <c r="C16" s="84" t="s">
        <v>75</v>
      </c>
      <c r="D16" s="84" t="s">
        <v>76</v>
      </c>
      <c r="E16" s="84" t="s">
        <v>77</v>
      </c>
      <c r="F16" s="84" t="s">
        <v>78</v>
      </c>
      <c r="G16" s="84" t="s">
        <v>79</v>
      </c>
      <c r="H16" s="84" t="s">
        <v>80</v>
      </c>
      <c r="I16" s="84" t="s">
        <v>81</v>
      </c>
    </row>
    <row r="17" spans="2:9" x14ac:dyDescent="0.35">
      <c r="B17" s="85" t="s">
        <v>65</v>
      </c>
      <c r="C17" s="87">
        <v>19</v>
      </c>
      <c r="D17" s="87">
        <v>0</v>
      </c>
      <c r="E17" s="87">
        <v>19</v>
      </c>
      <c r="F17" s="89">
        <v>0</v>
      </c>
      <c r="G17" s="89">
        <v>29.574999999999999</v>
      </c>
      <c r="H17" s="89">
        <v>2.6979020467836259</v>
      </c>
      <c r="I17" s="89">
        <v>7.9534546209993762</v>
      </c>
    </row>
    <row r="18" spans="2:9" ht="15" thickBot="1" x14ac:dyDescent="0.4">
      <c r="B18" s="86" t="s">
        <v>44</v>
      </c>
      <c r="C18" s="88">
        <v>19</v>
      </c>
      <c r="D18" s="88">
        <v>0</v>
      </c>
      <c r="E18" s="88">
        <v>19</v>
      </c>
      <c r="F18" s="90">
        <v>0</v>
      </c>
      <c r="G18" s="90">
        <v>26.543478260869566</v>
      </c>
      <c r="H18" s="90">
        <v>3.1372545837995083</v>
      </c>
      <c r="I18" s="90">
        <v>6.8386175754058653</v>
      </c>
    </row>
    <row r="21" spans="2:9" x14ac:dyDescent="0.35">
      <c r="B21" s="81" t="s">
        <v>82</v>
      </c>
    </row>
    <row r="22" spans="2:9" ht="15" thickBot="1" x14ac:dyDescent="0.4"/>
    <row r="23" spans="2:9" x14ac:dyDescent="0.35">
      <c r="B23" s="91" t="s">
        <v>83</v>
      </c>
      <c r="C23" s="92">
        <v>154</v>
      </c>
    </row>
    <row r="24" spans="2:9" x14ac:dyDescent="0.35">
      <c r="B24" s="82" t="s">
        <v>84</v>
      </c>
      <c r="C24" s="93">
        <v>0</v>
      </c>
    </row>
    <row r="25" spans="2:9" x14ac:dyDescent="0.35">
      <c r="B25" s="82" t="s">
        <v>85</v>
      </c>
      <c r="C25" s="93">
        <v>180.5</v>
      </c>
    </row>
    <row r="26" spans="2:9" x14ac:dyDescent="0.35">
      <c r="B26" s="82" t="s">
        <v>86</v>
      </c>
      <c r="C26" s="93">
        <v>839.46621621621625</v>
      </c>
    </row>
    <row r="27" spans="2:9" x14ac:dyDescent="0.35">
      <c r="B27" s="82" t="s">
        <v>87</v>
      </c>
      <c r="C27" s="94">
        <v>0.38105090051697393</v>
      </c>
    </row>
    <row r="28" spans="2:9" ht="15" thickBot="1" x14ac:dyDescent="0.4">
      <c r="B28" s="86" t="s">
        <v>88</v>
      </c>
      <c r="C28" s="88">
        <v>0.05</v>
      </c>
    </row>
    <row r="29" spans="2:9" x14ac:dyDescent="0.35">
      <c r="B29" t="s">
        <v>98</v>
      </c>
    </row>
    <row r="31" spans="2:9" x14ac:dyDescent="0.35">
      <c r="B31" s="81" t="s">
        <v>90</v>
      </c>
    </row>
    <row r="32" spans="2:9" x14ac:dyDescent="0.35">
      <c r="B32" s="81" t="s">
        <v>91</v>
      </c>
    </row>
    <row r="33" spans="2:10" x14ac:dyDescent="0.35">
      <c r="B33" s="81" t="s">
        <v>92</v>
      </c>
    </row>
    <row r="34" spans="2:10" ht="14.5" customHeight="1" x14ac:dyDescent="0.35">
      <c r="B34" s="95" t="s">
        <v>93</v>
      </c>
      <c r="C34" s="95"/>
      <c r="D34" s="95"/>
      <c r="E34" s="95"/>
      <c r="F34" s="95"/>
      <c r="G34" s="95"/>
      <c r="H34" s="95"/>
      <c r="I34" s="95"/>
      <c r="J34" s="95"/>
    </row>
    <row r="35" spans="2:10" x14ac:dyDescent="0.35">
      <c r="B35" s="95"/>
      <c r="C35" s="95"/>
      <c r="D35" s="95"/>
      <c r="E35" s="95"/>
      <c r="F35" s="95"/>
      <c r="G35" s="95"/>
      <c r="H35" s="95"/>
      <c r="I35" s="95"/>
      <c r="J35" s="95"/>
    </row>
    <row r="38" spans="2:10" x14ac:dyDescent="0.35">
      <c r="B38" t="s">
        <v>94</v>
      </c>
    </row>
  </sheetData>
  <mergeCells count="2">
    <mergeCell ref="B1:L2"/>
    <mergeCell ref="B34:J35"/>
  </mergeCells>
  <pageMargins left="0.7" right="0.7" top="0.75" bottom="0.75" header="0.3" footer="0.3"/>
  <ignoredErrors>
    <ignoredError sqref="A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DD113263">
              <controlPr defaultSize="0" autoFill="0" autoPict="0" macro="[0]!GoToResultsNew0117202310362675">
                <anchor moveWithCells="1">
                  <from>
                    <xdr:col>1</xdr:col>
                    <xdr:colOff>6350</xdr:colOff>
                    <xdr:row>9</xdr:row>
                    <xdr:rowOff>476250</xdr:rowOff>
                  </from>
                  <to>
                    <xdr:col>3</xdr:col>
                    <xdr:colOff>260350</xdr:colOff>
                    <xdr:row>10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DF91-C281-4777-A318-02B169B5196B}">
  <sheetPr codeName="XLSTAT_20230117_105135_1">
    <tabColor rgb="FF007800"/>
  </sheetPr>
  <dimension ref="B1:M38"/>
  <sheetViews>
    <sheetView zoomScaleNormal="100" workbookViewId="0">
      <selection activeCell="K27" sqref="K27"/>
    </sheetView>
  </sheetViews>
  <sheetFormatPr defaultRowHeight="14.5" x14ac:dyDescent="0.35"/>
  <cols>
    <col min="1" max="1" width="4.6328125" customWidth="1"/>
    <col min="2" max="2" width="8.7265625" customWidth="1"/>
  </cols>
  <sheetData>
    <row r="1" spans="2:13" x14ac:dyDescent="0.35">
      <c r="B1" s="80" t="s">
        <v>66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8"/>
    </row>
    <row r="2" spans="2:13" x14ac:dyDescent="0.3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8"/>
    </row>
    <row r="3" spans="2:13" x14ac:dyDescent="0.35">
      <c r="B3" t="s">
        <v>102</v>
      </c>
    </row>
    <row r="4" spans="2:13" x14ac:dyDescent="0.35">
      <c r="B4" t="s">
        <v>67</v>
      </c>
    </row>
    <row r="5" spans="2:13" x14ac:dyDescent="0.35">
      <c r="B5" t="s">
        <v>100</v>
      </c>
    </row>
    <row r="6" spans="2:13" x14ac:dyDescent="0.35">
      <c r="B6" t="s">
        <v>101</v>
      </c>
    </row>
    <row r="7" spans="2:13" x14ac:dyDescent="0.35">
      <c r="B7" t="s">
        <v>70</v>
      </c>
    </row>
    <row r="8" spans="2:13" x14ac:dyDescent="0.35">
      <c r="B8" t="s">
        <v>71</v>
      </c>
    </row>
    <row r="9" spans="2:13" x14ac:dyDescent="0.35">
      <c r="B9" t="s">
        <v>72</v>
      </c>
    </row>
    <row r="10" spans="2:13" ht="38" customHeight="1" x14ac:dyDescent="0.35"/>
    <row r="11" spans="2:13" ht="16" customHeight="1" x14ac:dyDescent="0.35">
      <c r="B11" s="59"/>
    </row>
    <row r="14" spans="2:13" x14ac:dyDescent="0.35">
      <c r="B14" s="81" t="s">
        <v>73</v>
      </c>
    </row>
    <row r="15" spans="2:13" ht="15" thickBot="1" x14ac:dyDescent="0.4"/>
    <row r="16" spans="2:13" ht="29" customHeight="1" x14ac:dyDescent="0.35">
      <c r="B16" s="83" t="s">
        <v>74</v>
      </c>
      <c r="C16" s="84" t="s">
        <v>75</v>
      </c>
      <c r="D16" s="84" t="s">
        <v>76</v>
      </c>
      <c r="E16" s="84" t="s">
        <v>77</v>
      </c>
      <c r="F16" s="84" t="s">
        <v>78</v>
      </c>
      <c r="G16" s="84" t="s">
        <v>79</v>
      </c>
      <c r="H16" s="84" t="s">
        <v>80</v>
      </c>
      <c r="I16" s="84" t="s">
        <v>81</v>
      </c>
    </row>
    <row r="17" spans="2:9" x14ac:dyDescent="0.35">
      <c r="B17" s="85" t="s">
        <v>65</v>
      </c>
      <c r="C17" s="87">
        <v>13</v>
      </c>
      <c r="D17" s="87">
        <v>0</v>
      </c>
      <c r="E17" s="87">
        <v>13</v>
      </c>
      <c r="F17" s="89">
        <v>0</v>
      </c>
      <c r="G17" s="89">
        <v>8.6392405063291129</v>
      </c>
      <c r="H17" s="89">
        <v>1.4523744253507014</v>
      </c>
      <c r="I17" s="89">
        <v>2.6313748487666393</v>
      </c>
    </row>
    <row r="18" spans="2:9" ht="15" thickBot="1" x14ac:dyDescent="0.4">
      <c r="B18" s="86" t="s">
        <v>44</v>
      </c>
      <c r="C18" s="88">
        <v>13</v>
      </c>
      <c r="D18" s="88">
        <v>0</v>
      </c>
      <c r="E18" s="88">
        <v>13</v>
      </c>
      <c r="F18" s="90">
        <v>0</v>
      </c>
      <c r="G18" s="90">
        <v>18.071428571428569</v>
      </c>
      <c r="H18" s="90">
        <v>1.9378104456198775</v>
      </c>
      <c r="I18" s="90">
        <v>4.914906399929925</v>
      </c>
    </row>
    <row r="21" spans="2:9" x14ac:dyDescent="0.35">
      <c r="B21" s="81" t="s">
        <v>82</v>
      </c>
    </row>
    <row r="22" spans="2:9" ht="15" thickBot="1" x14ac:dyDescent="0.4"/>
    <row r="23" spans="2:9" x14ac:dyDescent="0.35">
      <c r="B23" s="91" t="s">
        <v>83</v>
      </c>
      <c r="C23" s="96">
        <v>78.5</v>
      </c>
    </row>
    <row r="24" spans="2:9" x14ac:dyDescent="0.35">
      <c r="B24" s="82" t="s">
        <v>84</v>
      </c>
      <c r="C24" s="93">
        <v>0</v>
      </c>
    </row>
    <row r="25" spans="2:9" x14ac:dyDescent="0.35">
      <c r="B25" s="82" t="s">
        <v>85</v>
      </c>
      <c r="C25" s="93">
        <v>84.5</v>
      </c>
    </row>
    <row r="26" spans="2:9" x14ac:dyDescent="0.35">
      <c r="B26" s="82" t="s">
        <v>86</v>
      </c>
      <c r="C26" s="93">
        <v>378.95</v>
      </c>
    </row>
    <row r="27" spans="2:9" x14ac:dyDescent="0.35">
      <c r="B27" s="82" t="s">
        <v>87</v>
      </c>
      <c r="C27" s="94">
        <v>0.7707145741591831</v>
      </c>
    </row>
    <row r="28" spans="2:9" ht="15" thickBot="1" x14ac:dyDescent="0.4">
      <c r="B28" s="86" t="s">
        <v>88</v>
      </c>
      <c r="C28" s="88">
        <v>0.05</v>
      </c>
    </row>
    <row r="29" spans="2:9" x14ac:dyDescent="0.35">
      <c r="B29" t="s">
        <v>98</v>
      </c>
    </row>
    <row r="31" spans="2:9" x14ac:dyDescent="0.35">
      <c r="B31" s="81" t="s">
        <v>90</v>
      </c>
    </row>
    <row r="32" spans="2:9" x14ac:dyDescent="0.35">
      <c r="B32" s="81" t="s">
        <v>91</v>
      </c>
    </row>
    <row r="33" spans="2:10" x14ac:dyDescent="0.35">
      <c r="B33" s="81" t="s">
        <v>92</v>
      </c>
    </row>
    <row r="34" spans="2:10" ht="14.5" customHeight="1" x14ac:dyDescent="0.35">
      <c r="B34" s="95" t="s">
        <v>93</v>
      </c>
      <c r="C34" s="95"/>
      <c r="D34" s="95"/>
      <c r="E34" s="95"/>
      <c r="F34" s="95"/>
      <c r="G34" s="95"/>
      <c r="H34" s="95"/>
      <c r="I34" s="95"/>
      <c r="J34" s="95"/>
    </row>
    <row r="35" spans="2:10" x14ac:dyDescent="0.35">
      <c r="B35" s="95"/>
      <c r="C35" s="95"/>
      <c r="D35" s="95"/>
      <c r="E35" s="95"/>
      <c r="F35" s="95"/>
      <c r="G35" s="95"/>
      <c r="H35" s="95"/>
      <c r="I35" s="95"/>
      <c r="J35" s="95"/>
    </row>
    <row r="38" spans="2:10" x14ac:dyDescent="0.35">
      <c r="B38" t="s">
        <v>94</v>
      </c>
    </row>
  </sheetData>
  <mergeCells count="2">
    <mergeCell ref="B1:L2"/>
    <mergeCell ref="B34:J35"/>
  </mergeCells>
  <pageMargins left="0.7" right="0.7" top="0.75" bottom="0.75" header="0.3" footer="0.3"/>
  <ignoredErrors>
    <ignoredError sqref="A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DD929987">
              <controlPr defaultSize="0" autoFill="0" autoPict="0" macro="[0]!GoToResultsNew0117202310534332">
                <anchor moveWithCells="1">
                  <from>
                    <xdr:col>1</xdr:col>
                    <xdr:colOff>6350</xdr:colOff>
                    <xdr:row>9</xdr:row>
                    <xdr:rowOff>476250</xdr:rowOff>
                  </from>
                  <to>
                    <xdr:col>4</xdr:col>
                    <xdr:colOff>6350</xdr:colOff>
                    <xdr:row>10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Gounougou-Simatou</vt:lpstr>
      <vt:lpstr>Mangoum-Nyab-Bonaberi</vt:lpstr>
      <vt:lpstr>Total AG</vt:lpstr>
      <vt:lpstr>Other An</vt:lpstr>
      <vt:lpstr>Table 4</vt:lpstr>
      <vt:lpstr>EIR indoor vs outdoor</vt:lpstr>
      <vt:lpstr>Mann-Whitney-Gounougou</vt:lpstr>
      <vt:lpstr>Mann-Whitney-Simatou</vt:lpstr>
      <vt:lpstr>Mann-Whitney-Mangoum</vt:lpstr>
      <vt:lpstr>Mann-Whitney-Nyabessang</vt:lpstr>
      <vt:lpstr>Mann-Whitney-Bonaberi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Chabi</dc:creator>
  <cp:lastModifiedBy>Joseph Chabi</cp:lastModifiedBy>
  <dcterms:created xsi:type="dcterms:W3CDTF">2022-12-22T13:29:51Z</dcterms:created>
  <dcterms:modified xsi:type="dcterms:W3CDTF">2023-01-17T11:40:00Z</dcterms:modified>
</cp:coreProperties>
</file>