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Box\Armstrong Docs\2015 Wellcome Trust Grant\Manuscript -- Brittany's APHA paper\Proofs from Nutr J\"/>
    </mc:Choice>
  </mc:AlternateContent>
  <xr:revisionPtr revIDLastSave="0" documentId="8_{DBE5F7F2-E3FD-4188-BEBA-A4CD431DA13F}" xr6:coauthVersionLast="46" xr6:coauthVersionMax="46" xr10:uidLastSave="{00000000-0000-0000-0000-000000000000}"/>
  <bookViews>
    <workbookView xWindow="16152" yWindow="2820" windowWidth="25416" windowHeight="12204" xr2:uid="{D6968B65-57E3-0B44-8AB7-C13F529AC261}"/>
  </bookViews>
  <sheets>
    <sheet name="Germany GHGE" sheetId="2" r:id="rId1"/>
    <sheet name="India GHGE" sheetId="3" r:id="rId2"/>
    <sheet name="Oman GHGE" sheetId="4" r:id="rId3"/>
    <sheet name="The Netherlands GHGE" sheetId="12" r:id="rId4"/>
    <sheet name="Thailand GHGE" sheetId="6" r:id="rId5"/>
    <sheet name="U.S. GHGE" sheetId="5" r:id="rId6"/>
    <sheet name="U.S. Vegetarian GHGE" sheetId="11" r:id="rId7"/>
    <sheet name="Uruguay GHGE" sheetId="7" r:id="rId8"/>
    <sheet name="EAT LANCET GHGE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" i="12" l="1"/>
  <c r="F71" i="12"/>
  <c r="F54" i="12"/>
  <c r="F53" i="12"/>
  <c r="F52" i="12"/>
  <c r="F55" i="12" s="1"/>
  <c r="F49" i="12"/>
  <c r="H49" i="12" s="1"/>
  <c r="F107" i="12"/>
  <c r="F106" i="12"/>
  <c r="F105" i="12"/>
  <c r="F104" i="12"/>
  <c r="F103" i="12"/>
  <c r="F102" i="12"/>
  <c r="F108" i="12" s="1"/>
  <c r="H108" i="12" s="1"/>
  <c r="F101" i="12"/>
  <c r="F100" i="12"/>
  <c r="F95" i="12"/>
  <c r="F94" i="12"/>
  <c r="F96" i="12" s="1"/>
  <c r="F93" i="12"/>
  <c r="F92" i="12"/>
  <c r="F91" i="12"/>
  <c r="B87" i="12"/>
  <c r="F86" i="12"/>
  <c r="F85" i="12"/>
  <c r="F84" i="12"/>
  <c r="F83" i="12"/>
  <c r="F82" i="12"/>
  <c r="F81" i="12"/>
  <c r="F80" i="12"/>
  <c r="F79" i="12"/>
  <c r="F87" i="12" s="1"/>
  <c r="H87" i="12" s="1"/>
  <c r="F78" i="12"/>
  <c r="F70" i="12"/>
  <c r="F69" i="12"/>
  <c r="F68" i="12"/>
  <c r="F67" i="12"/>
  <c r="F66" i="12"/>
  <c r="F65" i="12"/>
  <c r="F61" i="12"/>
  <c r="F62" i="12" s="1"/>
  <c r="F60" i="12"/>
  <c r="B42" i="12"/>
  <c r="F44" i="12"/>
  <c r="B36" i="12"/>
  <c r="B24" i="12"/>
  <c r="B17" i="12"/>
  <c r="F22" i="12"/>
  <c r="B8" i="12"/>
  <c r="F6" i="12"/>
  <c r="F5" i="12"/>
  <c r="F7" i="12"/>
  <c r="H62" i="12"/>
  <c r="F20" i="12"/>
  <c r="F34" i="12"/>
  <c r="F19" i="12"/>
  <c r="F23" i="12" s="1"/>
  <c r="F21" i="12"/>
  <c r="H44" i="12"/>
  <c r="F29" i="12"/>
  <c r="B79" i="11"/>
  <c r="F81" i="11"/>
  <c r="B71" i="11"/>
  <c r="F76" i="11"/>
  <c r="B66" i="11"/>
  <c r="F69" i="11" s="1"/>
  <c r="F68" i="11"/>
  <c r="F70" i="11" s="1"/>
  <c r="B60" i="11"/>
  <c r="B57" i="11"/>
  <c r="F59" i="11"/>
  <c r="B18" i="11"/>
  <c r="F20" i="11" s="1"/>
  <c r="B12" i="11"/>
  <c r="F15" i="11" s="1"/>
  <c r="F17" i="11" s="1"/>
  <c r="F16" i="11"/>
  <c r="B6" i="11"/>
  <c r="B3" i="11"/>
  <c r="F5" i="11"/>
  <c r="B93" i="5"/>
  <c r="B85" i="5"/>
  <c r="F91" i="5" s="1"/>
  <c r="F90" i="5"/>
  <c r="B80" i="5"/>
  <c r="B74" i="5"/>
  <c r="F77" i="5" s="1"/>
  <c r="F76" i="5"/>
  <c r="B71" i="5"/>
  <c r="F73" i="5" s="1"/>
  <c r="B28" i="5"/>
  <c r="F33" i="5" s="1"/>
  <c r="F32" i="5"/>
  <c r="B12" i="5"/>
  <c r="B3" i="5"/>
  <c r="F10" i="5"/>
  <c r="F75" i="11"/>
  <c r="F82" i="11"/>
  <c r="F83" i="11"/>
  <c r="F14" i="11"/>
  <c r="F9" i="11"/>
  <c r="F20" i="5"/>
  <c r="F24" i="5"/>
  <c r="F87" i="5"/>
  <c r="F88" i="5"/>
  <c r="F16" i="5"/>
  <c r="F89" i="5"/>
  <c r="F92" i="5" s="1"/>
  <c r="F78" i="5"/>
  <c r="F7" i="5"/>
  <c r="F8" i="5"/>
  <c r="F17" i="5"/>
  <c r="F21" i="5"/>
  <c r="F30" i="5"/>
  <c r="F5" i="5"/>
  <c r="F9" i="5"/>
  <c r="F22" i="5"/>
  <c r="F26" i="5"/>
  <c r="F6" i="5"/>
  <c r="F15" i="5"/>
  <c r="F19" i="5"/>
  <c r="F28" i="11"/>
  <c r="F27" i="11"/>
  <c r="F26" i="11"/>
  <c r="F25" i="11"/>
  <c r="F29" i="11" s="1"/>
  <c r="F96" i="11"/>
  <c r="F95" i="11"/>
  <c r="F94" i="11"/>
  <c r="F93" i="11"/>
  <c r="F92" i="11"/>
  <c r="F91" i="11"/>
  <c r="F90" i="11"/>
  <c r="F89" i="11"/>
  <c r="F88" i="11"/>
  <c r="F53" i="11"/>
  <c r="F52" i="11"/>
  <c r="F51" i="11"/>
  <c r="F50" i="11"/>
  <c r="F49" i="11"/>
  <c r="F48" i="11"/>
  <c r="F47" i="11"/>
  <c r="F54" i="11" s="1"/>
  <c r="F46" i="11"/>
  <c r="F45" i="11"/>
  <c r="F44" i="11"/>
  <c r="F39" i="11"/>
  <c r="F38" i="11"/>
  <c r="F37" i="11"/>
  <c r="F36" i="11"/>
  <c r="F35" i="11"/>
  <c r="F40" i="11" s="1"/>
  <c r="F34" i="11"/>
  <c r="F33" i="11"/>
  <c r="F11" i="5"/>
  <c r="F97" i="11"/>
  <c r="H63" i="10"/>
  <c r="F63" i="10"/>
  <c r="H62" i="10"/>
  <c r="F62" i="10"/>
  <c r="H61" i="10"/>
  <c r="F61" i="10"/>
  <c r="H60" i="10"/>
  <c r="F60" i="10"/>
  <c r="H120" i="10"/>
  <c r="H119" i="10"/>
  <c r="H118" i="10"/>
  <c r="H117" i="10"/>
  <c r="H116" i="10"/>
  <c r="H115" i="10"/>
  <c r="H121" i="10" s="1"/>
  <c r="H114" i="10"/>
  <c r="H113" i="10"/>
  <c r="H110" i="10"/>
  <c r="H104" i="10"/>
  <c r="H103" i="10"/>
  <c r="H102" i="10"/>
  <c r="H101" i="10"/>
  <c r="H100" i="10"/>
  <c r="H99" i="10"/>
  <c r="H98" i="10"/>
  <c r="H94" i="10"/>
  <c r="H93" i="10"/>
  <c r="H95" i="10" s="1"/>
  <c r="H88" i="10"/>
  <c r="H87" i="10"/>
  <c r="H86" i="10"/>
  <c r="H85" i="10"/>
  <c r="H84" i="10"/>
  <c r="H83" i="10"/>
  <c r="H82" i="10"/>
  <c r="H81" i="10"/>
  <c r="H80" i="10"/>
  <c r="H79" i="10"/>
  <c r="H74" i="10"/>
  <c r="H73" i="10"/>
  <c r="H72" i="10"/>
  <c r="H71" i="10"/>
  <c r="H70" i="10"/>
  <c r="H69" i="10"/>
  <c r="H68" i="10"/>
  <c r="H54" i="10"/>
  <c r="H55" i="10"/>
  <c r="H50" i="10"/>
  <c r="H51" i="10" s="1"/>
  <c r="H46" i="10"/>
  <c r="H47" i="10"/>
  <c r="H42" i="10"/>
  <c r="H43" i="10" s="1"/>
  <c r="H41" i="10"/>
  <c r="H40" i="10"/>
  <c r="H39" i="10"/>
  <c r="H35" i="10"/>
  <c r="H34" i="10"/>
  <c r="H33" i="10"/>
  <c r="H32" i="10"/>
  <c r="H31" i="10"/>
  <c r="H30" i="10"/>
  <c r="H26" i="10"/>
  <c r="H27" i="10"/>
  <c r="H22" i="10"/>
  <c r="H21" i="10"/>
  <c r="H23" i="10" s="1"/>
  <c r="H20" i="10"/>
  <c r="H16" i="10"/>
  <c r="H15" i="10"/>
  <c r="H14" i="10"/>
  <c r="H10" i="10"/>
  <c r="H9" i="10"/>
  <c r="H8" i="10"/>
  <c r="H7" i="10"/>
  <c r="H6" i="10"/>
  <c r="H5" i="10"/>
  <c r="H64" i="10"/>
  <c r="H17" i="10"/>
  <c r="F82" i="7"/>
  <c r="E31" i="7"/>
  <c r="F31" i="7" s="1"/>
  <c r="E30" i="7"/>
  <c r="F30" i="7"/>
  <c r="E29" i="7"/>
  <c r="F29" i="7" s="1"/>
  <c r="E28" i="7"/>
  <c r="F28" i="7"/>
  <c r="F32" i="7" s="1"/>
  <c r="B78" i="7"/>
  <c r="F77" i="7"/>
  <c r="F76" i="7"/>
  <c r="F75" i="7"/>
  <c r="F74" i="7"/>
  <c r="F73" i="7"/>
  <c r="E72" i="7"/>
  <c r="F72" i="7"/>
  <c r="F78" i="7" s="1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5" i="7"/>
  <c r="F44" i="7"/>
  <c r="F43" i="7"/>
  <c r="F42" i="7"/>
  <c r="F41" i="7"/>
  <c r="F40" i="7"/>
  <c r="F39" i="7"/>
  <c r="F38" i="7"/>
  <c r="F37" i="7"/>
  <c r="F36" i="7"/>
  <c r="F46" i="7" s="1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37" i="6"/>
  <c r="F36" i="6"/>
  <c r="F35" i="6"/>
  <c r="F34" i="6"/>
  <c r="F70" i="6"/>
  <c r="F71" i="6" s="1"/>
  <c r="F69" i="6"/>
  <c r="F68" i="6"/>
  <c r="F63" i="6"/>
  <c r="F62" i="6"/>
  <c r="F61" i="6"/>
  <c r="F60" i="6"/>
  <c r="F59" i="6"/>
  <c r="F58" i="6"/>
  <c r="F57" i="6"/>
  <c r="F56" i="6"/>
  <c r="F55" i="6"/>
  <c r="F54" i="6"/>
  <c r="F64" i="6" s="1"/>
  <c r="F49" i="6"/>
  <c r="F48" i="6"/>
  <c r="F47" i="6"/>
  <c r="F46" i="6"/>
  <c r="F45" i="6"/>
  <c r="F44" i="6"/>
  <c r="F43" i="6"/>
  <c r="F42" i="6"/>
  <c r="F50" i="6" s="1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30" i="6" s="1"/>
  <c r="F42" i="5"/>
  <c r="F41" i="5"/>
  <c r="F40" i="5"/>
  <c r="F39" i="5"/>
  <c r="F110" i="5"/>
  <c r="F109" i="5"/>
  <c r="F108" i="5"/>
  <c r="F107" i="5"/>
  <c r="F106" i="5"/>
  <c r="F105" i="5"/>
  <c r="F104" i="5"/>
  <c r="F103" i="5"/>
  <c r="F102" i="5"/>
  <c r="F67" i="5"/>
  <c r="F66" i="5"/>
  <c r="F65" i="5"/>
  <c r="F64" i="5"/>
  <c r="F63" i="5"/>
  <c r="F62" i="5"/>
  <c r="F61" i="5"/>
  <c r="F60" i="5"/>
  <c r="F59" i="5"/>
  <c r="F58" i="5"/>
  <c r="F68" i="5" s="1"/>
  <c r="F53" i="5"/>
  <c r="F52" i="5"/>
  <c r="F51" i="5"/>
  <c r="F50" i="5"/>
  <c r="F49" i="5"/>
  <c r="F48" i="5"/>
  <c r="F47" i="5"/>
  <c r="H42" i="4"/>
  <c r="H41" i="4"/>
  <c r="H43" i="4" s="1"/>
  <c r="H40" i="4"/>
  <c r="H39" i="4"/>
  <c r="H91" i="4"/>
  <c r="H90" i="4"/>
  <c r="H89" i="4"/>
  <c r="H88" i="4"/>
  <c r="H87" i="4"/>
  <c r="H86" i="4"/>
  <c r="H85" i="4"/>
  <c r="H84" i="4"/>
  <c r="H83" i="4"/>
  <c r="H92" i="4" s="1"/>
  <c r="B79" i="4"/>
  <c r="H78" i="4"/>
  <c r="H77" i="4"/>
  <c r="H76" i="4"/>
  <c r="H75" i="4"/>
  <c r="H74" i="4"/>
  <c r="H73" i="4"/>
  <c r="H68" i="4"/>
  <c r="H67" i="4"/>
  <c r="H66" i="4"/>
  <c r="H65" i="4"/>
  <c r="H64" i="4"/>
  <c r="H63" i="4"/>
  <c r="H62" i="4"/>
  <c r="H61" i="4"/>
  <c r="H60" i="4"/>
  <c r="H69" i="4" s="1"/>
  <c r="H59" i="4"/>
  <c r="B55" i="4"/>
  <c r="H54" i="4"/>
  <c r="H53" i="4"/>
  <c r="H52" i="4"/>
  <c r="H51" i="4"/>
  <c r="H50" i="4"/>
  <c r="H49" i="4"/>
  <c r="H48" i="4"/>
  <c r="H47" i="4"/>
  <c r="B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B9" i="4"/>
  <c r="H8" i="4"/>
  <c r="H7" i="4"/>
  <c r="H6" i="4"/>
  <c r="H5" i="4"/>
  <c r="F70" i="3"/>
  <c r="E13" i="3"/>
  <c r="F13" i="3" s="1"/>
  <c r="F14" i="3" s="1"/>
  <c r="E12" i="3"/>
  <c r="F12" i="3"/>
  <c r="F65" i="3"/>
  <c r="F64" i="3"/>
  <c r="F63" i="3"/>
  <c r="F62" i="3"/>
  <c r="F61" i="3"/>
  <c r="F60" i="3"/>
  <c r="F59" i="3"/>
  <c r="F58" i="3"/>
  <c r="F57" i="3"/>
  <c r="F56" i="3"/>
  <c r="F50" i="3"/>
  <c r="F49" i="3"/>
  <c r="F51" i="3" s="1"/>
  <c r="F52" i="3" s="1"/>
  <c r="F48" i="3"/>
  <c r="F44" i="3"/>
  <c r="F43" i="3"/>
  <c r="F42" i="3"/>
  <c r="F45" i="3" s="1"/>
  <c r="F37" i="3"/>
  <c r="F36" i="3"/>
  <c r="F35" i="3"/>
  <c r="F34" i="3"/>
  <c r="F33" i="3"/>
  <c r="F32" i="3"/>
  <c r="F31" i="3"/>
  <c r="F30" i="3"/>
  <c r="F29" i="3"/>
  <c r="F28" i="3"/>
  <c r="F23" i="3"/>
  <c r="F22" i="3"/>
  <c r="F21" i="3"/>
  <c r="F20" i="3"/>
  <c r="F19" i="3"/>
  <c r="F18" i="3"/>
  <c r="F7" i="3"/>
  <c r="F8" i="3" s="1"/>
  <c r="F6" i="3"/>
  <c r="F5" i="3"/>
  <c r="F106" i="2"/>
  <c r="F40" i="2"/>
  <c r="F41" i="2" s="1"/>
  <c r="F42" i="2" s="1"/>
  <c r="F39" i="2"/>
  <c r="F38" i="2"/>
  <c r="F35" i="2"/>
  <c r="F101" i="2"/>
  <c r="F97" i="2"/>
  <c r="F96" i="2"/>
  <c r="F95" i="2"/>
  <c r="F94" i="2"/>
  <c r="F93" i="2"/>
  <c r="F92" i="2"/>
  <c r="F91" i="2"/>
  <c r="F90" i="2"/>
  <c r="F89" i="2"/>
  <c r="F88" i="2"/>
  <c r="F83" i="2"/>
  <c r="F79" i="2"/>
  <c r="F78" i="2"/>
  <c r="F77" i="2"/>
  <c r="F76" i="2"/>
  <c r="F75" i="2"/>
  <c r="F74" i="2"/>
  <c r="F73" i="2"/>
  <c r="F72" i="2"/>
  <c r="F67" i="2"/>
  <c r="F66" i="2"/>
  <c r="F65" i="2"/>
  <c r="F64" i="2"/>
  <c r="F63" i="2"/>
  <c r="F62" i="2"/>
  <c r="F61" i="2"/>
  <c r="F60" i="2"/>
  <c r="F59" i="2"/>
  <c r="F58" i="2"/>
  <c r="F53" i="2"/>
  <c r="F52" i="2"/>
  <c r="F51" i="2"/>
  <c r="F50" i="2"/>
  <c r="F49" i="2"/>
  <c r="F48" i="2"/>
  <c r="F47" i="2"/>
  <c r="F46" i="2"/>
  <c r="F29" i="2"/>
  <c r="F28" i="2"/>
  <c r="F27" i="2"/>
  <c r="F26" i="2"/>
  <c r="F25" i="2"/>
  <c r="F24" i="2"/>
  <c r="F21" i="2"/>
  <c r="F17" i="2"/>
  <c r="F16" i="2"/>
  <c r="F15" i="2"/>
  <c r="F14" i="2"/>
  <c r="F13" i="2"/>
  <c r="F12" i="2"/>
  <c r="F11" i="2"/>
  <c r="F10" i="2"/>
  <c r="F9" i="2"/>
  <c r="F8" i="2"/>
  <c r="F7" i="2"/>
  <c r="F6" i="2"/>
  <c r="F68" i="7"/>
  <c r="F111" i="5"/>
  <c r="F24" i="3"/>
  <c r="F18" i="2" l="1"/>
  <c r="F30" i="2"/>
  <c r="F80" i="2"/>
  <c r="F84" i="2" s="1"/>
  <c r="F95" i="5"/>
  <c r="F97" i="5" s="1"/>
  <c r="F96" i="5"/>
  <c r="F15" i="12"/>
  <c r="F12" i="12"/>
  <c r="F13" i="12"/>
  <c r="F10" i="12"/>
  <c r="F11" i="12"/>
  <c r="H122" i="10"/>
  <c r="H23" i="12"/>
  <c r="F82" i="5"/>
  <c r="F83" i="5"/>
  <c r="F62" i="11"/>
  <c r="F64" i="11"/>
  <c r="F73" i="11"/>
  <c r="F77" i="11"/>
  <c r="F74" i="11"/>
  <c r="F14" i="12"/>
  <c r="H96" i="12"/>
  <c r="F73" i="12"/>
  <c r="F63" i="11"/>
  <c r="F40" i="12"/>
  <c r="F38" i="12"/>
  <c r="F41" i="12" s="1"/>
  <c r="F54" i="2"/>
  <c r="F68" i="2"/>
  <c r="F98" i="2"/>
  <c r="F102" i="2" s="1"/>
  <c r="F38" i="3"/>
  <c r="F66" i="3"/>
  <c r="H9" i="4"/>
  <c r="H34" i="4"/>
  <c r="H55" i="4"/>
  <c r="H79" i="4"/>
  <c r="F54" i="5"/>
  <c r="F43" i="5"/>
  <c r="F38" i="6"/>
  <c r="F73" i="6" s="1"/>
  <c r="F24" i="7"/>
  <c r="H11" i="10"/>
  <c r="H36" i="10"/>
  <c r="H75" i="10"/>
  <c r="H89" i="10"/>
  <c r="H105" i="10"/>
  <c r="F23" i="5"/>
  <c r="F25" i="5"/>
  <c r="F14" i="5"/>
  <c r="F27" i="5" s="1"/>
  <c r="F35" i="5" s="1"/>
  <c r="F18" i="5"/>
  <c r="F79" i="5"/>
  <c r="F8" i="11"/>
  <c r="F10" i="11"/>
  <c r="F39" i="12"/>
  <c r="H7" i="12"/>
  <c r="F33" i="12"/>
  <c r="F28" i="12"/>
  <c r="F30" i="12"/>
  <c r="F26" i="12"/>
  <c r="F31" i="12"/>
  <c r="F32" i="12"/>
  <c r="F27" i="12"/>
  <c r="H55" i="12"/>
  <c r="F56" i="12"/>
  <c r="F31" i="5"/>
  <c r="F34" i="5" s="1"/>
  <c r="F31" i="2" l="1"/>
  <c r="F109" i="2" s="1"/>
  <c r="G50" i="6"/>
  <c r="G71" i="6"/>
  <c r="G30" i="6"/>
  <c r="G64" i="6"/>
  <c r="H56" i="12"/>
  <c r="F84" i="7"/>
  <c r="G24" i="7" s="1"/>
  <c r="F85" i="7"/>
  <c r="H24" i="7"/>
  <c r="F35" i="12"/>
  <c r="F11" i="11"/>
  <c r="F21" i="11" s="1"/>
  <c r="H38" i="3"/>
  <c r="G38" i="3"/>
  <c r="F73" i="3"/>
  <c r="H66" i="3" s="1"/>
  <c r="F84" i="5"/>
  <c r="F98" i="5" s="1"/>
  <c r="F74" i="12"/>
  <c r="H73" i="12"/>
  <c r="F16" i="12"/>
  <c r="G38" i="6"/>
  <c r="H41" i="12"/>
  <c r="F78" i="11"/>
  <c r="F108" i="2"/>
  <c r="H106" i="10"/>
  <c r="H56" i="10"/>
  <c r="H94" i="4"/>
  <c r="H35" i="4"/>
  <c r="I35" i="4" s="1"/>
  <c r="F72" i="3"/>
  <c r="F65" i="11"/>
  <c r="F84" i="11" s="1"/>
  <c r="G84" i="11" s="1"/>
  <c r="H42" i="2" l="1"/>
  <c r="H68" i="2"/>
  <c r="H102" i="2"/>
  <c r="H84" i="2"/>
  <c r="H31" i="2"/>
  <c r="H54" i="2"/>
  <c r="G42" i="2"/>
  <c r="G84" i="2"/>
  <c r="G106" i="2"/>
  <c r="G31" i="2"/>
  <c r="B101" i="11"/>
  <c r="C101" i="11" s="1"/>
  <c r="F101" i="11" s="1"/>
  <c r="G70" i="3"/>
  <c r="G8" i="3"/>
  <c r="G14" i="3"/>
  <c r="G24" i="3"/>
  <c r="G52" i="3"/>
  <c r="I69" i="4"/>
  <c r="I43" i="4"/>
  <c r="I92" i="4"/>
  <c r="H16" i="12"/>
  <c r="F45" i="12"/>
  <c r="G102" i="2"/>
  <c r="H35" i="12"/>
  <c r="I9" i="4"/>
  <c r="G54" i="2"/>
  <c r="I55" i="4"/>
  <c r="B115" i="5"/>
  <c r="C115" i="5" s="1"/>
  <c r="F115" i="5" s="1"/>
  <c r="H124" i="10"/>
  <c r="I56" i="10"/>
  <c r="H32" i="7"/>
  <c r="H46" i="7"/>
  <c r="H78" i="7"/>
  <c r="H68" i="7"/>
  <c r="G68" i="2"/>
  <c r="I79" i="4"/>
  <c r="H74" i="12"/>
  <c r="I34" i="4"/>
  <c r="H8" i="3"/>
  <c r="H52" i="3"/>
  <c r="H14" i="3"/>
  <c r="H24" i="3"/>
  <c r="G66" i="3"/>
  <c r="G68" i="7"/>
  <c r="G32" i="7"/>
  <c r="G46" i="7"/>
  <c r="G78" i="7"/>
  <c r="G82" i="7"/>
  <c r="F117" i="5"/>
  <c r="G98" i="5" s="1"/>
  <c r="G115" i="5" l="1"/>
  <c r="H45" i="12"/>
  <c r="B112" i="12"/>
  <c r="C112" i="12" s="1"/>
  <c r="F112" i="12" s="1"/>
  <c r="G111" i="5"/>
  <c r="G68" i="5"/>
  <c r="G54" i="5"/>
  <c r="G43" i="5"/>
  <c r="G35" i="5"/>
  <c r="I110" i="10"/>
  <c r="I55" i="10"/>
  <c r="I27" i="10"/>
  <c r="I95" i="10"/>
  <c r="I121" i="10"/>
  <c r="I43" i="10"/>
  <c r="I23" i="10"/>
  <c r="I17" i="10"/>
  <c r="I51" i="10"/>
  <c r="I47" i="10"/>
  <c r="I64" i="10"/>
  <c r="I75" i="10"/>
  <c r="I105" i="10"/>
  <c r="I122" i="10"/>
  <c r="I36" i="10"/>
  <c r="I89" i="10"/>
  <c r="I11" i="10"/>
  <c r="F103" i="11"/>
  <c r="H112" i="12" l="1"/>
  <c r="G97" i="11"/>
  <c r="G40" i="11"/>
  <c r="G29" i="11"/>
  <c r="G54" i="11"/>
  <c r="G21" i="11"/>
  <c r="F115" i="12"/>
  <c r="G101" i="11"/>
  <c r="H115" i="12" l="1"/>
  <c r="G49" i="12"/>
  <c r="G62" i="12"/>
  <c r="G44" i="12"/>
  <c r="G55" i="12"/>
  <c r="G108" i="12"/>
  <c r="G87" i="12"/>
  <c r="G23" i="12"/>
  <c r="G96" i="12"/>
  <c r="G7" i="12"/>
  <c r="G41" i="12"/>
  <c r="G56" i="12"/>
  <c r="G73" i="12"/>
  <c r="G16" i="12"/>
  <c r="G74" i="12"/>
  <c r="G35" i="12"/>
  <c r="G45" i="12"/>
  <c r="G112" i="12"/>
</calcChain>
</file>

<file path=xl/sharedStrings.xml><?xml version="1.0" encoding="utf-8"?>
<sst xmlns="http://schemas.openxmlformats.org/spreadsheetml/2006/main" count="1939" uniqueCount="234">
  <si>
    <t>Dietary Recommendations, FAO Food Balance Ratios/OECD, &amp; dataFIELD</t>
  </si>
  <si>
    <t>MEAT PRODUCTS Daily recommended amount (kg)</t>
  </si>
  <si>
    <t>Food Balance Group</t>
  </si>
  <si>
    <t>Food Balance Ratio</t>
  </si>
  <si>
    <t>dataFIELD impact value</t>
  </si>
  <si>
    <t>Conversion</t>
  </si>
  <si>
    <t>Conversion factor</t>
  </si>
  <si>
    <t>GHGE for diet (daily recommended amount in kg * ratio *conversion factor * mean GHGE for food group)</t>
  </si>
  <si>
    <t>Proportion of total GHGE</t>
  </si>
  <si>
    <t xml:space="preserve">Proportion of total GHGE (w/o sugars) </t>
  </si>
  <si>
    <t>Poultry meat</t>
  </si>
  <si>
    <t>Cooked -&gt; uncooked</t>
  </si>
  <si>
    <t>Pigmeat</t>
  </si>
  <si>
    <t>Mutton &amp; goat meat</t>
  </si>
  <si>
    <t>Bovine meat</t>
  </si>
  <si>
    <t>Meat, other (poultry)</t>
  </si>
  <si>
    <t>Meat, other (pigmeat)</t>
  </si>
  <si>
    <t>Meat, other (mutton &amp; goat)</t>
  </si>
  <si>
    <t>Meat, other (bovine meat)</t>
  </si>
  <si>
    <t>Offals, edible (poultry)</t>
  </si>
  <si>
    <t>Offals, edible (pigmeat)</t>
  </si>
  <si>
    <t>Offals, edible (mutton &amp; goat)</t>
  </si>
  <si>
    <t>Offals, edible (bovine)</t>
  </si>
  <si>
    <t>TOTAL</t>
  </si>
  <si>
    <t>EGG PRODUCTS Daily recommended amount (kg)</t>
  </si>
  <si>
    <t>Eggs</t>
  </si>
  <si>
    <t>FISH PRODUCTS Daily recommended amount (kg)</t>
  </si>
  <si>
    <t>Demersal fish</t>
  </si>
  <si>
    <t>Freshwater fish</t>
  </si>
  <si>
    <t>Marine fish</t>
  </si>
  <si>
    <t>Pelagic fish</t>
  </si>
  <si>
    <t>Molluscs</t>
  </si>
  <si>
    <t>Crustaceans</t>
  </si>
  <si>
    <t>PROTEIN FOODS TOTAL</t>
  </si>
  <si>
    <t>GRAINS Daily recommended amount (kg)</t>
  </si>
  <si>
    <t>Barley and products</t>
  </si>
  <si>
    <t>Maize and products</t>
  </si>
  <si>
    <t>Millet and products</t>
  </si>
  <si>
    <t>Oats</t>
  </si>
  <si>
    <t>Rice (milled eq.)</t>
  </si>
  <si>
    <t>Rye and products</t>
  </si>
  <si>
    <t>Wheat and products</t>
  </si>
  <si>
    <t>Cereals, other</t>
  </si>
  <si>
    <t>FRUITS Daily recommended amount (kg)</t>
  </si>
  <si>
    <t>Apples and products</t>
  </si>
  <si>
    <t>Bananas</t>
  </si>
  <si>
    <t>Citrus, other</t>
  </si>
  <si>
    <t>Dates</t>
  </si>
  <si>
    <t>Grapefruits and products</t>
  </si>
  <si>
    <t>Grapes and products</t>
  </si>
  <si>
    <t>Lemons, limes, products</t>
  </si>
  <si>
    <t>Oranges, tangerines, mandarines, &amp; products</t>
  </si>
  <si>
    <t>Pineapples and products</t>
  </si>
  <si>
    <t>Fruits, other</t>
  </si>
  <si>
    <t>VEGETABLES Daily recommended amount (kg)</t>
  </si>
  <si>
    <t>Beans</t>
  </si>
  <si>
    <t>Peas</t>
  </si>
  <si>
    <t>Pulses (other and products)</t>
  </si>
  <si>
    <t>Soyabeans</t>
  </si>
  <si>
    <t>Onions</t>
  </si>
  <si>
    <t>Plantain</t>
  </si>
  <si>
    <t>Tomatoes and products</t>
  </si>
  <si>
    <t>Vegetables, other</t>
  </si>
  <si>
    <t>POTATO PRODUCTS Daily recommended amount (kg)</t>
  </si>
  <si>
    <t>Potatoes and products</t>
  </si>
  <si>
    <t>VEGETABLES TOTAL</t>
  </si>
  <si>
    <t>VEGETAL OILS, MARGARINE Daily recommended amount (kg)</t>
  </si>
  <si>
    <t>Coconut oil</t>
  </si>
  <si>
    <t>Groundnut oil</t>
  </si>
  <si>
    <t>Maize germ oil</t>
  </si>
  <si>
    <t>Olive oil</t>
  </si>
  <si>
    <t>Palm oil</t>
  </si>
  <si>
    <t>Rape and mustard oil</t>
  </si>
  <si>
    <t>Sesame seed oil</t>
  </si>
  <si>
    <t>Soyabean oil</t>
  </si>
  <si>
    <t>Sunflower seed oil</t>
  </si>
  <si>
    <t>Oilcrops oil, other</t>
  </si>
  <si>
    <t>BUTTER Daily recommended amount (kg)</t>
  </si>
  <si>
    <t>Butter</t>
  </si>
  <si>
    <t>HIGH FAT DAIRY PRODUCTS Daily recommended amount (kg)</t>
  </si>
  <si>
    <t>Cheese</t>
  </si>
  <si>
    <t>LOW FAT DAIRY PRODUCTS Daily recommended amount (kg)</t>
  </si>
  <si>
    <t>Fresh dairy products</t>
  </si>
  <si>
    <t>Skim milk powder</t>
  </si>
  <si>
    <t>Whole milk powder</t>
  </si>
  <si>
    <t>DAIRY TOTAL</t>
  </si>
  <si>
    <t>SUGAR Daily recommended amount (kg)</t>
  </si>
  <si>
    <t>Sweeteners, total</t>
  </si>
  <si>
    <t>TOTAL GHGE FOR GERMANY</t>
  </si>
  <si>
    <t>TOTAL GHGE (w/o sugars) FOR GERMANY</t>
  </si>
  <si>
    <t>PULSES Daily recommended amount (kg)</t>
  </si>
  <si>
    <t>GHGE for diet (daily recommended amount in kg * ratio * conversion factor * mean GHGE for food group)</t>
  </si>
  <si>
    <t>Proportion of total GHGE (w/o sugars)</t>
  </si>
  <si>
    <t>Pulses and products</t>
  </si>
  <si>
    <t>CEREALS &amp; MILLETS Daily recommended amount (kg)</t>
  </si>
  <si>
    <t>FRUIT Daily recommended amount (kg)</t>
  </si>
  <si>
    <t>VEGETABLES (green/leafy and others) Daily recommended amount (kg)</t>
  </si>
  <si>
    <t>VEGETABLES (roots/tubers) Daily recommended amount (kg)</t>
  </si>
  <si>
    <t>Cassava &amp; products</t>
  </si>
  <si>
    <t>Potatoes &amp; products</t>
  </si>
  <si>
    <t>Sweet potatoes</t>
  </si>
  <si>
    <t>OILS Daily recommended amount (kg)</t>
  </si>
  <si>
    <t>Cottonseed oil</t>
  </si>
  <si>
    <t>Sesameseed oil</t>
  </si>
  <si>
    <t>DAIRY Daily recommended amount (ml)</t>
  </si>
  <si>
    <t>ml -&gt; cups -&gt; kg</t>
  </si>
  <si>
    <t>TOTAL GHGE FOR INDIA</t>
  </si>
  <si>
    <t>TOTAL GHGE FOR INDIA (w/o sugars)</t>
  </si>
  <si>
    <t>LEGUMES Daily recommended amount (cups)</t>
  </si>
  <si>
    <t>Conversion 1</t>
  </si>
  <si>
    <t>Conversion factor 1</t>
  </si>
  <si>
    <t>Conversion 2</t>
  </si>
  <si>
    <t>Conversion factor 2</t>
  </si>
  <si>
    <t>GHGE for diet (daily recommended amount in kg * ratio * conversion factor * *mean GHGE for food group)</t>
  </si>
  <si>
    <t>Cups -&gt; kg</t>
  </si>
  <si>
    <t xml:space="preserve">TOTAL </t>
  </si>
  <si>
    <t>MEAT, FISH, EGGS Daily recommended amount (kg)</t>
  </si>
  <si>
    <t>Groundnuts</t>
  </si>
  <si>
    <t>Nuts and products</t>
  </si>
  <si>
    <t>Sunflower seed</t>
  </si>
  <si>
    <t>Marine fish (other)</t>
  </si>
  <si>
    <t>Molluscs, other</t>
  </si>
  <si>
    <t>CEREALS, GRAINS, POTATOES Daily recommended amount (cups)</t>
  </si>
  <si>
    <t>Yams</t>
  </si>
  <si>
    <t>FRUIT Daily recommended amount (cups)</t>
  </si>
  <si>
    <t>VEGETABLES Daily recommended amount (cups)</t>
  </si>
  <si>
    <t>Plantains</t>
  </si>
  <si>
    <t>Roots, other</t>
  </si>
  <si>
    <t>FATS &amp; OILS Daily recommended amount (kg)</t>
  </si>
  <si>
    <t>MILK &amp; DAIRY PRODUCTS Daily recommended amount (cups)</t>
  </si>
  <si>
    <t>OECD Group</t>
  </si>
  <si>
    <t>OECD Ratio</t>
  </si>
  <si>
    <t>TOTAL GHGE FOR OMAN</t>
  </si>
  <si>
    <t xml:space="preserve">Conversion </t>
  </si>
  <si>
    <t>GHGE for diet (daily recommended amount in kg * ratio * conversion *mean GHGE for food group)</t>
  </si>
  <si>
    <t>Cooked-&gt; uncooked</t>
  </si>
  <si>
    <t>FAO Food Balance Sheet Commodity</t>
  </si>
  <si>
    <t>FAO Food Balance Proportion</t>
  </si>
  <si>
    <r>
      <t>dataFIELD impact factor (kg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-eq./kg)</t>
    </r>
  </si>
  <si>
    <t>GHGE (kg CO2-eq.)</t>
  </si>
  <si>
    <t>Cup -&gt; kg</t>
  </si>
  <si>
    <t>Lemons, limes, &amp; products</t>
  </si>
  <si>
    <t>VEGETABLE Daily recommended amount (cups)</t>
  </si>
  <si>
    <t>OIL Daily recommended amount (kg)</t>
  </si>
  <si>
    <t>DAIRY Daily recommended amount (cups)</t>
  </si>
  <si>
    <t>TOTAL GHGE for U.S.</t>
  </si>
  <si>
    <t>MEAT Daily recommended amount (kg)</t>
  </si>
  <si>
    <t>RICE STARCHY FOODS Daily recommended amount (kg)</t>
  </si>
  <si>
    <t>Cassava and products</t>
  </si>
  <si>
    <t>Tomatoes &amp; products</t>
  </si>
  <si>
    <t>MILK Daily recommended amount (cups)</t>
  </si>
  <si>
    <t>TOTAL GHGE FOR THAILAND</t>
  </si>
  <si>
    <t>MEAT, MEAT DERIVATIVES, &amp; EGGS Daily recommended amount (kg)</t>
  </si>
  <si>
    <t>GRAINS &amp; LEGUMES Daily recommended amount (kg)</t>
  </si>
  <si>
    <t>FRUITS &amp; VEGETABLES Daily recommended amount (kg)</t>
  </si>
  <si>
    <t>OILS &amp; FATS Daily recommended amount (ml)</t>
  </si>
  <si>
    <t>MILK &amp; DERIVATIVES Daily recommended amount (ml)</t>
  </si>
  <si>
    <t>SUGARS &amp; SWEETS Daily recommended amount (kg)</t>
  </si>
  <si>
    <t>TOTAL GHGE FOR URUGUAY</t>
  </si>
  <si>
    <t>TOTAL GHGE (w/o sugars) FOR URUGUAY</t>
  </si>
  <si>
    <t>BREAD Daily recommended amount (kg)</t>
  </si>
  <si>
    <t>OILS/FATS TOTAL</t>
  </si>
  <si>
    <t>CHEESE Daily recommended amount (kg)</t>
  </si>
  <si>
    <t>TOTAL GHGE FOR NETHERLANDS</t>
  </si>
  <si>
    <t>BEEF AND LAMB Daily recommended amount (g)</t>
  </si>
  <si>
    <t>g -&gt; kg</t>
  </si>
  <si>
    <t>PORK Daily recommended amount (g)</t>
  </si>
  <si>
    <t>POULTRY Daily recommended amount (g)</t>
  </si>
  <si>
    <t>EGGS Daily recommended amount (g)</t>
  </si>
  <si>
    <t>FISH Daily recommended amount (g)</t>
  </si>
  <si>
    <t>Dry beans, lentils, and peas Daily recommended amount (g)</t>
  </si>
  <si>
    <t>Soy foods Daily recommended amount (g)</t>
  </si>
  <si>
    <t>Peanuts Daily recommended amount (g)</t>
  </si>
  <si>
    <t>Tree Nuts Daily recommended amount (g)</t>
  </si>
  <si>
    <t>WHOLE GRAINS Daily recommended amount (g)</t>
  </si>
  <si>
    <t>FRUIT Daily recommended amount (g)</t>
  </si>
  <si>
    <t>TUBERS Daily recommended amount (g)</t>
  </si>
  <si>
    <t>g --&gt; kg</t>
  </si>
  <si>
    <t>UNSATURATED OILS daily recommended amount (g)</t>
  </si>
  <si>
    <t>g-&gt;kg</t>
  </si>
  <si>
    <t>DAIRY FOODS Daily recommended amount (g)</t>
  </si>
  <si>
    <t>DR's equivalent factors to whole milk, using Brittany's conversions</t>
  </si>
  <si>
    <t>PROTEIN FOODS</t>
  </si>
  <si>
    <t>GRAINS</t>
  </si>
  <si>
    <t>FRUITS</t>
  </si>
  <si>
    <t>VEGETABLES</t>
  </si>
  <si>
    <t>OILS/FATS</t>
  </si>
  <si>
    <t>GRAINS TOTAL</t>
  </si>
  <si>
    <t>FRUITS TOTAL</t>
  </si>
  <si>
    <t>DAIRY</t>
  </si>
  <si>
    <t>SWEETENERS</t>
  </si>
  <si>
    <t>FRUITS &amp; VEGETABLES</t>
  </si>
  <si>
    <t>FRUITS &amp; VEGETABLES TOTAL</t>
  </si>
  <si>
    <t>TOTAL GHGE for EAT-LANCET</t>
  </si>
  <si>
    <t>Total</t>
  </si>
  <si>
    <t>VEGETABLES Daily recommended amount (g)</t>
  </si>
  <si>
    <t>ADDED FATS - PALM OIL Daily recommended amount (g)</t>
  </si>
  <si>
    <t>Coversion 1</t>
  </si>
  <si>
    <t xml:space="preserve">Seafood </t>
  </si>
  <si>
    <t>Meats, eggs, poultry</t>
  </si>
  <si>
    <t>Nuts, seeds, soy products</t>
  </si>
  <si>
    <t>Dark green vegetables (cups)</t>
  </si>
  <si>
    <t>N/A - spinach from dataFIELD used as a proxy</t>
  </si>
  <si>
    <t>Red &amp; organge vegetables (cups)</t>
  </si>
  <si>
    <t>Legumes (beans &amp; peas) (cups)</t>
  </si>
  <si>
    <t>Starchy vegetables (cups)</t>
  </si>
  <si>
    <t>Other vegetables (cups)</t>
  </si>
  <si>
    <t>DISCRETIONARY CALORIES</t>
  </si>
  <si>
    <t>Discretionary calories</t>
  </si>
  <si>
    <t>Calories accounted for by above food groups</t>
  </si>
  <si>
    <t>GHGE of diet w/o discretionary calories</t>
  </si>
  <si>
    <t>GHGE/kcal</t>
  </si>
  <si>
    <t>GHGE from discretionary calories</t>
  </si>
  <si>
    <t>TOTAL GHGE for US</t>
  </si>
  <si>
    <r>
      <t>Red &amp; organge vegetables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(cups)</t>
    </r>
  </si>
  <si>
    <t>Eggs (kg)</t>
  </si>
  <si>
    <t>Legumes (beans &amp; peas) (kg)</t>
  </si>
  <si>
    <t>Nuts &amp; seeds (kg)</t>
  </si>
  <si>
    <t>Soy products (kg)</t>
  </si>
  <si>
    <t>NUTS AND SEEDS Daily recommended amount (kg)</t>
  </si>
  <si>
    <t>GHGE adjusted to 2000 calories</t>
  </si>
  <si>
    <t>FISH AND SEAFOOD Daily recommended amount (kg)</t>
  </si>
  <si>
    <t>LEGUMES Daily recommended amount (kg)</t>
  </si>
  <si>
    <t>MEAT (RED MEAT) Daily recommended amount (kg)</t>
  </si>
  <si>
    <t>MEAT (WHITE MEAT) Daily recommended amount (kg)</t>
  </si>
  <si>
    <t>EGGS Daily recommended amount (kg)</t>
  </si>
  <si>
    <t>CEREAL PRODUCTS AND POTATOES  Daily recommended amount (kg)</t>
  </si>
  <si>
    <t>SPREADABLE &amp; COOKING FATS Daily recommended amount (kg)</t>
  </si>
  <si>
    <t>MILK &amp; DAIRY PRODUCTS Daily recommended amount (kg)</t>
  </si>
  <si>
    <t>DAIRY TOTAL GHGE</t>
  </si>
  <si>
    <t>2053 kcal</t>
  </si>
  <si>
    <t>2000 kcal</t>
  </si>
  <si>
    <t>GRAINS TOTAL GHGE</t>
  </si>
  <si>
    <t>SUPPLEMENTAL FILE 2. GHGE CALCULATIONS OF FOOD BASED DIETARY GUIDELINES IN THE 7 COUNTRY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</si>
</sst>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 (Body)"/>
    </font>
    <font>
      <sz val="11"/>
      <color theme="9" tint="0.59999389629810485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BDBDB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43">
    <xf numFmtId="0" fontId="0" fillId="0" borderId="0" xfId="0"/>
    <xf numFmtId="0" fontId="2" fillId="0" borderId="1" xfId="1" applyFont="1" applyBorder="1"/>
    <xf numFmtId="0" fontId="1" fillId="0" borderId="1" xfId="1" applyBorder="1"/>
    <xf numFmtId="0" fontId="1" fillId="0" borderId="2" xfId="1" applyBorder="1"/>
    <xf numFmtId="0" fontId="1" fillId="0" borderId="0" xfId="1"/>
    <xf numFmtId="0" fontId="2" fillId="0" borderId="2" xfId="1" applyFont="1" applyBorder="1" applyAlignment="1">
      <alignment wrapText="1"/>
    </xf>
    <xf numFmtId="0" fontId="1" fillId="0" borderId="3" xfId="1" applyBorder="1"/>
    <xf numFmtId="0" fontId="2" fillId="2" borderId="3" xfId="1" applyFont="1" applyFill="1" applyBorder="1"/>
    <xf numFmtId="0" fontId="2" fillId="2" borderId="3" xfId="1" applyFont="1" applyFill="1" applyBorder="1" applyAlignment="1">
      <alignment wrapText="1"/>
    </xf>
    <xf numFmtId="0" fontId="1" fillId="0" borderId="4" xfId="1" applyBorder="1"/>
    <xf numFmtId="0" fontId="2" fillId="0" borderId="4" xfId="1" applyFont="1" applyBorder="1"/>
    <xf numFmtId="0" fontId="1" fillId="0" borderId="5" xfId="1" applyBorder="1"/>
    <xf numFmtId="0" fontId="1" fillId="0" borderId="6" xfId="1" applyBorder="1"/>
    <xf numFmtId="0" fontId="2" fillId="0" borderId="6" xfId="1" applyFont="1" applyBorder="1"/>
    <xf numFmtId="0" fontId="1" fillId="0" borderId="7" xfId="1" applyBorder="1"/>
    <xf numFmtId="0" fontId="2" fillId="0" borderId="8" xfId="1" applyFont="1" applyBorder="1"/>
    <xf numFmtId="0" fontId="1" fillId="0" borderId="8" xfId="1" applyBorder="1"/>
    <xf numFmtId="0" fontId="2" fillId="3" borderId="8" xfId="1" applyFont="1" applyFill="1" applyBorder="1"/>
    <xf numFmtId="0" fontId="1" fillId="0" borderId="9" xfId="1" applyBorder="1"/>
    <xf numFmtId="0" fontId="2" fillId="2" borderId="11" xfId="1" applyFont="1" applyFill="1" applyBorder="1" applyAlignment="1">
      <alignment wrapText="1"/>
    </xf>
    <xf numFmtId="0" fontId="1" fillId="0" borderId="12" xfId="1" applyBorder="1"/>
    <xf numFmtId="0" fontId="2" fillId="0" borderId="12" xfId="1" applyFont="1" applyBorder="1"/>
    <xf numFmtId="0" fontId="2" fillId="3" borderId="12" xfId="1" applyFont="1" applyFill="1" applyBorder="1"/>
    <xf numFmtId="0" fontId="1" fillId="0" borderId="13" xfId="1" applyBorder="1"/>
    <xf numFmtId="0" fontId="1" fillId="0" borderId="14" xfId="1" applyBorder="1"/>
    <xf numFmtId="0" fontId="2" fillId="0" borderId="15" xfId="1" applyFont="1" applyBorder="1"/>
    <xf numFmtId="0" fontId="1" fillId="0" borderId="15" xfId="1" applyBorder="1"/>
    <xf numFmtId="0" fontId="2" fillId="4" borderId="15" xfId="1" applyFont="1" applyFill="1" applyBorder="1"/>
    <xf numFmtId="0" fontId="1" fillId="0" borderId="16" xfId="1" applyBorder="1"/>
    <xf numFmtId="0" fontId="2" fillId="0" borderId="17" xfId="1" applyFont="1" applyBorder="1"/>
    <xf numFmtId="0" fontId="1" fillId="0" borderId="17" xfId="1" applyBorder="1"/>
    <xf numFmtId="0" fontId="2" fillId="4" borderId="17" xfId="1" applyFont="1" applyFill="1" applyBorder="1"/>
    <xf numFmtId="0" fontId="1" fillId="0" borderId="18" xfId="1" applyBorder="1"/>
    <xf numFmtId="0" fontId="1" fillId="0" borderId="6" xfId="1" applyBorder="1" applyAlignment="1">
      <alignment wrapText="1"/>
    </xf>
    <xf numFmtId="0" fontId="2" fillId="3" borderId="14" xfId="1" applyFont="1" applyFill="1" applyBorder="1"/>
    <xf numFmtId="0" fontId="1" fillId="0" borderId="19" xfId="1" applyBorder="1"/>
    <xf numFmtId="0" fontId="2" fillId="0" borderId="2" xfId="1" applyFont="1" applyBorder="1"/>
    <xf numFmtId="0" fontId="2" fillId="4" borderId="2" xfId="1" applyFont="1" applyFill="1" applyBorder="1"/>
    <xf numFmtId="0" fontId="2" fillId="4" borderId="3" xfId="1" applyFont="1" applyFill="1" applyBorder="1"/>
    <xf numFmtId="0" fontId="1" fillId="0" borderId="11" xfId="1" applyBorder="1"/>
    <xf numFmtId="0" fontId="2" fillId="0" borderId="0" xfId="1" applyFont="1"/>
    <xf numFmtId="0" fontId="1" fillId="0" borderId="20" xfId="1" applyBorder="1"/>
    <xf numFmtId="0" fontId="2" fillId="0" borderId="17" xfId="1" applyFont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2" fillId="2" borderId="2" xfId="1" applyFont="1" applyFill="1" applyBorder="1"/>
    <xf numFmtId="0" fontId="2" fillId="4" borderId="6" xfId="1" applyFont="1" applyFill="1" applyBorder="1"/>
    <xf numFmtId="0" fontId="1" fillId="0" borderId="0" xfId="1" applyAlignment="1">
      <alignment wrapText="1"/>
    </xf>
    <xf numFmtId="0" fontId="1" fillId="0" borderId="17" xfId="1" applyBorder="1" applyAlignment="1">
      <alignment wrapText="1"/>
    </xf>
    <xf numFmtId="0" fontId="1" fillId="0" borderId="4" xfId="1" applyBorder="1" applyAlignment="1">
      <alignment wrapText="1"/>
    </xf>
    <xf numFmtId="0" fontId="1" fillId="0" borderId="2" xfId="1" applyBorder="1" applyAlignment="1">
      <alignment wrapText="1"/>
    </xf>
    <xf numFmtId="0" fontId="2" fillId="0" borderId="4" xfId="1" applyFont="1" applyBorder="1" applyAlignment="1">
      <alignment wrapText="1"/>
    </xf>
    <xf numFmtId="0" fontId="2" fillId="0" borderId="6" xfId="1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2" fillId="6" borderId="3" xfId="1" applyFont="1" applyFill="1" applyBorder="1" applyAlignment="1">
      <alignment wrapText="1"/>
    </xf>
    <xf numFmtId="0" fontId="2" fillId="3" borderId="2" xfId="1" applyFont="1" applyFill="1" applyBorder="1" applyAlignment="1">
      <alignment wrapText="1"/>
    </xf>
    <xf numFmtId="0" fontId="2" fillId="4" borderId="2" xfId="1" applyFont="1" applyFill="1" applyBorder="1" applyAlignment="1">
      <alignment wrapText="1"/>
    </xf>
    <xf numFmtId="0" fontId="1" fillId="0" borderId="21" xfId="1" applyBorder="1"/>
    <xf numFmtId="0" fontId="2" fillId="0" borderId="20" xfId="1" applyFont="1" applyBorder="1" applyAlignment="1">
      <alignment wrapText="1"/>
    </xf>
    <xf numFmtId="0" fontId="1" fillId="0" borderId="20" xfId="1" applyBorder="1" applyAlignment="1">
      <alignment wrapText="1"/>
    </xf>
    <xf numFmtId="0" fontId="3" fillId="0" borderId="4" xfId="1" applyFont="1" applyBorder="1"/>
    <xf numFmtId="0" fontId="3" fillId="0" borderId="6" xfId="1" applyFont="1" applyBorder="1" applyAlignment="1">
      <alignment wrapText="1"/>
    </xf>
    <xf numFmtId="0" fontId="5" fillId="0" borderId="6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5" fillId="0" borderId="4" xfId="1" applyFont="1" applyBorder="1" applyAlignment="1">
      <alignment wrapText="1"/>
    </xf>
    <xf numFmtId="0" fontId="2" fillId="0" borderId="15" xfId="1" applyFont="1" applyFill="1" applyBorder="1"/>
    <xf numFmtId="0" fontId="1" fillId="0" borderId="15" xfId="1" applyFill="1" applyBorder="1"/>
    <xf numFmtId="0" fontId="1" fillId="0" borderId="16" xfId="1" applyFill="1" applyBorder="1"/>
    <xf numFmtId="0" fontId="2" fillId="0" borderId="2" xfId="1" applyFont="1" applyFill="1" applyBorder="1"/>
    <xf numFmtId="0" fontId="1" fillId="0" borderId="2" xfId="1" applyFill="1" applyBorder="1"/>
    <xf numFmtId="0" fontId="1" fillId="0" borderId="10" xfId="1" applyFill="1" applyBorder="1"/>
    <xf numFmtId="0" fontId="2" fillId="7" borderId="4" xfId="1" applyFont="1" applyFill="1" applyBorder="1"/>
    <xf numFmtId="0" fontId="1" fillId="0" borderId="8" xfId="1" applyBorder="1" applyAlignment="1">
      <alignment wrapText="1"/>
    </xf>
    <xf numFmtId="0" fontId="2" fillId="2" borderId="10" xfId="1" applyFont="1" applyFill="1" applyBorder="1" applyAlignment="1">
      <alignment wrapText="1"/>
    </xf>
    <xf numFmtId="0" fontId="2" fillId="0" borderId="6" xfId="1" applyFont="1" applyBorder="1" applyAlignment="1">
      <alignment horizontal="center" wrapText="1"/>
    </xf>
    <xf numFmtId="0" fontId="2" fillId="0" borderId="14" xfId="1" applyFont="1" applyBorder="1"/>
    <xf numFmtId="0" fontId="1" fillId="0" borderId="6" xfId="1" applyFont="1" applyBorder="1"/>
    <xf numFmtId="0" fontId="2" fillId="3" borderId="14" xfId="1" applyFont="1" applyFill="1" applyBorder="1" applyAlignment="1">
      <alignment wrapText="1"/>
    </xf>
    <xf numFmtId="0" fontId="2" fillId="7" borderId="6" xfId="1" applyFont="1" applyFill="1" applyBorder="1"/>
    <xf numFmtId="0" fontId="2" fillId="0" borderId="0" xfId="1" applyFont="1" applyFill="1" applyBorder="1"/>
    <xf numFmtId="0" fontId="2" fillId="0" borderId="8" xfId="1" applyFont="1" applyFill="1" applyBorder="1"/>
    <xf numFmtId="0" fontId="1" fillId="0" borderId="8" xfId="1" applyFill="1" applyBorder="1"/>
    <xf numFmtId="0" fontId="1" fillId="0" borderId="8" xfId="1" applyFill="1" applyBorder="1" applyAlignment="1">
      <alignment wrapText="1"/>
    </xf>
    <xf numFmtId="0" fontId="2" fillId="0" borderId="8" xfId="1" applyFont="1" applyFill="1" applyBorder="1" applyAlignment="1">
      <alignment wrapText="1"/>
    </xf>
    <xf numFmtId="0" fontId="2" fillId="0" borderId="15" xfId="1" applyFont="1" applyBorder="1" applyAlignment="1">
      <alignment wrapText="1"/>
    </xf>
    <xf numFmtId="0" fontId="1" fillId="0" borderId="12" xfId="1" applyFill="1" applyBorder="1" applyAlignment="1">
      <alignment wrapText="1"/>
    </xf>
    <xf numFmtId="0" fontId="2" fillId="0" borderId="12" xfId="1" applyFont="1" applyFill="1" applyBorder="1"/>
    <xf numFmtId="0" fontId="2" fillId="0" borderId="12" xfId="1" applyFont="1" applyFill="1" applyBorder="1" applyAlignment="1">
      <alignment wrapText="1"/>
    </xf>
    <xf numFmtId="0" fontId="2" fillId="3" borderId="12" xfId="1" applyFont="1" applyFill="1" applyBorder="1" applyAlignment="1">
      <alignment wrapText="1"/>
    </xf>
    <xf numFmtId="0" fontId="1" fillId="0" borderId="12" xfId="1" applyBorder="1" applyAlignment="1">
      <alignment wrapText="1"/>
    </xf>
    <xf numFmtId="0" fontId="2" fillId="3" borderId="8" xfId="1" applyFont="1" applyFill="1" applyBorder="1" applyAlignment="1">
      <alignment wrapText="1"/>
    </xf>
    <xf numFmtId="0" fontId="2" fillId="4" borderId="17" xfId="1" applyFont="1" applyFill="1" applyBorder="1" applyAlignment="1">
      <alignment wrapText="1"/>
    </xf>
    <xf numFmtId="0" fontId="1" fillId="0" borderId="4" xfId="1" applyFont="1" applyBorder="1"/>
    <xf numFmtId="0" fontId="1" fillId="0" borderId="4" xfId="1" applyFont="1" applyBorder="1" applyAlignment="1">
      <alignment wrapText="1"/>
    </xf>
    <xf numFmtId="0" fontId="1" fillId="0" borderId="6" xfId="1" applyFont="1" applyBorder="1" applyAlignment="1">
      <alignment wrapText="1"/>
    </xf>
    <xf numFmtId="0" fontId="1" fillId="0" borderId="8" xfId="1" applyFont="1" applyFill="1" applyBorder="1"/>
    <xf numFmtId="0" fontId="1" fillId="0" borderId="8" xfId="1" applyFont="1" applyFill="1" applyBorder="1" applyAlignment="1">
      <alignment wrapText="1"/>
    </xf>
    <xf numFmtId="0" fontId="2" fillId="0" borderId="3" xfId="1" applyFont="1" applyFill="1" applyBorder="1" applyAlignment="1">
      <alignment wrapText="1"/>
    </xf>
    <xf numFmtId="0" fontId="5" fillId="0" borderId="2" xfId="1" applyFont="1" applyBorder="1"/>
    <xf numFmtId="0" fontId="5" fillId="0" borderId="2" xfId="1" applyFont="1" applyBorder="1" applyAlignment="1">
      <alignment wrapText="1"/>
    </xf>
    <xf numFmtId="0" fontId="1" fillId="0" borderId="17" xfId="1" applyFont="1" applyBorder="1" applyAlignment="1">
      <alignment wrapText="1"/>
    </xf>
    <xf numFmtId="0" fontId="1" fillId="0" borderId="14" xfId="1" applyBorder="1" applyAlignment="1">
      <alignment wrapText="1"/>
    </xf>
    <xf numFmtId="0" fontId="2" fillId="0" borderId="33" xfId="1" applyFont="1" applyBorder="1"/>
    <xf numFmtId="0" fontId="2" fillId="7" borderId="4" xfId="1" applyFont="1" applyFill="1" applyBorder="1" applyAlignment="1">
      <alignment wrapText="1"/>
    </xf>
    <xf numFmtId="0" fontId="1" fillId="0" borderId="0" xfId="1"/>
    <xf numFmtId="0" fontId="1" fillId="0" borderId="0" xfId="1"/>
    <xf numFmtId="0" fontId="2" fillId="0" borderId="2" xfId="0" applyFont="1" applyBorder="1" applyAlignment="1">
      <alignment wrapText="1"/>
    </xf>
    <xf numFmtId="0" fontId="2" fillId="2" borderId="3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2" fillId="0" borderId="4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6" xfId="0" applyFont="1" applyBorder="1"/>
    <xf numFmtId="0" fontId="2" fillId="2" borderId="36" xfId="0" applyFont="1" applyFill="1" applyBorder="1" applyAlignment="1">
      <alignment wrapText="1"/>
    </xf>
    <xf numFmtId="0" fontId="2" fillId="0" borderId="22" xfId="0" applyFont="1" applyBorder="1"/>
    <xf numFmtId="0" fontId="2" fillId="0" borderId="17" xfId="0" applyFont="1" applyBorder="1"/>
    <xf numFmtId="0" fontId="2" fillId="4" borderId="17" xfId="0" applyFont="1" applyFill="1" applyBorder="1"/>
    <xf numFmtId="0" fontId="1" fillId="0" borderId="0" xfId="1" applyFont="1"/>
    <xf numFmtId="0" fontId="1" fillId="0" borderId="20" xfId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1" fillId="0" borderId="22" xfId="0" applyFont="1" applyBorder="1"/>
    <xf numFmtId="0" fontId="1" fillId="0" borderId="22" xfId="0" applyFont="1" applyBorder="1" applyAlignment="1">
      <alignment wrapText="1"/>
    </xf>
    <xf numFmtId="0" fontId="1" fillId="0" borderId="17" xfId="0" applyFont="1" applyBorder="1"/>
    <xf numFmtId="0" fontId="2" fillId="3" borderId="12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12" xfId="0" applyBorder="1"/>
    <xf numFmtId="0" fontId="2" fillId="0" borderId="15" xfId="0" applyFont="1" applyBorder="1" applyAlignment="1">
      <alignment wrapText="1"/>
    </xf>
    <xf numFmtId="0" fontId="0" fillId="0" borderId="15" xfId="0" applyBorder="1"/>
    <xf numFmtId="0" fontId="6" fillId="0" borderId="15" xfId="0" applyFont="1" applyBorder="1" applyAlignment="1">
      <alignment wrapText="1"/>
    </xf>
    <xf numFmtId="0" fontId="6" fillId="8" borderId="3" xfId="0" applyFont="1" applyFill="1" applyBorder="1"/>
    <xf numFmtId="0" fontId="6" fillId="8" borderId="24" xfId="0" applyFont="1" applyFill="1" applyBorder="1" applyAlignment="1">
      <alignment wrapText="1"/>
    </xf>
    <xf numFmtId="0" fontId="6" fillId="8" borderId="24" xfId="0" applyFont="1" applyFill="1" applyBorder="1"/>
    <xf numFmtId="0" fontId="7" fillId="0" borderId="27" xfId="0" applyFont="1" applyBorder="1"/>
    <xf numFmtId="0" fontId="6" fillId="8" borderId="2" xfId="0" applyFont="1" applyFill="1" applyBorder="1"/>
    <xf numFmtId="0" fontId="6" fillId="8" borderId="25" xfId="0" applyFont="1" applyFill="1" applyBorder="1" applyAlignment="1">
      <alignment wrapText="1"/>
    </xf>
    <xf numFmtId="0" fontId="6" fillId="8" borderId="25" xfId="0" applyFont="1" applyFill="1" applyBorder="1"/>
    <xf numFmtId="0" fontId="0" fillId="0" borderId="8" xfId="0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2" xfId="0" applyFont="1" applyBorder="1"/>
    <xf numFmtId="0" fontId="0" fillId="0" borderId="2" xfId="0" applyBorder="1"/>
    <xf numFmtId="0" fontId="2" fillId="4" borderId="2" xfId="0" applyFont="1" applyFill="1" applyBorder="1"/>
    <xf numFmtId="0" fontId="2" fillId="9" borderId="3" xfId="0" applyFont="1" applyFill="1" applyBorder="1" applyAlignment="1">
      <alignment wrapText="1"/>
    </xf>
    <xf numFmtId="0" fontId="0" fillId="0" borderId="20" xfId="0" applyBorder="1"/>
    <xf numFmtId="0" fontId="0" fillId="0" borderId="20" xfId="0" applyBorder="1" applyAlignment="1">
      <alignment wrapText="1"/>
    </xf>
    <xf numFmtId="0" fontId="2" fillId="0" borderId="20" xfId="0" applyFont="1" applyBorder="1"/>
    <xf numFmtId="0" fontId="2" fillId="10" borderId="20" xfId="0" applyFont="1" applyFill="1" applyBorder="1" applyAlignment="1">
      <alignment wrapText="1"/>
    </xf>
    <xf numFmtId="0" fontId="2" fillId="7" borderId="6" xfId="0" applyFont="1" applyFill="1" applyBorder="1"/>
    <xf numFmtId="0" fontId="2" fillId="2" borderId="20" xfId="0" applyFont="1" applyFill="1" applyBorder="1"/>
    <xf numFmtId="0" fontId="2" fillId="2" borderId="20" xfId="0" applyFont="1" applyFill="1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wrapText="1"/>
    </xf>
    <xf numFmtId="0" fontId="0" fillId="0" borderId="8" xfId="0" applyBorder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0" borderId="8" xfId="0" applyFont="1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wrapText="1"/>
    </xf>
    <xf numFmtId="0" fontId="0" fillId="3" borderId="14" xfId="0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4" borderId="20" xfId="0" applyFont="1" applyFill="1" applyBorder="1" applyAlignment="1">
      <alignment wrapText="1"/>
    </xf>
    <xf numFmtId="0" fontId="2" fillId="0" borderId="8" xfId="1" applyFont="1" applyBorder="1" applyAlignment="1">
      <alignment wrapText="1"/>
    </xf>
    <xf numFmtId="0" fontId="1" fillId="0" borderId="22" xfId="1" applyBorder="1"/>
    <xf numFmtId="0" fontId="2" fillId="9" borderId="3" xfId="1" applyFont="1" applyFill="1" applyBorder="1" applyAlignment="1">
      <alignment wrapText="1"/>
    </xf>
    <xf numFmtId="0" fontId="2" fillId="0" borderId="20" xfId="1" applyFont="1" applyBorder="1"/>
    <xf numFmtId="0" fontId="2" fillId="4" borderId="20" xfId="1" applyFont="1" applyFill="1" applyBorder="1" applyAlignment="1">
      <alignment wrapText="1"/>
    </xf>
    <xf numFmtId="0" fontId="2" fillId="6" borderId="2" xfId="1" applyFont="1" applyFill="1" applyBorder="1" applyAlignment="1">
      <alignment wrapText="1"/>
    </xf>
    <xf numFmtId="0" fontId="1" fillId="0" borderId="2" xfId="0" applyFont="1" applyBorder="1"/>
    <xf numFmtId="0" fontId="1" fillId="0" borderId="20" xfId="0" applyFont="1" applyBorder="1" applyAlignment="1">
      <alignment wrapText="1"/>
    </xf>
    <xf numFmtId="0" fontId="0" fillId="0" borderId="22" xfId="0" applyBorder="1"/>
    <xf numFmtId="0" fontId="1" fillId="0" borderId="0" xfId="1"/>
    <xf numFmtId="0" fontId="2" fillId="5" borderId="11" xfId="1" applyFont="1" applyFill="1" applyBorder="1" applyAlignment="1">
      <alignment horizontal="center"/>
    </xf>
    <xf numFmtId="0" fontId="2" fillId="5" borderId="23" xfId="1" applyFont="1" applyFill="1" applyBorder="1" applyAlignment="1">
      <alignment horizontal="center"/>
    </xf>
    <xf numFmtId="0" fontId="2" fillId="5" borderId="24" xfId="1" applyFont="1" applyFill="1" applyBorder="1" applyAlignment="1">
      <alignment horizontal="center"/>
    </xf>
    <xf numFmtId="0" fontId="1" fillId="0" borderId="16" xfId="1" applyBorder="1" applyAlignment="1">
      <alignment horizontal="left"/>
    </xf>
    <xf numFmtId="0" fontId="1" fillId="0" borderId="26" xfId="1" applyBorder="1" applyAlignment="1">
      <alignment horizontal="left"/>
    </xf>
    <xf numFmtId="0" fontId="1" fillId="0" borderId="27" xfId="1" applyBorder="1" applyAlignment="1">
      <alignment horizontal="left"/>
    </xf>
    <xf numFmtId="0" fontId="1" fillId="0" borderId="11" xfId="1" applyBorder="1" applyAlignment="1">
      <alignment horizontal="left"/>
    </xf>
    <xf numFmtId="0" fontId="1" fillId="0" borderId="23" xfId="1" applyBorder="1" applyAlignment="1">
      <alignment horizontal="left"/>
    </xf>
    <xf numFmtId="0" fontId="1" fillId="0" borderId="24" xfId="1" applyBorder="1" applyAlignment="1">
      <alignment horizontal="left"/>
    </xf>
    <xf numFmtId="0" fontId="1" fillId="0" borderId="16" xfId="1" applyFont="1" applyBorder="1" applyAlignment="1">
      <alignment horizontal="left"/>
    </xf>
    <xf numFmtId="0" fontId="1" fillId="0" borderId="26" xfId="1" applyFont="1" applyBorder="1" applyAlignment="1">
      <alignment horizontal="left"/>
    </xf>
    <xf numFmtId="0" fontId="1" fillId="0" borderId="27" xfId="1" applyFont="1" applyBorder="1" applyAlignment="1">
      <alignment horizontal="left"/>
    </xf>
    <xf numFmtId="0" fontId="2" fillId="5" borderId="10" xfId="1" applyFont="1" applyFill="1" applyBorder="1" applyAlignment="1">
      <alignment horizontal="center"/>
    </xf>
    <xf numFmtId="0" fontId="1" fillId="5" borderId="1" xfId="1" applyFill="1" applyBorder="1" applyAlignment="1">
      <alignment horizontal="center"/>
    </xf>
    <xf numFmtId="0" fontId="1" fillId="5" borderId="25" xfId="1" applyFill="1" applyBorder="1" applyAlignment="1">
      <alignment horizontal="center"/>
    </xf>
    <xf numFmtId="0" fontId="1" fillId="5" borderId="23" xfId="1" applyFill="1" applyBorder="1" applyAlignment="1">
      <alignment horizontal="center"/>
    </xf>
    <xf numFmtId="0" fontId="1" fillId="5" borderId="24" xfId="1" applyFill="1" applyBorder="1" applyAlignment="1">
      <alignment horizontal="center"/>
    </xf>
    <xf numFmtId="0" fontId="2" fillId="5" borderId="7" xfId="1" applyFont="1" applyFill="1" applyBorder="1" applyAlignment="1">
      <alignment horizontal="center"/>
    </xf>
    <xf numFmtId="0" fontId="1" fillId="5" borderId="28" xfId="1" applyFill="1" applyBorder="1" applyAlignment="1">
      <alignment horizontal="center"/>
    </xf>
    <xf numFmtId="0" fontId="1" fillId="5" borderId="29" xfId="1" applyFill="1" applyBorder="1" applyAlignment="1">
      <alignment horizontal="center"/>
    </xf>
    <xf numFmtId="0" fontId="8" fillId="5" borderId="11" xfId="1" applyFont="1" applyFill="1" applyBorder="1" applyAlignment="1">
      <alignment horizontal="center"/>
    </xf>
    <xf numFmtId="0" fontId="9" fillId="5" borderId="23" xfId="1" applyFont="1" applyFill="1" applyBorder="1" applyAlignment="1">
      <alignment horizontal="center"/>
    </xf>
    <xf numFmtId="0" fontId="9" fillId="5" borderId="24" xfId="1" applyFont="1" applyFill="1" applyBorder="1" applyAlignment="1">
      <alignment horizontal="center"/>
    </xf>
    <xf numFmtId="0" fontId="2" fillId="5" borderId="30" xfId="1" applyFont="1" applyFill="1" applyBorder="1" applyAlignment="1">
      <alignment horizontal="center"/>
    </xf>
    <xf numFmtId="0" fontId="2" fillId="5" borderId="31" xfId="1" applyFont="1" applyFill="1" applyBorder="1" applyAlignment="1">
      <alignment horizontal="center"/>
    </xf>
    <xf numFmtId="0" fontId="2" fillId="5" borderId="32" xfId="1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1" fillId="0" borderId="11" xfId="1" applyBorder="1" applyAlignment="1">
      <alignment horizontal="left" vertical="center"/>
    </xf>
    <xf numFmtId="0" fontId="1" fillId="0" borderId="23" xfId="1" applyBorder="1" applyAlignment="1">
      <alignment horizontal="left" vertical="center"/>
    </xf>
    <xf numFmtId="0" fontId="1" fillId="0" borderId="24" xfId="1" applyBorder="1" applyAlignment="1">
      <alignment horizontal="left" vertical="center"/>
    </xf>
    <xf numFmtId="0" fontId="7" fillId="0" borderId="16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5" xfId="0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2" fillId="5" borderId="25" xfId="1" applyFont="1" applyFill="1" applyBorder="1" applyAlignment="1">
      <alignment horizontal="center"/>
    </xf>
    <xf numFmtId="0" fontId="1" fillId="0" borderId="10" xfId="1" applyBorder="1" applyAlignment="1">
      <alignment horizontal="left"/>
    </xf>
    <xf numFmtId="0" fontId="1" fillId="0" borderId="1" xfId="1" applyBorder="1" applyAlignment="1">
      <alignment horizontal="left"/>
    </xf>
    <xf numFmtId="0" fontId="1" fillId="0" borderId="25" xfId="1" applyBorder="1" applyAlignment="1">
      <alignment horizontal="left"/>
    </xf>
    <xf numFmtId="0" fontId="1" fillId="0" borderId="0" xfId="1" applyAlignment="1">
      <alignment wrapText="1"/>
    </xf>
    <xf numFmtId="0" fontId="1" fillId="0" borderId="0" xfId="1"/>
    <xf numFmtId="0" fontId="1" fillId="0" borderId="16" xfId="1" applyBorder="1" applyAlignment="1">
      <alignment horizontal="left" wrapText="1"/>
    </xf>
    <xf numFmtId="0" fontId="1" fillId="0" borderId="26" xfId="1" applyBorder="1" applyAlignment="1">
      <alignment horizontal="left" wrapText="1"/>
    </xf>
    <xf numFmtId="0" fontId="1" fillId="0" borderId="27" xfId="1" applyBorder="1" applyAlignment="1">
      <alignment horizontal="left" wrapText="1"/>
    </xf>
    <xf numFmtId="0" fontId="1" fillId="0" borderId="15" xfId="1" applyBorder="1" applyAlignment="1">
      <alignment horizontal="left" wrapText="1"/>
    </xf>
    <xf numFmtId="0" fontId="1" fillId="0" borderId="2" xfId="1" applyBorder="1" applyAlignment="1">
      <alignment horizontal="left"/>
    </xf>
  </cellXfs>
  <cellStyles count="2">
    <cellStyle name="Normal" xfId="0" builtinId="0"/>
    <cellStyle name="Normal 2" xfId="1" xr:uid="{A7545A40-257A-D246-8ED4-B3BC59F31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0703-4554-0641-9503-1385FCB30DD5}">
  <dimension ref="A1:H109"/>
  <sheetViews>
    <sheetView tabSelected="1" workbookViewId="0"/>
  </sheetViews>
  <sheetFormatPr defaultColWidth="8.796875" defaultRowHeight="14.4"/>
  <cols>
    <col min="1" max="1" width="31.796875" style="4" customWidth="1"/>
    <col min="2" max="2" width="18.296875" style="4" customWidth="1"/>
    <col min="3" max="3" width="22" style="4" customWidth="1"/>
    <col min="4" max="4" width="18.796875" style="4" customWidth="1"/>
    <col min="5" max="5" width="16.5" style="4" customWidth="1"/>
    <col min="6" max="6" width="21.796875" style="4" customWidth="1"/>
    <col min="7" max="7" width="15.69921875" style="4" customWidth="1"/>
    <col min="8" max="8" width="17.69921875" style="4" customWidth="1"/>
    <col min="9" max="16384" width="8.796875" style="4"/>
  </cols>
  <sheetData>
    <row r="1" spans="1:8" s="179" customFormat="1">
      <c r="A1" s="40" t="s">
        <v>233</v>
      </c>
    </row>
    <row r="2" spans="1:8" ht="15" thickBot="1">
      <c r="A2" s="1" t="s">
        <v>0</v>
      </c>
      <c r="B2" s="2"/>
      <c r="C2" s="2"/>
      <c r="D2" s="2"/>
      <c r="E2" s="2"/>
      <c r="F2" s="3"/>
      <c r="G2" s="2"/>
      <c r="H2" s="2"/>
    </row>
    <row r="3" spans="1:8" ht="16.95" customHeight="1" thickBot="1">
      <c r="A3" s="180" t="s">
        <v>182</v>
      </c>
      <c r="B3" s="181"/>
      <c r="C3" s="181"/>
      <c r="D3" s="181"/>
      <c r="E3" s="181"/>
      <c r="F3" s="181"/>
      <c r="G3" s="181"/>
      <c r="H3" s="182"/>
    </row>
    <row r="4" spans="1:8" ht="30.75" customHeight="1" thickBot="1">
      <c r="A4" s="5" t="s">
        <v>1</v>
      </c>
      <c r="B4" s="186">
        <v>6.4000000000000001E-2</v>
      </c>
      <c r="C4" s="187"/>
      <c r="D4" s="187"/>
      <c r="E4" s="187"/>
      <c r="F4" s="187"/>
      <c r="G4" s="187"/>
      <c r="H4" s="188"/>
    </row>
    <row r="5" spans="1:8" ht="89.25" customHeight="1" thickBot="1">
      <c r="A5" s="7" t="s">
        <v>2</v>
      </c>
      <c r="B5" s="8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8" t="s">
        <v>8</v>
      </c>
      <c r="H5" s="8" t="s">
        <v>9</v>
      </c>
    </row>
    <row r="6" spans="1:8">
      <c r="A6" s="9" t="s">
        <v>10</v>
      </c>
      <c r="B6" s="9">
        <v>0.23733804719335252</v>
      </c>
      <c r="C6" s="9">
        <v>3.1966666666666668</v>
      </c>
      <c r="D6" s="91" t="s">
        <v>11</v>
      </c>
      <c r="E6" s="91">
        <v>1.17</v>
      </c>
      <c r="F6" s="9">
        <f>B4*B6*C6*E6</f>
        <v>5.6810753939702897E-2</v>
      </c>
      <c r="G6" s="11"/>
      <c r="H6" s="9"/>
    </row>
    <row r="7" spans="1:8">
      <c r="A7" s="12" t="s">
        <v>12</v>
      </c>
      <c r="B7" s="12">
        <v>0.57480958149874173</v>
      </c>
      <c r="C7" s="12">
        <v>5.56</v>
      </c>
      <c r="D7" s="75" t="s">
        <v>11</v>
      </c>
      <c r="E7" s="75">
        <v>1.335</v>
      </c>
      <c r="F7" s="12">
        <f>B4*B7*C7*E7</f>
        <v>0.27306122237648384</v>
      </c>
      <c r="G7" s="14"/>
      <c r="H7" s="12"/>
    </row>
    <row r="8" spans="1:8">
      <c r="A8" s="12" t="s">
        <v>13</v>
      </c>
      <c r="B8" s="12">
        <v>8.4862350628011722E-3</v>
      </c>
      <c r="C8" s="12">
        <v>34.744999999999997</v>
      </c>
      <c r="D8" s="75" t="s">
        <v>11</v>
      </c>
      <c r="E8" s="75">
        <v>1.1499999999999999</v>
      </c>
      <c r="F8" s="12">
        <f>B4*B8*C8*E8</f>
        <v>2.1701271862117164E-2</v>
      </c>
      <c r="G8" s="14"/>
      <c r="H8" s="12"/>
    </row>
    <row r="9" spans="1:8">
      <c r="A9" s="12" t="s">
        <v>14</v>
      </c>
      <c r="B9" s="12">
        <v>0.14210263832170802</v>
      </c>
      <c r="C9" s="12">
        <v>32.845999999999997</v>
      </c>
      <c r="D9" s="75" t="s">
        <v>11</v>
      </c>
      <c r="E9" s="75">
        <v>1.2549999999999999</v>
      </c>
      <c r="F9" s="12">
        <f>B4*B9*C9*E9</f>
        <v>0.37489386170784644</v>
      </c>
      <c r="G9" s="14"/>
      <c r="H9" s="12"/>
    </row>
    <row r="10" spans="1:8">
      <c r="A10" s="12" t="s">
        <v>15</v>
      </c>
      <c r="B10" s="12">
        <v>7.0533056565549928E-3</v>
      </c>
      <c r="C10" s="12">
        <v>3.1966666666666668</v>
      </c>
      <c r="D10" s="75" t="s">
        <v>11</v>
      </c>
      <c r="E10" s="91">
        <v>1.17</v>
      </c>
      <c r="F10" s="12">
        <f>B4*B10*C10*E10</f>
        <v>1.6883243831092051E-3</v>
      </c>
      <c r="G10" s="14"/>
      <c r="H10" s="12"/>
    </row>
    <row r="11" spans="1:8">
      <c r="A11" s="12" t="s">
        <v>16</v>
      </c>
      <c r="B11" s="12">
        <v>1.7082417760537802E-2</v>
      </c>
      <c r="C11" s="12">
        <v>5.56</v>
      </c>
      <c r="D11" s="75" t="s">
        <v>11</v>
      </c>
      <c r="E11" s="75">
        <v>1.335</v>
      </c>
      <c r="F11" s="12">
        <f>B4*B11*C11*E11</f>
        <v>8.1149410604395445E-3</v>
      </c>
      <c r="G11" s="14"/>
      <c r="H11" s="12"/>
    </row>
    <row r="12" spans="1:8">
      <c r="A12" s="12" t="s">
        <v>17</v>
      </c>
      <c r="B12" s="12">
        <v>2.521972792779737E-4</v>
      </c>
      <c r="C12" s="12">
        <v>34.744999999999997</v>
      </c>
      <c r="D12" s="75" t="s">
        <v>11</v>
      </c>
      <c r="E12" s="75">
        <v>1.1499999999999999</v>
      </c>
      <c r="F12" s="12">
        <f>B4*B12*C12*E12</f>
        <v>6.4492695288257112E-4</v>
      </c>
      <c r="G12" s="14"/>
      <c r="H12" s="12"/>
    </row>
    <row r="13" spans="1:8">
      <c r="A13" s="12" t="s">
        <v>18</v>
      </c>
      <c r="B13" s="12">
        <v>4.2230622293329637E-3</v>
      </c>
      <c r="C13" s="12">
        <v>32.845999999999997</v>
      </c>
      <c r="D13" s="75" t="s">
        <v>11</v>
      </c>
      <c r="E13" s="75">
        <v>1.2549999999999999</v>
      </c>
      <c r="F13" s="12">
        <f>B4*B13*C13*E13</f>
        <v>1.1141243583408735E-2</v>
      </c>
      <c r="G13" s="14"/>
      <c r="H13" s="12"/>
    </row>
    <row r="14" spans="1:8">
      <c r="A14" s="12" t="s">
        <v>19</v>
      </c>
      <c r="B14" s="12">
        <v>2.1330561461355827E-3</v>
      </c>
      <c r="C14" s="12">
        <v>3.1966666666666668</v>
      </c>
      <c r="D14" s="75" t="s">
        <v>11</v>
      </c>
      <c r="E14" s="91">
        <v>1.17</v>
      </c>
      <c r="F14" s="12">
        <f>B4*B14*C14*E14</f>
        <v>5.1058197069834828E-4</v>
      </c>
      <c r="G14" s="14"/>
      <c r="H14" s="12"/>
    </row>
    <row r="15" spans="1:8">
      <c r="A15" s="12" t="s">
        <v>20</v>
      </c>
      <c r="B15" s="12">
        <v>5.1660537582271576E-3</v>
      </c>
      <c r="C15" s="12">
        <v>5.56</v>
      </c>
      <c r="D15" s="75" t="s">
        <v>11</v>
      </c>
      <c r="E15" s="75">
        <v>1.335</v>
      </c>
      <c r="F15" s="12">
        <f>B4*B15*C15*E15</f>
        <v>2.4541152400522812E-3</v>
      </c>
      <c r="G15" s="14"/>
      <c r="H15" s="12"/>
    </row>
    <row r="16" spans="1:8">
      <c r="A16" s="12" t="s">
        <v>21</v>
      </c>
      <c r="B16" s="12">
        <v>7.6269338491322697E-5</v>
      </c>
      <c r="C16" s="12">
        <v>34.744999999999997</v>
      </c>
      <c r="D16" s="75" t="s">
        <v>11</v>
      </c>
      <c r="E16" s="75">
        <v>1.1499999999999999</v>
      </c>
      <c r="F16" s="12">
        <f>B4*B16*C16*E16</f>
        <v>1.950383930088421E-4</v>
      </c>
      <c r="G16" s="14"/>
      <c r="H16" s="12"/>
    </row>
    <row r="17" spans="1:8">
      <c r="A17" s="12" t="s">
        <v>22</v>
      </c>
      <c r="B17" s="12">
        <v>1.2771357548385979E-3</v>
      </c>
      <c r="C17" s="12">
        <v>32.845999999999997</v>
      </c>
      <c r="D17" s="75" t="s">
        <v>11</v>
      </c>
      <c r="E17" s="75">
        <v>1.2549999999999999</v>
      </c>
      <c r="F17" s="12">
        <f>B4*B17*C17*E17</f>
        <v>3.3693276965953835E-3</v>
      </c>
      <c r="G17" s="14"/>
      <c r="H17" s="12"/>
    </row>
    <row r="18" spans="1:8" ht="15" thickBot="1">
      <c r="A18" s="15" t="s">
        <v>23</v>
      </c>
      <c r="B18" s="16"/>
      <c r="C18" s="16"/>
      <c r="D18" s="16"/>
      <c r="E18" s="16"/>
      <c r="F18" s="17">
        <f>SUM(F6:F17)</f>
        <v>0.75458560916634509</v>
      </c>
      <c r="G18" s="18"/>
      <c r="H18" s="16"/>
    </row>
    <row r="19" spans="1:8" ht="30" thickTop="1" thickBot="1">
      <c r="A19" s="5" t="s">
        <v>24</v>
      </c>
      <c r="B19" s="189">
        <v>8.9999999999999993E-3</v>
      </c>
      <c r="C19" s="190"/>
      <c r="D19" s="190"/>
      <c r="E19" s="190"/>
      <c r="F19" s="190"/>
      <c r="G19" s="190"/>
      <c r="H19" s="191"/>
    </row>
    <row r="20" spans="1:8" ht="75" customHeight="1" thickBot="1">
      <c r="A20" s="7" t="s">
        <v>2</v>
      </c>
      <c r="B20" s="8" t="s">
        <v>3</v>
      </c>
      <c r="C20" s="7" t="s">
        <v>4</v>
      </c>
      <c r="D20" s="7" t="s">
        <v>5</v>
      </c>
      <c r="E20" s="7" t="s">
        <v>6</v>
      </c>
      <c r="F20" s="8" t="s">
        <v>7</v>
      </c>
      <c r="G20" s="19" t="s">
        <v>8</v>
      </c>
      <c r="H20" s="8" t="s">
        <v>9</v>
      </c>
    </row>
    <row r="21" spans="1:8" ht="15" thickBot="1">
      <c r="A21" s="20" t="s">
        <v>25</v>
      </c>
      <c r="B21" s="20"/>
      <c r="C21" s="20">
        <v>3.754</v>
      </c>
      <c r="D21" s="21"/>
      <c r="E21" s="21"/>
      <c r="F21" s="22">
        <f>B19*C21</f>
        <v>3.3785999999999997E-2</v>
      </c>
      <c r="G21" s="23"/>
      <c r="H21" s="24"/>
    </row>
    <row r="22" spans="1:8" ht="30" thickTop="1" thickBot="1">
      <c r="A22" s="5" t="s">
        <v>26</v>
      </c>
      <c r="B22" s="183">
        <v>2.5999999999999999E-2</v>
      </c>
      <c r="C22" s="184"/>
      <c r="D22" s="184"/>
      <c r="E22" s="184"/>
      <c r="F22" s="184"/>
      <c r="G22" s="184"/>
      <c r="H22" s="185"/>
    </row>
    <row r="23" spans="1:8" ht="78" customHeight="1" thickBot="1">
      <c r="A23" s="7" t="s">
        <v>2</v>
      </c>
      <c r="B23" s="8" t="s">
        <v>3</v>
      </c>
      <c r="C23" s="7" t="s">
        <v>4</v>
      </c>
      <c r="D23" s="7" t="s">
        <v>5</v>
      </c>
      <c r="E23" s="7" t="s">
        <v>6</v>
      </c>
      <c r="F23" s="8" t="s">
        <v>7</v>
      </c>
      <c r="G23" s="19" t="s">
        <v>8</v>
      </c>
      <c r="H23" s="8" t="s">
        <v>9</v>
      </c>
    </row>
    <row r="24" spans="1:8">
      <c r="A24" s="9" t="s">
        <v>27</v>
      </c>
      <c r="B24" s="9">
        <v>0.26278746813883774</v>
      </c>
      <c r="C24" s="9">
        <v>4.8252668759459452</v>
      </c>
      <c r="D24" s="91" t="s">
        <v>11</v>
      </c>
      <c r="E24" s="91">
        <v>1.2749999999999999</v>
      </c>
      <c r="F24" s="9">
        <f>B22*B24*C24*E24</f>
        <v>4.2034851908806722E-2</v>
      </c>
      <c r="G24" s="11"/>
      <c r="H24" s="12"/>
    </row>
    <row r="25" spans="1:8">
      <c r="A25" s="12" t="s">
        <v>28</v>
      </c>
      <c r="B25" s="12">
        <v>0.41146331870871866</v>
      </c>
      <c r="C25" s="12">
        <v>4.8285502525925947</v>
      </c>
      <c r="D25" s="75" t="s">
        <v>11</v>
      </c>
      <c r="E25" s="75">
        <v>1.25</v>
      </c>
      <c r="F25" s="12">
        <f>B22*B25*C25*E25</f>
        <v>6.4570067623216057E-2</v>
      </c>
      <c r="G25" s="14"/>
      <c r="H25" s="12"/>
    </row>
    <row r="26" spans="1:8">
      <c r="A26" s="12" t="s">
        <v>29</v>
      </c>
      <c r="B26" s="12">
        <v>3.0976020243507579E-2</v>
      </c>
      <c r="C26" s="12">
        <v>3.6740210518316871</v>
      </c>
      <c r="D26" s="75" t="s">
        <v>11</v>
      </c>
      <c r="E26" s="75">
        <v>1.2549999999999999</v>
      </c>
      <c r="F26" s="12">
        <f>B22*B26*C26*E26</f>
        <v>3.713507742051828E-3</v>
      </c>
      <c r="G26" s="14"/>
      <c r="H26" s="12"/>
    </row>
    <row r="27" spans="1:8">
      <c r="A27" s="12" t="s">
        <v>30</v>
      </c>
      <c r="B27" s="12">
        <v>0.21166947166396846</v>
      </c>
      <c r="C27" s="12">
        <v>1.368246026956522</v>
      </c>
      <c r="D27" s="75" t="s">
        <v>11</v>
      </c>
      <c r="E27" s="75">
        <v>1.2549999999999999</v>
      </c>
      <c r="F27" s="12">
        <f>B22*B27*C27*E27</f>
        <v>9.4501672618190428E-3</v>
      </c>
      <c r="G27" s="14"/>
      <c r="H27" s="12"/>
    </row>
    <row r="28" spans="1:8">
      <c r="A28" s="12" t="s">
        <v>31</v>
      </c>
      <c r="B28" s="12">
        <v>1.5118018768845226E-2</v>
      </c>
      <c r="C28" s="12">
        <v>3.1429999999999998</v>
      </c>
      <c r="D28" s="75" t="s">
        <v>11</v>
      </c>
      <c r="E28" s="75">
        <v>1.25</v>
      </c>
      <c r="F28" s="12">
        <f>B22*B28*C28*E28</f>
        <v>1.5442678221906174E-3</v>
      </c>
      <c r="G28" s="14"/>
      <c r="H28" s="12"/>
    </row>
    <row r="29" spans="1:8">
      <c r="A29" s="12" t="s">
        <v>32</v>
      </c>
      <c r="B29" s="12">
        <v>6.79857024761224E-2</v>
      </c>
      <c r="C29" s="12">
        <v>30.658000000000001</v>
      </c>
      <c r="D29" s="75" t="s">
        <v>11</v>
      </c>
      <c r="E29" s="75">
        <v>1.28</v>
      </c>
      <c r="F29" s="12">
        <f>B22*B29*C29*E29</f>
        <v>6.9365692581551328E-2</v>
      </c>
      <c r="G29" s="14"/>
      <c r="H29" s="12"/>
    </row>
    <row r="30" spans="1:8" ht="15" thickBot="1">
      <c r="A30" s="15" t="s">
        <v>23</v>
      </c>
      <c r="B30" s="16"/>
      <c r="C30" s="16"/>
      <c r="D30" s="16"/>
      <c r="E30" s="16"/>
      <c r="F30" s="17">
        <f>SUM(F24:F29)</f>
        <v>0.19067855493963559</v>
      </c>
      <c r="G30" s="18"/>
      <c r="H30" s="16"/>
    </row>
    <row r="31" spans="1:8" ht="15.6" thickTop="1" thickBot="1">
      <c r="A31" s="25" t="s">
        <v>33</v>
      </c>
      <c r="B31" s="26"/>
      <c r="C31" s="26"/>
      <c r="D31" s="26"/>
      <c r="E31" s="26"/>
      <c r="F31" s="27">
        <f>SUM(F18,F21,F30)</f>
        <v>0.97905016410598067</v>
      </c>
      <c r="G31" s="28">
        <f>F31/F108</f>
        <v>0.43425824010170105</v>
      </c>
      <c r="H31" s="26">
        <f>F31/F109</f>
        <v>0.43704286525593933</v>
      </c>
    </row>
    <row r="32" spans="1:8" ht="15" thickBot="1">
      <c r="A32" s="180" t="s">
        <v>189</v>
      </c>
      <c r="B32" s="181"/>
      <c r="C32" s="181"/>
      <c r="D32" s="181"/>
      <c r="E32" s="181"/>
      <c r="F32" s="181"/>
      <c r="G32" s="181"/>
      <c r="H32" s="182"/>
    </row>
    <row r="33" spans="1:8" ht="29.4" thickBot="1">
      <c r="A33" s="5" t="s">
        <v>79</v>
      </c>
      <c r="B33" s="186">
        <v>5.5E-2</v>
      </c>
      <c r="C33" s="187"/>
      <c r="D33" s="187"/>
      <c r="E33" s="187"/>
      <c r="F33" s="187"/>
      <c r="G33" s="187"/>
      <c r="H33" s="188"/>
    </row>
    <row r="34" spans="1:8" ht="72.599999999999994" thickBot="1">
      <c r="A34" s="7" t="s">
        <v>2</v>
      </c>
      <c r="B34" s="8" t="s">
        <v>3</v>
      </c>
      <c r="C34" s="7" t="s">
        <v>4</v>
      </c>
      <c r="D34" s="7" t="s">
        <v>5</v>
      </c>
      <c r="E34" s="7" t="s">
        <v>6</v>
      </c>
      <c r="F34" s="8" t="s">
        <v>7</v>
      </c>
      <c r="G34" s="19" t="s">
        <v>8</v>
      </c>
      <c r="H34" s="8" t="s">
        <v>9</v>
      </c>
    </row>
    <row r="35" spans="1:8" ht="15" thickBot="1">
      <c r="A35" s="24" t="s">
        <v>80</v>
      </c>
      <c r="B35" s="24"/>
      <c r="C35" s="24">
        <v>8.4202700000000004</v>
      </c>
      <c r="D35" s="24"/>
      <c r="E35" s="24"/>
      <c r="F35" s="34">
        <f>B33*C35</f>
        <v>0.46311485000000002</v>
      </c>
      <c r="G35" s="35"/>
      <c r="H35" s="24"/>
    </row>
    <row r="36" spans="1:8" ht="30" thickTop="1" thickBot="1">
      <c r="A36" s="5" t="s">
        <v>81</v>
      </c>
      <c r="B36" s="183">
        <v>0.22500000000000001</v>
      </c>
      <c r="C36" s="184"/>
      <c r="D36" s="184"/>
      <c r="E36" s="184"/>
      <c r="F36" s="184"/>
      <c r="G36" s="184"/>
      <c r="H36" s="185"/>
    </row>
    <row r="37" spans="1:8" ht="72.599999999999994" thickBot="1">
      <c r="A37" s="7" t="s">
        <v>2</v>
      </c>
      <c r="B37" s="8" t="s">
        <v>3</v>
      </c>
      <c r="C37" s="7" t="s">
        <v>4</v>
      </c>
      <c r="D37" s="7" t="s">
        <v>5</v>
      </c>
      <c r="E37" s="7" t="s">
        <v>6</v>
      </c>
      <c r="F37" s="8" t="s">
        <v>7</v>
      </c>
      <c r="G37" s="19" t="s">
        <v>8</v>
      </c>
      <c r="H37" s="8" t="s">
        <v>9</v>
      </c>
    </row>
    <row r="38" spans="1:8">
      <c r="A38" s="9" t="s">
        <v>82</v>
      </c>
      <c r="B38" s="12">
        <v>0.98257057313943541</v>
      </c>
      <c r="C38" s="12">
        <v>1.3233105925925925</v>
      </c>
      <c r="D38" s="12"/>
      <c r="E38" s="12"/>
      <c r="F38" s="12">
        <f>B36*B38*C38</f>
        <v>0.29255536066616766</v>
      </c>
      <c r="G38" s="14"/>
      <c r="H38" s="12"/>
    </row>
    <row r="39" spans="1:8">
      <c r="A39" s="12" t="s">
        <v>83</v>
      </c>
      <c r="B39" s="12">
        <v>1.1334473909324209E-2</v>
      </c>
      <c r="C39" s="12">
        <v>14.077772261623325</v>
      </c>
      <c r="D39" s="12"/>
      <c r="E39" s="12"/>
      <c r="F39" s="12">
        <f>B36*B39*C39</f>
        <v>3.5901932040174972E-2</v>
      </c>
      <c r="G39" s="14"/>
      <c r="H39" s="12"/>
    </row>
    <row r="40" spans="1:8">
      <c r="A40" s="12" t="s">
        <v>84</v>
      </c>
      <c r="B40" s="12">
        <v>6.0949529512403762E-3</v>
      </c>
      <c r="C40" s="12">
        <v>10.734301349487785</v>
      </c>
      <c r="D40" s="12"/>
      <c r="E40" s="12"/>
      <c r="F40" s="12">
        <f>B36*B40*C40</f>
        <v>1.4720638880151928E-2</v>
      </c>
      <c r="G40" s="14"/>
      <c r="H40" s="12"/>
    </row>
    <row r="41" spans="1:8" ht="15" thickBot="1">
      <c r="A41" s="15" t="s">
        <v>23</v>
      </c>
      <c r="B41" s="16"/>
      <c r="C41" s="16"/>
      <c r="D41" s="16"/>
      <c r="E41" s="16"/>
      <c r="F41" s="17">
        <f>SUM(F38:F40)</f>
        <v>0.34317793158649451</v>
      </c>
      <c r="G41" s="18"/>
      <c r="H41" s="16"/>
    </row>
    <row r="42" spans="1:8" ht="15.6" thickTop="1" thickBot="1">
      <c r="A42" s="64" t="s">
        <v>85</v>
      </c>
      <c r="B42" s="65"/>
      <c r="C42" s="65"/>
      <c r="D42" s="65"/>
      <c r="E42" s="65"/>
      <c r="F42" s="27">
        <f>SUM(F41+F35)</f>
        <v>0.80629278158649453</v>
      </c>
      <c r="G42" s="66">
        <f>F42/F108</f>
        <v>0.35763160783307352</v>
      </c>
      <c r="H42" s="9">
        <f>F42/F109</f>
        <v>0.35992487455586369</v>
      </c>
    </row>
    <row r="43" spans="1:8" ht="16.95" customHeight="1" thickBot="1">
      <c r="A43" s="180" t="s">
        <v>183</v>
      </c>
      <c r="B43" s="181"/>
      <c r="C43" s="181"/>
      <c r="D43" s="181"/>
      <c r="E43" s="181"/>
      <c r="F43" s="181"/>
      <c r="G43" s="181"/>
      <c r="H43" s="182"/>
    </row>
    <row r="44" spans="1:8" ht="29.4" thickBot="1">
      <c r="A44" s="5" t="s">
        <v>34</v>
      </c>
      <c r="B44" s="186">
        <v>0.36199999999999999</v>
      </c>
      <c r="C44" s="187"/>
      <c r="D44" s="187"/>
      <c r="E44" s="187"/>
      <c r="F44" s="187"/>
      <c r="G44" s="187"/>
      <c r="H44" s="188"/>
    </row>
    <row r="45" spans="1:8" ht="72.599999999999994" thickBot="1">
      <c r="A45" s="7" t="s">
        <v>2</v>
      </c>
      <c r="B45" s="8" t="s">
        <v>3</v>
      </c>
      <c r="C45" s="7" t="s">
        <v>4</v>
      </c>
      <c r="D45" s="7" t="s">
        <v>5</v>
      </c>
      <c r="E45" s="7" t="s">
        <v>6</v>
      </c>
      <c r="F45" s="8" t="s">
        <v>7</v>
      </c>
      <c r="G45" s="19" t="s">
        <v>8</v>
      </c>
      <c r="H45" s="8" t="s">
        <v>9</v>
      </c>
    </row>
    <row r="46" spans="1:8">
      <c r="A46" s="9" t="s">
        <v>35</v>
      </c>
      <c r="B46" s="12">
        <v>2.1456965467414862E-3</v>
      </c>
      <c r="C46" s="12">
        <v>0.39300000000000002</v>
      </c>
      <c r="D46" s="12" t="s">
        <v>11</v>
      </c>
      <c r="E46" s="12">
        <v>0.34965034965034963</v>
      </c>
      <c r="F46" s="12">
        <f>B44*B46*C46*E46</f>
        <v>1.067341485729805E-4</v>
      </c>
      <c r="G46" s="14"/>
      <c r="H46" s="12"/>
    </row>
    <row r="47" spans="1:8">
      <c r="A47" s="12" t="s">
        <v>36</v>
      </c>
      <c r="B47" s="12">
        <v>0.10905377658222302</v>
      </c>
      <c r="C47" s="12">
        <v>0.55000000000000004</v>
      </c>
      <c r="D47" s="12" t="s">
        <v>11</v>
      </c>
      <c r="E47" s="12">
        <v>0.29667146320768484</v>
      </c>
      <c r="F47" s="12">
        <f>B44*B47*C47*E47</f>
        <v>6.4415108642741368E-3</v>
      </c>
      <c r="G47" s="14"/>
      <c r="H47" s="12"/>
    </row>
    <row r="48" spans="1:8">
      <c r="A48" s="12" t="s">
        <v>37</v>
      </c>
      <c r="B48" s="12">
        <v>9.5430979281649309E-4</v>
      </c>
      <c r="C48" s="12">
        <v>0.47</v>
      </c>
      <c r="D48" s="12" t="s">
        <v>11</v>
      </c>
      <c r="E48" s="12">
        <v>0.31446540880503143</v>
      </c>
      <c r="F48" s="12">
        <f>B44*B48*C48*E48</f>
        <v>5.1058574889873619E-5</v>
      </c>
      <c r="G48" s="14"/>
      <c r="H48" s="12"/>
    </row>
    <row r="49" spans="1:8">
      <c r="A49" s="12" t="s">
        <v>38</v>
      </c>
      <c r="B49" s="12">
        <v>2.0565676132614549E-2</v>
      </c>
      <c r="C49" s="12">
        <v>0.47399999999999998</v>
      </c>
      <c r="D49" s="12" t="s">
        <v>11</v>
      </c>
      <c r="E49" s="12">
        <v>0.18726591760299627</v>
      </c>
      <c r="F49" s="12">
        <f>B44*B49*C49*E49</f>
        <v>6.6082832139383247E-4</v>
      </c>
      <c r="G49" s="14"/>
      <c r="H49" s="12"/>
    </row>
    <row r="50" spans="1:8">
      <c r="A50" s="12" t="s">
        <v>39</v>
      </c>
      <c r="B50" s="12">
        <v>2.505813449691106E-2</v>
      </c>
      <c r="C50" s="12">
        <v>1.8580000000000001</v>
      </c>
      <c r="D50" s="12" t="s">
        <v>11</v>
      </c>
      <c r="E50" s="12">
        <v>0.33530417677236202</v>
      </c>
      <c r="F50" s="12">
        <f>B44*B50*C50*E50</f>
        <v>5.651216940712989E-3</v>
      </c>
      <c r="G50" s="14"/>
      <c r="H50" s="12"/>
    </row>
    <row r="51" spans="1:8">
      <c r="A51" s="12" t="s">
        <v>40</v>
      </c>
      <c r="B51" s="12">
        <v>8.6218113555112844E-2</v>
      </c>
      <c r="C51" s="12">
        <v>0.38500000000000001</v>
      </c>
      <c r="D51" s="12" t="s">
        <v>11</v>
      </c>
      <c r="E51" s="12">
        <v>0.29667146320768484</v>
      </c>
      <c r="F51" s="12">
        <f>B44*B51*C51*E51</f>
        <v>3.5648691205170885E-3</v>
      </c>
      <c r="G51" s="14"/>
      <c r="H51" s="12"/>
    </row>
    <row r="52" spans="1:8">
      <c r="A52" s="12" t="s">
        <v>41</v>
      </c>
      <c r="B52" s="12">
        <v>0.74989080830364563</v>
      </c>
      <c r="C52" s="12">
        <v>0.34699999999999998</v>
      </c>
      <c r="D52" s="12" t="s">
        <v>11</v>
      </c>
      <c r="E52" s="12">
        <v>0.29667146320768484</v>
      </c>
      <c r="F52" s="12">
        <f>B44*B52*C52*E52</f>
        <v>2.7945497737033601E-2</v>
      </c>
      <c r="G52" s="14"/>
      <c r="H52" s="12"/>
    </row>
    <row r="53" spans="1:8">
      <c r="A53" s="12" t="s">
        <v>42</v>
      </c>
      <c r="B53" s="12">
        <v>6.1134845899350086E-3</v>
      </c>
      <c r="C53" s="12">
        <v>0.75775000000000003</v>
      </c>
      <c r="D53" s="12" t="s">
        <v>11</v>
      </c>
      <c r="E53" s="12">
        <v>0.29667146320768484</v>
      </c>
      <c r="F53" s="12">
        <f>B44*B53*C53*E53</f>
        <v>4.9750690295054104E-4</v>
      </c>
      <c r="G53" s="14"/>
      <c r="H53" s="12"/>
    </row>
    <row r="54" spans="1:8" ht="15" thickBot="1">
      <c r="A54" s="29" t="s">
        <v>187</v>
      </c>
      <c r="B54" s="30"/>
      <c r="C54" s="30"/>
      <c r="D54" s="30"/>
      <c r="E54" s="30"/>
      <c r="F54" s="31">
        <f>SUM(F46:F53)</f>
        <v>4.4919222610345047E-2</v>
      </c>
      <c r="G54" s="32">
        <f>F54/F108</f>
        <v>1.9923945955636881E-2</v>
      </c>
      <c r="H54" s="30">
        <f>F54/F109</f>
        <v>2.0051705698472748E-2</v>
      </c>
    </row>
    <row r="55" spans="1:8" ht="16.95" customHeight="1" thickBot="1">
      <c r="A55" s="180" t="s">
        <v>184</v>
      </c>
      <c r="B55" s="181"/>
      <c r="C55" s="181"/>
      <c r="D55" s="181"/>
      <c r="E55" s="181"/>
      <c r="F55" s="181"/>
      <c r="G55" s="181"/>
      <c r="H55" s="182"/>
    </row>
    <row r="56" spans="1:8" ht="29.4" thickBot="1">
      <c r="A56" s="5" t="s">
        <v>43</v>
      </c>
      <c r="B56" s="186">
        <v>0.25</v>
      </c>
      <c r="C56" s="187"/>
      <c r="D56" s="187"/>
      <c r="E56" s="187"/>
      <c r="F56" s="187"/>
      <c r="G56" s="187"/>
      <c r="H56" s="188"/>
    </row>
    <row r="57" spans="1:8" ht="72.599999999999994" thickBot="1">
      <c r="A57" s="7" t="s">
        <v>2</v>
      </c>
      <c r="B57" s="8" t="s">
        <v>3</v>
      </c>
      <c r="C57" s="7" t="s">
        <v>4</v>
      </c>
      <c r="D57" s="7" t="s">
        <v>5</v>
      </c>
      <c r="E57" s="7" t="s">
        <v>6</v>
      </c>
      <c r="F57" s="8" t="s">
        <v>7</v>
      </c>
      <c r="G57" s="19" t="s">
        <v>8</v>
      </c>
      <c r="H57" s="8" t="s">
        <v>9</v>
      </c>
    </row>
    <row r="58" spans="1:8">
      <c r="A58" s="12" t="s">
        <v>44</v>
      </c>
      <c r="B58" s="12">
        <v>0.21085358959864328</v>
      </c>
      <c r="C58" s="12">
        <v>0.22800000000000001</v>
      </c>
      <c r="D58" s="12"/>
      <c r="E58" s="12"/>
      <c r="F58" s="12">
        <f>B56*B58*C58</f>
        <v>1.2018654607122668E-2</v>
      </c>
      <c r="G58" s="14"/>
      <c r="H58" s="12"/>
    </row>
    <row r="59" spans="1:8">
      <c r="A59" s="12" t="s">
        <v>45</v>
      </c>
      <c r="B59" s="12">
        <v>0.13397399660825324</v>
      </c>
      <c r="C59" s="12">
        <v>0.374</v>
      </c>
      <c r="D59" s="12"/>
      <c r="E59" s="12"/>
      <c r="F59" s="12">
        <f>B56*B59*C59</f>
        <v>1.2526568682871678E-2</v>
      </c>
      <c r="G59" s="14"/>
      <c r="H59" s="12"/>
    </row>
    <row r="60" spans="1:8">
      <c r="A60" s="12" t="s">
        <v>46</v>
      </c>
      <c r="B60" s="12">
        <v>2.5664217071791971E-2</v>
      </c>
      <c r="C60" s="12">
        <v>0.43766666666666665</v>
      </c>
      <c r="D60" s="12"/>
      <c r="E60" s="12"/>
      <c r="F60" s="12">
        <f>B56*B60*C60</f>
        <v>2.808093084605238E-3</v>
      </c>
      <c r="G60" s="14"/>
      <c r="H60" s="12"/>
    </row>
    <row r="61" spans="1:8">
      <c r="A61" s="12" t="s">
        <v>47</v>
      </c>
      <c r="B61" s="12">
        <v>1.1305822498586774E-3</v>
      </c>
      <c r="C61" s="12">
        <v>2.024</v>
      </c>
      <c r="D61" s="12"/>
      <c r="E61" s="12"/>
      <c r="F61" s="12">
        <f>B56*B61*C61</f>
        <v>5.7207461842849071E-4</v>
      </c>
      <c r="G61" s="14"/>
      <c r="H61" s="12"/>
    </row>
    <row r="62" spans="1:8">
      <c r="A62" s="12" t="s">
        <v>48</v>
      </c>
      <c r="B62" s="12">
        <v>1.4132278123233465E-2</v>
      </c>
      <c r="C62" s="12">
        <v>1.21</v>
      </c>
      <c r="D62" s="12"/>
      <c r="E62" s="12"/>
      <c r="F62" s="12">
        <f>B56*B62*C62</f>
        <v>4.2750141322781231E-3</v>
      </c>
      <c r="G62" s="14"/>
      <c r="H62" s="12"/>
    </row>
    <row r="63" spans="1:8">
      <c r="A63" s="12" t="s">
        <v>49</v>
      </c>
      <c r="B63" s="12">
        <v>9.8699830412662518E-2</v>
      </c>
      <c r="C63" s="12">
        <v>0.47799999999999998</v>
      </c>
      <c r="D63" s="12"/>
      <c r="E63" s="12"/>
      <c r="F63" s="12">
        <f>B56*B63*C63</f>
        <v>1.179462973431317E-2</v>
      </c>
      <c r="G63" s="14"/>
      <c r="H63" s="12"/>
    </row>
    <row r="64" spans="1:8">
      <c r="A64" s="12" t="s">
        <v>50</v>
      </c>
      <c r="B64" s="12">
        <v>1.7071791972866027E-2</v>
      </c>
      <c r="C64" s="12">
        <v>0.51700000000000002</v>
      </c>
      <c r="D64" s="12"/>
      <c r="E64" s="12"/>
      <c r="F64" s="12">
        <f>B56*B64*C64</f>
        <v>2.2065291124929338E-3</v>
      </c>
      <c r="G64" s="14"/>
      <c r="H64" s="12"/>
    </row>
    <row r="65" spans="1:8" ht="28.8">
      <c r="A65" s="33" t="s">
        <v>51</v>
      </c>
      <c r="B65" s="12">
        <v>0.17625777275296778</v>
      </c>
      <c r="C65" s="12">
        <v>0.34699999999999998</v>
      </c>
      <c r="D65" s="12"/>
      <c r="E65" s="12"/>
      <c r="F65" s="12">
        <f>B56*B65*C65</f>
        <v>1.5290361786319954E-2</v>
      </c>
      <c r="G65" s="14"/>
      <c r="H65" s="12"/>
    </row>
    <row r="66" spans="1:8">
      <c r="A66" s="12" t="s">
        <v>52</v>
      </c>
      <c r="B66" s="12">
        <v>3.7422272470322218E-2</v>
      </c>
      <c r="C66" s="12">
        <v>0.91400000000000003</v>
      </c>
      <c r="D66" s="12"/>
      <c r="E66" s="12"/>
      <c r="F66" s="12">
        <f>B56*B66*C66</f>
        <v>8.5509892594686273E-3</v>
      </c>
      <c r="G66" s="14"/>
      <c r="H66" s="12"/>
    </row>
    <row r="67" spans="1:8">
      <c r="A67" s="12" t="s">
        <v>53</v>
      </c>
      <c r="B67" s="12">
        <v>0.28479366873940082</v>
      </c>
      <c r="C67" s="12">
        <v>0.65203333333333346</v>
      </c>
      <c r="D67" s="12"/>
      <c r="E67" s="12"/>
      <c r="F67" s="12">
        <f>B56*B67*C67</f>
        <v>4.6423741285095174E-2</v>
      </c>
      <c r="G67" s="14"/>
      <c r="H67" s="12"/>
    </row>
    <row r="68" spans="1:8" ht="15" thickBot="1">
      <c r="A68" s="29" t="s">
        <v>188</v>
      </c>
      <c r="B68" s="30"/>
      <c r="C68" s="30"/>
      <c r="D68" s="30"/>
      <c r="E68" s="30"/>
      <c r="F68" s="31">
        <f>SUM(F58:F67)</f>
        <v>0.11646665630299605</v>
      </c>
      <c r="G68" s="32">
        <f>F68/F108</f>
        <v>5.1658849618653364E-2</v>
      </c>
      <c r="H68" s="30">
        <f>F68/F109</f>
        <v>5.1990105352691766E-2</v>
      </c>
    </row>
    <row r="69" spans="1:8" ht="16.95" customHeight="1" thickBot="1">
      <c r="A69" s="180" t="s">
        <v>185</v>
      </c>
      <c r="B69" s="181"/>
      <c r="C69" s="181"/>
      <c r="D69" s="181"/>
      <c r="E69" s="181"/>
      <c r="F69" s="181"/>
      <c r="G69" s="181"/>
      <c r="H69" s="182"/>
    </row>
    <row r="70" spans="1:8" ht="29.4" thickBot="1">
      <c r="A70" s="5" t="s">
        <v>54</v>
      </c>
      <c r="B70" s="186">
        <v>0.4</v>
      </c>
      <c r="C70" s="187"/>
      <c r="D70" s="187"/>
      <c r="E70" s="187"/>
      <c r="F70" s="187"/>
      <c r="G70" s="187"/>
      <c r="H70" s="188"/>
    </row>
    <row r="71" spans="1:8" ht="72.599999999999994" thickBot="1">
      <c r="A71" s="7" t="s">
        <v>2</v>
      </c>
      <c r="B71" s="8" t="s">
        <v>3</v>
      </c>
      <c r="C71" s="7" t="s">
        <v>4</v>
      </c>
      <c r="D71" s="7" t="s">
        <v>5</v>
      </c>
      <c r="E71" s="7" t="s">
        <v>6</v>
      </c>
      <c r="F71" s="8" t="s">
        <v>7</v>
      </c>
      <c r="G71" s="19" t="s">
        <v>8</v>
      </c>
      <c r="H71" s="8" t="s">
        <v>9</v>
      </c>
    </row>
    <row r="72" spans="1:8">
      <c r="A72" s="9" t="s">
        <v>55</v>
      </c>
      <c r="B72" s="12">
        <v>2.6882591861034713E-3</v>
      </c>
      <c r="C72" s="12">
        <v>0.308</v>
      </c>
      <c r="D72" s="12" t="s">
        <v>11</v>
      </c>
      <c r="E72" s="12">
        <v>0.38844105721218408</v>
      </c>
      <c r="F72" s="12">
        <f>B70*B72*C72*E72</f>
        <v>1.2864916560624104E-4</v>
      </c>
      <c r="G72" s="14"/>
      <c r="H72" s="12"/>
    </row>
    <row r="73" spans="1:8">
      <c r="A73" s="12" t="s">
        <v>56</v>
      </c>
      <c r="B73" s="12">
        <v>5.0077158722952268E-3</v>
      </c>
      <c r="C73" s="12">
        <v>0.61699999999999999</v>
      </c>
      <c r="D73" s="12" t="s">
        <v>11</v>
      </c>
      <c r="E73" s="12">
        <v>0.95238095238095233</v>
      </c>
      <c r="F73" s="12">
        <f>B70*B73*C73*E73</f>
        <v>1.1770516926499638E-3</v>
      </c>
      <c r="G73" s="14"/>
      <c r="H73" s="12"/>
    </row>
    <row r="74" spans="1:8">
      <c r="A74" s="12" t="s">
        <v>57</v>
      </c>
      <c r="B74" s="12">
        <v>5.1349649449784788E-3</v>
      </c>
      <c r="C74" s="12">
        <v>1.2118571428571427</v>
      </c>
      <c r="D74" s="12" t="s">
        <v>11</v>
      </c>
      <c r="E74" s="12">
        <v>0.34767265230879446</v>
      </c>
      <c r="F74" s="12">
        <f>B70*B74*C74*E74</f>
        <v>8.6540506396803516E-4</v>
      </c>
      <c r="G74" s="14"/>
      <c r="H74" s="12"/>
    </row>
    <row r="75" spans="1:8">
      <c r="A75" s="12" t="s">
        <v>58</v>
      </c>
      <c r="B75" s="12">
        <v>2.3676231813609484E-2</v>
      </c>
      <c r="C75" s="12">
        <v>1.1539999999999999</v>
      </c>
      <c r="D75" s="12" t="s">
        <v>11</v>
      </c>
      <c r="E75" s="12">
        <v>0.38535645472061658</v>
      </c>
      <c r="F75" s="12">
        <f>B70*B75*C75*E75</f>
        <v>4.2115408883091092E-3</v>
      </c>
      <c r="G75" s="14"/>
      <c r="H75" s="12"/>
    </row>
    <row r="76" spans="1:8">
      <c r="A76" s="12" t="s">
        <v>59</v>
      </c>
      <c r="B76" s="12">
        <v>6.2829727093393517E-2</v>
      </c>
      <c r="C76" s="12">
        <v>0.26900000000000002</v>
      </c>
      <c r="D76" s="12"/>
      <c r="E76" s="12"/>
      <c r="F76" s="12">
        <f>B70*B76*C76</f>
        <v>6.7604786352491435E-3</v>
      </c>
      <c r="G76" s="14"/>
      <c r="H76" s="12"/>
    </row>
    <row r="77" spans="1:8">
      <c r="A77" s="12" t="s">
        <v>60</v>
      </c>
      <c r="B77" s="12">
        <v>2.0735883529172781E-4</v>
      </c>
      <c r="C77" s="12">
        <v>2.048</v>
      </c>
      <c r="D77" s="12"/>
      <c r="E77" s="12"/>
      <c r="F77" s="12">
        <f>B70*B77*C77</f>
        <v>1.6986835787098344E-4</v>
      </c>
      <c r="G77" s="14"/>
      <c r="H77" s="12"/>
    </row>
    <row r="78" spans="1:8">
      <c r="A78" s="12" t="s">
        <v>61</v>
      </c>
      <c r="B78" s="12">
        <v>0.1970945729447873</v>
      </c>
      <c r="C78" s="12">
        <v>0.47</v>
      </c>
      <c r="D78" s="12"/>
      <c r="E78" s="12"/>
      <c r="F78" s="12">
        <f>B70*B78*C78</f>
        <v>3.7053779713620012E-2</v>
      </c>
      <c r="G78" s="14"/>
      <c r="H78" s="12"/>
    </row>
    <row r="79" spans="1:8">
      <c r="A79" s="12" t="s">
        <v>62</v>
      </c>
      <c r="B79" s="12">
        <v>0.70336116930954073</v>
      </c>
      <c r="C79" s="12">
        <v>0.45593939393939392</v>
      </c>
      <c r="D79" s="12"/>
      <c r="E79" s="12"/>
      <c r="F79" s="12">
        <f>B70*B79*C79</f>
        <v>0.12827602610219818</v>
      </c>
      <c r="G79" s="14"/>
      <c r="H79" s="12"/>
    </row>
    <row r="80" spans="1:8" ht="15" thickBot="1">
      <c r="A80" s="15" t="s">
        <v>23</v>
      </c>
      <c r="B80" s="16"/>
      <c r="C80" s="16"/>
      <c r="D80" s="16"/>
      <c r="E80" s="16"/>
      <c r="F80" s="17">
        <f>SUM(F72:F79)</f>
        <v>0.17864279961947166</v>
      </c>
      <c r="G80" s="18"/>
      <c r="H80" s="16"/>
    </row>
    <row r="81" spans="1:8" ht="30" thickTop="1" thickBot="1">
      <c r="A81" s="5" t="s">
        <v>63</v>
      </c>
      <c r="B81" s="183">
        <v>0.112</v>
      </c>
      <c r="C81" s="184"/>
      <c r="D81" s="184"/>
      <c r="E81" s="184"/>
      <c r="F81" s="184"/>
      <c r="G81" s="184"/>
      <c r="H81" s="185"/>
    </row>
    <row r="82" spans="1:8" ht="72.599999999999994" thickBot="1">
      <c r="A82" s="7" t="s">
        <v>2</v>
      </c>
      <c r="B82" s="8" t="s">
        <v>3</v>
      </c>
      <c r="C82" s="7" t="s">
        <v>4</v>
      </c>
      <c r="D82" s="7" t="s">
        <v>5</v>
      </c>
      <c r="E82" s="7" t="s">
        <v>6</v>
      </c>
      <c r="F82" s="8" t="s">
        <v>7</v>
      </c>
      <c r="G82" s="19" t="s">
        <v>8</v>
      </c>
      <c r="H82" s="8" t="s">
        <v>9</v>
      </c>
    </row>
    <row r="83" spans="1:8" ht="15" thickBot="1">
      <c r="A83" s="24" t="s">
        <v>64</v>
      </c>
      <c r="B83" s="24"/>
      <c r="C83" s="24">
        <v>0.217</v>
      </c>
      <c r="D83" s="24"/>
      <c r="E83" s="24"/>
      <c r="F83" s="34">
        <f>B81*C83</f>
        <v>2.4303999999999999E-2</v>
      </c>
      <c r="G83" s="35"/>
      <c r="H83" s="24"/>
    </row>
    <row r="84" spans="1:8" ht="15.6" thickTop="1" thickBot="1">
      <c r="A84" s="64" t="s">
        <v>65</v>
      </c>
      <c r="B84" s="65"/>
      <c r="C84" s="65"/>
      <c r="D84" s="65"/>
      <c r="E84" s="65"/>
      <c r="F84" s="27">
        <f>SUM(F83,F80)</f>
        <v>0.20294679961947165</v>
      </c>
      <c r="G84" s="66">
        <f>F84/F108</f>
        <v>9.0017164868667815E-2</v>
      </c>
      <c r="H84" s="26">
        <f>F84/F109</f>
        <v>9.0594388369476447E-2</v>
      </c>
    </row>
    <row r="85" spans="1:8" ht="16.95" customHeight="1" thickBot="1">
      <c r="A85" s="180" t="s">
        <v>186</v>
      </c>
      <c r="B85" s="181"/>
      <c r="C85" s="181"/>
      <c r="D85" s="181"/>
      <c r="E85" s="181"/>
      <c r="F85" s="181"/>
      <c r="G85" s="181"/>
      <c r="H85" s="182"/>
    </row>
    <row r="86" spans="1:8" ht="29.4" thickBot="1">
      <c r="A86" s="5" t="s">
        <v>66</v>
      </c>
      <c r="B86" s="186">
        <v>2.4E-2</v>
      </c>
      <c r="C86" s="187"/>
      <c r="D86" s="187"/>
      <c r="E86" s="187"/>
      <c r="F86" s="187"/>
      <c r="G86" s="187"/>
      <c r="H86" s="188"/>
    </row>
    <row r="87" spans="1:8" ht="72.599999999999994" thickBot="1">
      <c r="A87" s="7" t="s">
        <v>2</v>
      </c>
      <c r="B87" s="8" t="s">
        <v>3</v>
      </c>
      <c r="C87" s="7" t="s">
        <v>4</v>
      </c>
      <c r="D87" s="7" t="s">
        <v>5</v>
      </c>
      <c r="E87" s="7" t="s">
        <v>6</v>
      </c>
      <c r="F87" s="8" t="s">
        <v>7</v>
      </c>
      <c r="G87" s="19" t="s">
        <v>8</v>
      </c>
      <c r="H87" s="8" t="s">
        <v>9</v>
      </c>
    </row>
    <row r="88" spans="1:8">
      <c r="A88" s="12" t="s">
        <v>67</v>
      </c>
      <c r="B88" s="12">
        <v>1.0911074740861974E-3</v>
      </c>
      <c r="C88" s="12">
        <v>2.7290000000000001</v>
      </c>
      <c r="D88" s="12"/>
      <c r="E88" s="12"/>
      <c r="F88" s="12">
        <f>B86*B88*C88</f>
        <v>7.1463175122749584E-5</v>
      </c>
      <c r="G88" s="14"/>
      <c r="H88" s="12"/>
    </row>
    <row r="89" spans="1:8">
      <c r="A89" s="12" t="s">
        <v>68</v>
      </c>
      <c r="B89" s="12">
        <v>2.7277686852154935E-3</v>
      </c>
      <c r="C89" s="12">
        <v>4.6559999999999997</v>
      </c>
      <c r="D89" s="12"/>
      <c r="E89" s="12"/>
      <c r="F89" s="12">
        <f>B86*B89*C89</f>
        <v>3.0481178396072012E-4</v>
      </c>
      <c r="G89" s="14"/>
      <c r="H89" s="12"/>
    </row>
    <row r="90" spans="1:8">
      <c r="A90" s="12" t="s">
        <v>69</v>
      </c>
      <c r="B90" s="12">
        <v>8.18330605564648E-3</v>
      </c>
      <c r="C90" s="12">
        <v>1.1990000000000001</v>
      </c>
      <c r="D90" s="12"/>
      <c r="E90" s="12"/>
      <c r="F90" s="12">
        <f>B86*B90*C90</f>
        <v>2.3548281505728311E-4</v>
      </c>
      <c r="G90" s="14"/>
      <c r="H90" s="12"/>
    </row>
    <row r="91" spans="1:8">
      <c r="A91" s="12" t="s">
        <v>70</v>
      </c>
      <c r="B91" s="12">
        <v>4.0370976541189305E-2</v>
      </c>
      <c r="C91" s="12">
        <v>3.206</v>
      </c>
      <c r="D91" s="12"/>
      <c r="E91" s="12"/>
      <c r="F91" s="12">
        <f>B86*B91*C91</f>
        <v>3.1063044189852699E-3</v>
      </c>
      <c r="G91" s="14"/>
      <c r="H91" s="12"/>
    </row>
    <row r="92" spans="1:8">
      <c r="A92" s="12" t="s">
        <v>71</v>
      </c>
      <c r="B92" s="12">
        <v>0.15657392253136934</v>
      </c>
      <c r="C92" s="12">
        <v>7.2210000000000001</v>
      </c>
      <c r="D92" s="12"/>
      <c r="E92" s="12"/>
      <c r="F92" s="12">
        <f>B86*B92*C92</f>
        <v>2.7134887070376434E-2</v>
      </c>
      <c r="G92" s="14"/>
      <c r="H92" s="12"/>
    </row>
    <row r="93" spans="1:8">
      <c r="A93" s="12" t="s">
        <v>72</v>
      </c>
      <c r="B93" s="12">
        <v>0.29950900163666117</v>
      </c>
      <c r="C93" s="12">
        <v>2.2749999999999999</v>
      </c>
      <c r="D93" s="12"/>
      <c r="E93" s="12"/>
      <c r="F93" s="12">
        <f>B86*B93*C93</f>
        <v>1.63531914893617E-2</v>
      </c>
      <c r="G93" s="14"/>
      <c r="H93" s="12"/>
    </row>
    <row r="94" spans="1:8">
      <c r="A94" s="12" t="s">
        <v>73</v>
      </c>
      <c r="B94" s="12">
        <v>7.6377523186033826E-3</v>
      </c>
      <c r="C94" s="12">
        <v>2.3340000000000001</v>
      </c>
      <c r="D94" s="12"/>
      <c r="E94" s="12"/>
      <c r="F94" s="12">
        <f>B86*B94*C94</f>
        <v>4.2783633387888706E-4</v>
      </c>
      <c r="G94" s="14"/>
      <c r="H94" s="12"/>
    </row>
    <row r="95" spans="1:8">
      <c r="A95" s="12" t="s">
        <v>74</v>
      </c>
      <c r="B95" s="12">
        <v>0.28368794326241131</v>
      </c>
      <c r="C95" s="12">
        <v>0.80700000000000005</v>
      </c>
      <c r="D95" s="12"/>
      <c r="E95" s="12"/>
      <c r="F95" s="12">
        <f>B86*B95*C95</f>
        <v>5.4944680851063826E-3</v>
      </c>
      <c r="G95" s="14"/>
      <c r="H95" s="12"/>
    </row>
    <row r="96" spans="1:8">
      <c r="A96" s="12" t="s">
        <v>75</v>
      </c>
      <c r="B96" s="12">
        <v>0.17403164211674849</v>
      </c>
      <c r="C96" s="12">
        <v>2.6459999999999999</v>
      </c>
      <c r="D96" s="12"/>
      <c r="E96" s="12"/>
      <c r="F96" s="12">
        <f>B86*B96*C96</f>
        <v>1.1051705400981996E-2</v>
      </c>
      <c r="G96" s="14"/>
      <c r="H96" s="12"/>
    </row>
    <row r="97" spans="1:8">
      <c r="A97" s="12" t="s">
        <v>76</v>
      </c>
      <c r="B97" s="12">
        <v>2.6186579378068738E-2</v>
      </c>
      <c r="C97" s="12">
        <v>2.313333333333333</v>
      </c>
      <c r="D97" s="12"/>
      <c r="E97" s="12"/>
      <c r="F97" s="12">
        <f>B86*B97*C97</f>
        <v>1.4538788870703762E-3</v>
      </c>
      <c r="G97" s="14"/>
      <c r="H97" s="12"/>
    </row>
    <row r="98" spans="1:8" ht="15" thickBot="1">
      <c r="A98" s="15" t="s">
        <v>23</v>
      </c>
      <c r="B98" s="16"/>
      <c r="C98" s="16"/>
      <c r="D98" s="16"/>
      <c r="E98" s="16"/>
      <c r="F98" s="17">
        <f>SUM(F88:F97)</f>
        <v>6.5634029459901794E-2</v>
      </c>
      <c r="G98" s="18"/>
      <c r="H98" s="16"/>
    </row>
    <row r="99" spans="1:8" ht="30" thickTop="1" thickBot="1">
      <c r="A99" s="5" t="s">
        <v>77</v>
      </c>
      <c r="B99" s="183">
        <v>1.0999999999999999E-2</v>
      </c>
      <c r="C99" s="184"/>
      <c r="D99" s="184"/>
      <c r="E99" s="184"/>
      <c r="F99" s="184"/>
      <c r="G99" s="184"/>
      <c r="H99" s="185"/>
    </row>
    <row r="100" spans="1:8" ht="72.599999999999994" thickBot="1">
      <c r="A100" s="7" t="s">
        <v>2</v>
      </c>
      <c r="B100" s="8" t="s">
        <v>3</v>
      </c>
      <c r="C100" s="7" t="s">
        <v>4</v>
      </c>
      <c r="D100" s="7" t="s">
        <v>5</v>
      </c>
      <c r="E100" s="7" t="s">
        <v>6</v>
      </c>
      <c r="F100" s="8" t="s">
        <v>7</v>
      </c>
      <c r="G100" s="19" t="s">
        <v>8</v>
      </c>
      <c r="H100" s="8" t="s">
        <v>9</v>
      </c>
    </row>
    <row r="101" spans="1:8" ht="15" thickBot="1">
      <c r="A101" s="74" t="s">
        <v>78</v>
      </c>
      <c r="B101" s="24"/>
      <c r="C101" s="24">
        <v>2.2599999999999998</v>
      </c>
      <c r="D101" s="24"/>
      <c r="E101" s="24"/>
      <c r="F101" s="34">
        <f>B99*C101</f>
        <v>2.4859999999999997E-2</v>
      </c>
      <c r="G101" s="35"/>
      <c r="H101" s="24"/>
    </row>
    <row r="102" spans="1:8" ht="15.6" thickTop="1" thickBot="1">
      <c r="A102" s="67" t="s">
        <v>161</v>
      </c>
      <c r="B102" s="68"/>
      <c r="C102" s="68"/>
      <c r="D102" s="68"/>
      <c r="E102" s="68"/>
      <c r="F102" s="37">
        <f>SUM(F101+F98)</f>
        <v>9.0494029459901787E-2</v>
      </c>
      <c r="G102" s="69">
        <f>F102/F108</f>
        <v>4.0138676662041309E-2</v>
      </c>
      <c r="H102" s="3">
        <f>F102/F109</f>
        <v>4.0396060767555989E-2</v>
      </c>
    </row>
    <row r="103" spans="1:8" ht="16.95" customHeight="1" thickBot="1">
      <c r="A103" s="192" t="s">
        <v>190</v>
      </c>
      <c r="B103" s="193"/>
      <c r="C103" s="193"/>
      <c r="D103" s="193"/>
      <c r="E103" s="193"/>
      <c r="F103" s="193"/>
      <c r="G103" s="193"/>
      <c r="H103" s="194"/>
    </row>
    <row r="104" spans="1:8" ht="29.4" thickBot="1">
      <c r="A104" s="5" t="s">
        <v>86</v>
      </c>
      <c r="B104" s="186">
        <v>3.2000000000000001E-2</v>
      </c>
      <c r="C104" s="187"/>
      <c r="D104" s="187"/>
      <c r="E104" s="187"/>
      <c r="F104" s="187"/>
      <c r="G104" s="187"/>
      <c r="H104" s="188"/>
    </row>
    <row r="105" spans="1:8" ht="72.599999999999994" thickBot="1">
      <c r="A105" s="7" t="s">
        <v>2</v>
      </c>
      <c r="B105" s="8" t="s">
        <v>3</v>
      </c>
      <c r="C105" s="7" t="s">
        <v>4</v>
      </c>
      <c r="D105" s="7" t="s">
        <v>5</v>
      </c>
      <c r="E105" s="7" t="s">
        <v>6</v>
      </c>
      <c r="F105" s="8" t="s">
        <v>7</v>
      </c>
      <c r="G105" s="19" t="s">
        <v>8</v>
      </c>
      <c r="H105" s="8" t="s">
        <v>9</v>
      </c>
    </row>
    <row r="106" spans="1:8" ht="15" thickBot="1">
      <c r="A106" s="6" t="s">
        <v>87</v>
      </c>
      <c r="B106" s="6"/>
      <c r="C106" s="6">
        <v>0.44890000000000002</v>
      </c>
      <c r="D106" s="6"/>
      <c r="E106" s="6"/>
      <c r="F106" s="38">
        <f>B104*C106</f>
        <v>1.43648E-2</v>
      </c>
      <c r="G106" s="39">
        <f>F106/F108</f>
        <v>6.3715149602259387E-3</v>
      </c>
      <c r="H106" s="6"/>
    </row>
    <row r="107" spans="1:8" ht="16.95" customHeight="1" thickBot="1">
      <c r="A107" s="180" t="s">
        <v>23</v>
      </c>
      <c r="B107" s="195"/>
      <c r="C107" s="195"/>
      <c r="D107" s="195"/>
      <c r="E107" s="195"/>
      <c r="F107" s="195"/>
      <c r="G107" s="195"/>
      <c r="H107" s="196"/>
    </row>
    <row r="108" spans="1:8">
      <c r="A108" s="10" t="s">
        <v>88</v>
      </c>
      <c r="B108" s="9"/>
      <c r="C108" s="9"/>
      <c r="D108" s="9"/>
      <c r="E108" s="9"/>
      <c r="F108" s="70">
        <f>SUM(F31,F54,F68,F84,F102,F42,F106)</f>
        <v>2.2545344536851899</v>
      </c>
      <c r="G108" s="11"/>
      <c r="H108" s="12"/>
    </row>
    <row r="109" spans="1:8">
      <c r="A109" s="13" t="s">
        <v>89</v>
      </c>
      <c r="B109" s="12"/>
      <c r="C109" s="12"/>
      <c r="D109" s="12"/>
      <c r="E109" s="12"/>
      <c r="F109" s="12">
        <f>SUM(F31,F54,F68,F84,F102,F42)</f>
        <v>2.2401696536851898</v>
      </c>
      <c r="G109" s="12"/>
      <c r="H109" s="12"/>
    </row>
  </sheetData>
  <mergeCells count="20">
    <mergeCell ref="B86:H86"/>
    <mergeCell ref="B99:H99"/>
    <mergeCell ref="B104:H104"/>
    <mergeCell ref="A103:H103"/>
    <mergeCell ref="A107:H107"/>
    <mergeCell ref="A3:H3"/>
    <mergeCell ref="A43:H43"/>
    <mergeCell ref="A55:H55"/>
    <mergeCell ref="A69:H69"/>
    <mergeCell ref="B4:H4"/>
    <mergeCell ref="B19:H19"/>
    <mergeCell ref="B22:H22"/>
    <mergeCell ref="B33:H33"/>
    <mergeCell ref="B36:H36"/>
    <mergeCell ref="A85:H85"/>
    <mergeCell ref="A32:H32"/>
    <mergeCell ref="B81:H81"/>
    <mergeCell ref="B44:H44"/>
    <mergeCell ref="B56:H56"/>
    <mergeCell ref="B70:H7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5C45-9C31-0046-8A5B-AE0C6C49AB34}">
  <dimension ref="A1:H73"/>
  <sheetViews>
    <sheetView workbookViewId="0">
      <selection activeCell="M8" sqref="M8"/>
    </sheetView>
  </sheetViews>
  <sheetFormatPr defaultColWidth="8.796875" defaultRowHeight="14.4"/>
  <cols>
    <col min="1" max="1" width="23" style="4" customWidth="1"/>
    <col min="2" max="2" width="17.796875" style="4" customWidth="1"/>
    <col min="3" max="3" width="22" style="4" customWidth="1"/>
    <col min="4" max="4" width="19.5" style="4" customWidth="1"/>
    <col min="5" max="5" width="16.796875" style="4" customWidth="1"/>
    <col min="6" max="6" width="22.796875" style="4" customWidth="1"/>
    <col min="7" max="7" width="16.5" style="4" customWidth="1"/>
    <col min="8" max="8" width="18.296875" style="4" customWidth="1"/>
    <col min="9" max="16384" width="8.796875" style="4"/>
  </cols>
  <sheetData>
    <row r="1" spans="1:8" ht="15" thickBot="1">
      <c r="A1" s="40" t="s">
        <v>0</v>
      </c>
      <c r="F1" s="41"/>
    </row>
    <row r="2" spans="1:8" ht="15" thickBot="1">
      <c r="A2" s="180" t="s">
        <v>182</v>
      </c>
      <c r="B2" s="195"/>
      <c r="C2" s="195"/>
      <c r="D2" s="195"/>
      <c r="E2" s="195"/>
      <c r="F2" s="195"/>
      <c r="G2" s="195"/>
      <c r="H2" s="196"/>
    </row>
    <row r="3" spans="1:8" ht="29.4" thickBot="1">
      <c r="A3" s="42" t="s">
        <v>90</v>
      </c>
      <c r="B3" s="186">
        <v>7.4999999999999997E-2</v>
      </c>
      <c r="C3" s="187"/>
      <c r="D3" s="187"/>
      <c r="E3" s="187"/>
      <c r="F3" s="187"/>
      <c r="G3" s="187"/>
      <c r="H3" s="188"/>
    </row>
    <row r="4" spans="1:8" ht="78" customHeight="1" thickBot="1">
      <c r="A4" s="7" t="s">
        <v>2</v>
      </c>
      <c r="B4" s="8" t="s">
        <v>3</v>
      </c>
      <c r="C4" s="7" t="s">
        <v>4</v>
      </c>
      <c r="D4" s="7" t="s">
        <v>5</v>
      </c>
      <c r="E4" s="7" t="s">
        <v>6</v>
      </c>
      <c r="F4" s="8" t="s">
        <v>91</v>
      </c>
      <c r="G4" s="19" t="s">
        <v>8</v>
      </c>
      <c r="H4" s="43" t="s">
        <v>92</v>
      </c>
    </row>
    <row r="5" spans="1:8">
      <c r="A5" s="9" t="s">
        <v>55</v>
      </c>
      <c r="B5" s="9">
        <v>0.20443832308820828</v>
      </c>
      <c r="C5" s="9">
        <v>0.308</v>
      </c>
      <c r="D5" s="9" t="s">
        <v>11</v>
      </c>
      <c r="E5" s="9">
        <v>0.38844105721218408</v>
      </c>
      <c r="F5" s="9">
        <f>B3*B5*C5*E5</f>
        <v>1.8344227060021097E-3</v>
      </c>
      <c r="G5" s="11"/>
      <c r="H5" s="9"/>
    </row>
    <row r="6" spans="1:8">
      <c r="A6" s="12" t="s">
        <v>56</v>
      </c>
      <c r="B6" s="12">
        <v>3.5403222000649388E-2</v>
      </c>
      <c r="C6" s="12">
        <v>0.61699999999999999</v>
      </c>
      <c r="D6" s="9" t="s">
        <v>11</v>
      </c>
      <c r="E6" s="12">
        <v>0.95238095238095233</v>
      </c>
      <c r="F6" s="12">
        <f>B3*B6*C6*E6</f>
        <v>1.560270569600048E-3</v>
      </c>
      <c r="G6" s="14"/>
      <c r="H6" s="12"/>
    </row>
    <row r="7" spans="1:8">
      <c r="A7" s="12" t="s">
        <v>93</v>
      </c>
      <c r="B7" s="12">
        <v>0.76015845491114231</v>
      </c>
      <c r="C7" s="12">
        <v>1.2118571428571427</v>
      </c>
      <c r="D7" s="9" t="s">
        <v>11</v>
      </c>
      <c r="E7" s="12">
        <v>0.34767265230879446</v>
      </c>
      <c r="F7" s="12">
        <f>B3*B7*C7*E7</f>
        <v>2.4020793594031659E-2</v>
      </c>
      <c r="G7" s="14"/>
      <c r="H7" s="12"/>
    </row>
    <row r="8" spans="1:8" ht="15" thickBot="1">
      <c r="A8" s="29" t="s">
        <v>33</v>
      </c>
      <c r="B8" s="30"/>
      <c r="C8" s="30"/>
      <c r="D8" s="30"/>
      <c r="E8" s="30"/>
      <c r="F8" s="31">
        <f>SUM(F5:F7)</f>
        <v>2.7415486869633816E-2</v>
      </c>
      <c r="G8" s="32">
        <f>F8/F72</f>
        <v>3.1853637699368886E-2</v>
      </c>
      <c r="H8" s="30">
        <f>F8/F73</f>
        <v>3.2359977592455569E-2</v>
      </c>
    </row>
    <row r="9" spans="1:8" ht="15" thickBot="1">
      <c r="A9" s="180" t="s">
        <v>189</v>
      </c>
      <c r="B9" s="195"/>
      <c r="C9" s="195"/>
      <c r="D9" s="195"/>
      <c r="E9" s="195"/>
      <c r="F9" s="195"/>
      <c r="G9" s="195"/>
      <c r="H9" s="196"/>
    </row>
    <row r="10" spans="1:8" ht="29.4" thickBot="1">
      <c r="A10" s="5" t="s">
        <v>104</v>
      </c>
      <c r="B10" s="186">
        <v>300</v>
      </c>
      <c r="C10" s="187"/>
      <c r="D10" s="187"/>
      <c r="E10" s="187"/>
      <c r="F10" s="187"/>
      <c r="G10" s="187"/>
      <c r="H10" s="188"/>
    </row>
    <row r="11" spans="1:8" ht="58.2" thickBot="1">
      <c r="A11" s="44" t="s">
        <v>2</v>
      </c>
      <c r="B11" s="8" t="s">
        <v>3</v>
      </c>
      <c r="C11" s="7" t="s">
        <v>4</v>
      </c>
      <c r="D11" s="7" t="s">
        <v>5</v>
      </c>
      <c r="E11" s="7" t="s">
        <v>6</v>
      </c>
      <c r="F11" s="8" t="s">
        <v>91</v>
      </c>
      <c r="G11" s="19" t="s">
        <v>8</v>
      </c>
      <c r="H11" s="43" t="s">
        <v>92</v>
      </c>
    </row>
    <row r="12" spans="1:8">
      <c r="A12" s="9" t="s">
        <v>82</v>
      </c>
      <c r="B12" s="9">
        <v>0.99939563345168836</v>
      </c>
      <c r="C12" s="9">
        <v>1.3233105925925925</v>
      </c>
      <c r="D12" s="9" t="s">
        <v>105</v>
      </c>
      <c r="E12" s="9">
        <f>0.00422675*0.245</f>
        <v>1.0355537499999999E-3</v>
      </c>
      <c r="F12" s="9">
        <f>B10*B12*C12*E12</f>
        <v>0.4108593141858547</v>
      </c>
      <c r="G12" s="11"/>
      <c r="H12" s="9"/>
    </row>
    <row r="13" spans="1:8">
      <c r="A13" s="12" t="s">
        <v>83</v>
      </c>
      <c r="B13" s="12">
        <v>6.0436654831155096E-4</v>
      </c>
      <c r="C13" s="12">
        <v>14.077772261623325</v>
      </c>
      <c r="D13" s="12" t="s">
        <v>105</v>
      </c>
      <c r="E13" s="12">
        <f>0.00422675*0.025</f>
        <v>1.0566874999999999E-4</v>
      </c>
      <c r="F13" s="12">
        <f>B10*B13*C13*E13</f>
        <v>2.6971318534478985E-4</v>
      </c>
      <c r="G13" s="14"/>
      <c r="H13" s="12"/>
    </row>
    <row r="14" spans="1:8" ht="15" thickBot="1">
      <c r="A14" s="13" t="s">
        <v>85</v>
      </c>
      <c r="B14" s="12"/>
      <c r="C14" s="12"/>
      <c r="D14" s="12"/>
      <c r="E14" s="12"/>
      <c r="F14" s="45">
        <f>SUM(F12:F13)</f>
        <v>0.4111290273711995</v>
      </c>
      <c r="G14" s="14">
        <f>F14/F72</f>
        <v>0.47768457105467499</v>
      </c>
      <c r="H14" s="30">
        <f>F14/F73</f>
        <v>0.48527776204026135</v>
      </c>
    </row>
    <row r="15" spans="1:8" ht="16.95" customHeight="1" thickBot="1">
      <c r="A15" s="180" t="s">
        <v>183</v>
      </c>
      <c r="B15" s="195"/>
      <c r="C15" s="195"/>
      <c r="D15" s="195"/>
      <c r="E15" s="195"/>
      <c r="F15" s="195"/>
      <c r="G15" s="195"/>
      <c r="H15" s="196"/>
    </row>
    <row r="16" spans="1:8" ht="29.4" thickBot="1">
      <c r="A16" s="5" t="s">
        <v>94</v>
      </c>
      <c r="B16" s="186">
        <v>0.33</v>
      </c>
      <c r="C16" s="187"/>
      <c r="D16" s="187"/>
      <c r="E16" s="187"/>
      <c r="F16" s="187"/>
      <c r="G16" s="187"/>
      <c r="H16" s="188"/>
    </row>
    <row r="17" spans="1:8" ht="73.5" customHeight="1" thickBot="1">
      <c r="A17" s="44" t="s">
        <v>2</v>
      </c>
      <c r="B17" s="43" t="s">
        <v>3</v>
      </c>
      <c r="C17" s="44" t="s">
        <v>4</v>
      </c>
      <c r="D17" s="44" t="s">
        <v>5</v>
      </c>
      <c r="E17" s="44" t="s">
        <v>6</v>
      </c>
      <c r="F17" s="43" t="s">
        <v>91</v>
      </c>
      <c r="G17" s="72" t="s">
        <v>8</v>
      </c>
      <c r="H17" s="43" t="s">
        <v>92</v>
      </c>
    </row>
    <row r="18" spans="1:8">
      <c r="A18" s="11" t="s">
        <v>35</v>
      </c>
      <c r="B18" s="9">
        <v>4.0271112307162541E-3</v>
      </c>
      <c r="C18" s="9">
        <v>0.39300000000000002</v>
      </c>
      <c r="D18" s="9" t="s">
        <v>11</v>
      </c>
      <c r="E18" s="9">
        <v>0.34965034965034963</v>
      </c>
      <c r="F18" s="9">
        <f>B16*B18*C18*E18</f>
        <v>1.8261400542363322E-4</v>
      </c>
      <c r="G18" s="11"/>
      <c r="H18" s="9"/>
    </row>
    <row r="19" spans="1:8">
      <c r="A19" s="14" t="s">
        <v>36</v>
      </c>
      <c r="B19" s="12">
        <v>4.7522833764812041E-2</v>
      </c>
      <c r="C19" s="12">
        <v>0.55000000000000004</v>
      </c>
      <c r="D19" s="9" t="s">
        <v>11</v>
      </c>
      <c r="E19" s="12">
        <v>0.29667146320768484</v>
      </c>
      <c r="F19" s="12">
        <f>B16*B19*C19*E19</f>
        <v>2.5589083561239983E-3</v>
      </c>
      <c r="G19" s="14"/>
      <c r="H19" s="12"/>
    </row>
    <row r="20" spans="1:8">
      <c r="A20" s="14" t="s">
        <v>37</v>
      </c>
      <c r="B20" s="12">
        <v>5.232890793137266E-2</v>
      </c>
      <c r="C20" s="12">
        <v>0.47</v>
      </c>
      <c r="D20" s="9" t="s">
        <v>11</v>
      </c>
      <c r="E20" s="12">
        <v>0.31446540880503143</v>
      </c>
      <c r="F20" s="12">
        <f>B16*B20*C20*E20</f>
        <v>2.552268434011289E-3</v>
      </c>
      <c r="G20" s="14"/>
      <c r="H20" s="12"/>
    </row>
    <row r="21" spans="1:8">
      <c r="A21" s="14" t="s">
        <v>38</v>
      </c>
      <c r="B21" s="12">
        <v>4.489045814012065E-4</v>
      </c>
      <c r="C21" s="12">
        <v>0.47399999999999998</v>
      </c>
      <c r="D21" s="9" t="s">
        <v>11</v>
      </c>
      <c r="E21" s="12">
        <v>0.18726591760299627</v>
      </c>
      <c r="F21" s="12">
        <f>B16*B21*C21*E21</f>
        <v>1.3149373524864555E-5</v>
      </c>
      <c r="G21" s="14"/>
      <c r="H21" s="12"/>
    </row>
    <row r="22" spans="1:8">
      <c r="A22" s="14" t="s">
        <v>39</v>
      </c>
      <c r="B22" s="12">
        <v>0.43812330564002577</v>
      </c>
      <c r="C22" s="12">
        <v>1.8580000000000001</v>
      </c>
      <c r="D22" s="9" t="s">
        <v>11</v>
      </c>
      <c r="E22" s="12">
        <v>0.33530417677236202</v>
      </c>
      <c r="F22" s="12">
        <f>B16*B22*C22*E22</f>
        <v>9.0073070700045416E-2</v>
      </c>
      <c r="G22" s="14"/>
      <c r="H22" s="12"/>
    </row>
    <row r="23" spans="1:8">
      <c r="A23" s="14" t="s">
        <v>41</v>
      </c>
      <c r="B23" s="12">
        <v>0.45754893685167208</v>
      </c>
      <c r="C23" s="12">
        <v>0.34699999999999998</v>
      </c>
      <c r="D23" s="9" t="s">
        <v>11</v>
      </c>
      <c r="E23" s="12">
        <v>0.29667146320768484</v>
      </c>
      <c r="F23" s="12">
        <f>B16*B23*C23*E23</f>
        <v>1.5543783508097602E-2</v>
      </c>
      <c r="G23" s="14"/>
      <c r="H23" s="12"/>
    </row>
    <row r="24" spans="1:8" ht="15" thickBot="1">
      <c r="A24" s="1" t="s">
        <v>187</v>
      </c>
      <c r="B24" s="30"/>
      <c r="C24" s="30"/>
      <c r="D24" s="30"/>
      <c r="E24" s="30"/>
      <c r="F24" s="31">
        <f>SUM(F18:F23)</f>
        <v>0.1109237943772268</v>
      </c>
      <c r="G24" s="32">
        <f>F24/F72</f>
        <v>0.12888067153916163</v>
      </c>
      <c r="H24" s="30">
        <f>F24/F73</f>
        <v>0.13092933631220799</v>
      </c>
    </row>
    <row r="25" spans="1:8" ht="16.95" customHeight="1" thickBot="1">
      <c r="A25" s="181" t="s">
        <v>184</v>
      </c>
      <c r="B25" s="195"/>
      <c r="C25" s="195"/>
      <c r="D25" s="195"/>
      <c r="E25" s="195"/>
      <c r="F25" s="195"/>
      <c r="G25" s="195"/>
      <c r="H25" s="196"/>
    </row>
    <row r="26" spans="1:8" ht="29.4" thickBot="1">
      <c r="A26" s="5" t="s">
        <v>95</v>
      </c>
      <c r="B26" s="186">
        <v>0.1</v>
      </c>
      <c r="C26" s="187"/>
      <c r="D26" s="187"/>
      <c r="E26" s="187"/>
      <c r="F26" s="187"/>
      <c r="G26" s="187"/>
      <c r="H26" s="188"/>
    </row>
    <row r="27" spans="1:8" ht="76.5" customHeight="1" thickBot="1">
      <c r="A27" s="7" t="s">
        <v>2</v>
      </c>
      <c r="B27" s="8" t="s">
        <v>3</v>
      </c>
      <c r="C27" s="7" t="s">
        <v>4</v>
      </c>
      <c r="D27" s="7" t="s">
        <v>5</v>
      </c>
      <c r="E27" s="7" t="s">
        <v>6</v>
      </c>
      <c r="F27" s="8" t="s">
        <v>91</v>
      </c>
      <c r="G27" s="19" t="s">
        <v>8</v>
      </c>
      <c r="H27" s="43" t="s">
        <v>92</v>
      </c>
    </row>
    <row r="28" spans="1:8">
      <c r="A28" s="9" t="s">
        <v>44</v>
      </c>
      <c r="B28" s="9">
        <v>2.696469753414937E-2</v>
      </c>
      <c r="C28" s="9">
        <v>0.22800000000000001</v>
      </c>
      <c r="D28" s="9"/>
      <c r="E28" s="9"/>
      <c r="F28" s="9">
        <f>B26*B28*C28</f>
        <v>6.1479510377860573E-4</v>
      </c>
      <c r="G28" s="11"/>
      <c r="H28" s="9"/>
    </row>
    <row r="29" spans="1:8">
      <c r="A29" s="12" t="s">
        <v>45</v>
      </c>
      <c r="B29" s="12">
        <v>0.31204541422742593</v>
      </c>
      <c r="C29" s="12">
        <v>0.374</v>
      </c>
      <c r="D29" s="12"/>
      <c r="E29" s="12"/>
      <c r="F29" s="12">
        <f>B26*B29*C29</f>
        <v>1.1670498492105729E-2</v>
      </c>
      <c r="G29" s="14"/>
      <c r="H29" s="12"/>
    </row>
    <row r="30" spans="1:8">
      <c r="A30" s="12" t="s">
        <v>46</v>
      </c>
      <c r="B30" s="12">
        <v>1.0643959552953698E-2</v>
      </c>
      <c r="C30" s="12">
        <v>0.43766666666666665</v>
      </c>
      <c r="D30" s="12"/>
      <c r="E30" s="12"/>
      <c r="F30" s="12">
        <f>B26*B30*C30</f>
        <v>4.6585062976760684E-4</v>
      </c>
      <c r="G30" s="14"/>
      <c r="H30" s="12"/>
    </row>
    <row r="31" spans="1:8">
      <c r="A31" s="12" t="s">
        <v>47</v>
      </c>
      <c r="B31" s="12">
        <v>4.4349831470640406E-3</v>
      </c>
      <c r="C31" s="12">
        <v>2.024</v>
      </c>
      <c r="D31" s="12"/>
      <c r="E31" s="12"/>
      <c r="F31" s="12">
        <f>B26*B31*C31</f>
        <v>8.976405889657618E-4</v>
      </c>
      <c r="G31" s="14"/>
      <c r="H31" s="12"/>
    </row>
    <row r="32" spans="1:8">
      <c r="A32" s="12" t="s">
        <v>48</v>
      </c>
      <c r="B32" s="12">
        <v>3.7253858435337939E-3</v>
      </c>
      <c r="C32" s="12">
        <v>1.21</v>
      </c>
      <c r="D32" s="12"/>
      <c r="E32" s="12"/>
      <c r="F32" s="12">
        <f>B26*B32*C32</f>
        <v>4.5077168706758911E-4</v>
      </c>
      <c r="G32" s="14"/>
      <c r="H32" s="12"/>
    </row>
    <row r="33" spans="1:8">
      <c r="A33" s="12" t="s">
        <v>49</v>
      </c>
      <c r="B33" s="12">
        <v>2.8383892141209864E-2</v>
      </c>
      <c r="C33" s="12">
        <v>0.47799999999999998</v>
      </c>
      <c r="D33" s="12"/>
      <c r="E33" s="12"/>
      <c r="F33" s="12">
        <f>B26*B33*C33</f>
        <v>1.3567500443498316E-3</v>
      </c>
      <c r="G33" s="14"/>
      <c r="H33" s="12"/>
    </row>
    <row r="34" spans="1:8">
      <c r="A34" s="12" t="s">
        <v>50</v>
      </c>
      <c r="B34" s="12">
        <v>3.0157885400035476E-2</v>
      </c>
      <c r="C34" s="12">
        <v>0.51700000000000002</v>
      </c>
      <c r="D34" s="12"/>
      <c r="E34" s="12"/>
      <c r="F34" s="12">
        <f>B26*B34*C34</f>
        <v>1.5591626751818343E-3</v>
      </c>
      <c r="G34" s="14"/>
      <c r="H34" s="12"/>
    </row>
    <row r="35" spans="1:8" ht="28.8">
      <c r="A35" s="33" t="s">
        <v>51</v>
      </c>
      <c r="B35" s="12">
        <v>8.2135887883626038E-2</v>
      </c>
      <c r="C35" s="12">
        <v>0.34699999999999998</v>
      </c>
      <c r="D35" s="12"/>
      <c r="E35" s="12"/>
      <c r="F35" s="12">
        <f>B26*B35*C35</f>
        <v>2.8501153095618231E-3</v>
      </c>
      <c r="G35" s="14"/>
      <c r="H35" s="12"/>
    </row>
    <row r="36" spans="1:8">
      <c r="A36" s="12" t="s">
        <v>52</v>
      </c>
      <c r="B36" s="12">
        <v>2.2352315061202766E-2</v>
      </c>
      <c r="C36" s="12">
        <v>0.91400000000000003</v>
      </c>
      <c r="D36" s="12"/>
      <c r="E36" s="12"/>
      <c r="F36" s="12">
        <f>B26*B36*C36</f>
        <v>2.0430015965939327E-3</v>
      </c>
      <c r="G36" s="14"/>
      <c r="H36" s="12"/>
    </row>
    <row r="37" spans="1:8">
      <c r="A37" s="12" t="s">
        <v>53</v>
      </c>
      <c r="B37" s="12">
        <v>0.47915557920879898</v>
      </c>
      <c r="C37" s="12">
        <v>0.65203333333333346</v>
      </c>
      <c r="D37" s="12"/>
      <c r="E37" s="12"/>
      <c r="F37" s="12">
        <f>B26*B37*C37</f>
        <v>3.1242540949677728E-2</v>
      </c>
      <c r="G37" s="14"/>
      <c r="H37" s="12"/>
    </row>
    <row r="38" spans="1:8" ht="15" thickBot="1">
      <c r="A38" s="29" t="s">
        <v>188</v>
      </c>
      <c r="B38" s="30"/>
      <c r="C38" s="30"/>
      <c r="D38" s="30"/>
      <c r="E38" s="30"/>
      <c r="F38" s="31">
        <f>SUM(F28:F37)</f>
        <v>5.3151127077050442E-2</v>
      </c>
      <c r="G38" s="32">
        <f>F38/F72</f>
        <v>6.1755487082038985E-2</v>
      </c>
      <c r="H38" s="30">
        <f>F38/F73</f>
        <v>6.2737141580082548E-2</v>
      </c>
    </row>
    <row r="39" spans="1:8" ht="16.95" customHeight="1" thickBot="1">
      <c r="A39" s="180" t="s">
        <v>185</v>
      </c>
      <c r="B39" s="195"/>
      <c r="C39" s="195"/>
      <c r="D39" s="195"/>
      <c r="E39" s="195"/>
      <c r="F39" s="195"/>
      <c r="G39" s="195"/>
      <c r="H39" s="196"/>
    </row>
    <row r="40" spans="1:8" ht="43.8" thickBot="1">
      <c r="A40" s="5" t="s">
        <v>96</v>
      </c>
      <c r="B40" s="186">
        <v>0.3</v>
      </c>
      <c r="C40" s="187"/>
      <c r="D40" s="187"/>
      <c r="E40" s="187"/>
      <c r="F40" s="187"/>
      <c r="G40" s="187"/>
      <c r="H40" s="188"/>
    </row>
    <row r="41" spans="1:8" ht="74.25" customHeight="1" thickBot="1">
      <c r="A41" s="7" t="s">
        <v>2</v>
      </c>
      <c r="B41" s="8" t="s">
        <v>3</v>
      </c>
      <c r="C41" s="7" t="s">
        <v>4</v>
      </c>
      <c r="D41" s="7" t="s">
        <v>5</v>
      </c>
      <c r="E41" s="7" t="s">
        <v>6</v>
      </c>
      <c r="F41" s="8" t="s">
        <v>91</v>
      </c>
      <c r="G41" s="19" t="s">
        <v>8</v>
      </c>
      <c r="H41" s="43" t="s">
        <v>92</v>
      </c>
    </row>
    <row r="42" spans="1:8">
      <c r="A42" s="9" t="s">
        <v>59</v>
      </c>
      <c r="B42" s="9">
        <v>0.15195581106977796</v>
      </c>
      <c r="C42" s="9">
        <v>0.26900000000000002</v>
      </c>
      <c r="D42" s="9"/>
      <c r="E42" s="9"/>
      <c r="F42" s="9">
        <f>B40*B42*C42</f>
        <v>1.2262833953331082E-2</v>
      </c>
      <c r="G42" s="11"/>
      <c r="H42" s="9"/>
    </row>
    <row r="43" spans="1:8">
      <c r="A43" s="12" t="s">
        <v>61</v>
      </c>
      <c r="B43" s="12">
        <v>0.14575583361515049</v>
      </c>
      <c r="C43" s="12">
        <v>0.47</v>
      </c>
      <c r="D43" s="12"/>
      <c r="E43" s="12"/>
      <c r="F43" s="12">
        <f>B40*B43*C43</f>
        <v>2.0551572539736215E-2</v>
      </c>
      <c r="G43" s="14"/>
      <c r="H43" s="12"/>
    </row>
    <row r="44" spans="1:8">
      <c r="A44" s="12" t="s">
        <v>62</v>
      </c>
      <c r="B44" s="12">
        <v>0.70228835531507161</v>
      </c>
      <c r="C44" s="12">
        <v>0.45593939393939392</v>
      </c>
      <c r="D44" s="12"/>
      <c r="E44" s="12"/>
      <c r="F44" s="12">
        <f>B40*B44*C44</f>
        <v>9.6060278127914248E-2</v>
      </c>
      <c r="G44" s="14"/>
      <c r="H44" s="12"/>
    </row>
    <row r="45" spans="1:8" ht="15" thickBot="1">
      <c r="A45" s="15" t="s">
        <v>23</v>
      </c>
      <c r="B45" s="16"/>
      <c r="C45" s="16"/>
      <c r="D45" s="16"/>
      <c r="E45" s="16"/>
      <c r="F45" s="17">
        <f>SUM(F42:F44)</f>
        <v>0.12887468462098156</v>
      </c>
      <c r="G45" s="18"/>
      <c r="H45" s="16"/>
    </row>
    <row r="46" spans="1:8" ht="44.4" thickTop="1" thickBot="1">
      <c r="A46" s="5" t="s">
        <v>97</v>
      </c>
      <c r="B46" s="183">
        <v>0.2</v>
      </c>
      <c r="C46" s="184"/>
      <c r="D46" s="184"/>
      <c r="E46" s="184"/>
      <c r="F46" s="184"/>
      <c r="G46" s="184"/>
      <c r="H46" s="185"/>
    </row>
    <row r="47" spans="1:8" ht="75" customHeight="1" thickBot="1">
      <c r="A47" s="7" t="s">
        <v>2</v>
      </c>
      <c r="B47" s="8" t="s">
        <v>3</v>
      </c>
      <c r="C47" s="7" t="s">
        <v>4</v>
      </c>
      <c r="D47" s="7" t="s">
        <v>5</v>
      </c>
      <c r="E47" s="7" t="s">
        <v>6</v>
      </c>
      <c r="F47" s="8" t="s">
        <v>91</v>
      </c>
      <c r="G47" s="19" t="s">
        <v>8</v>
      </c>
      <c r="H47" s="43" t="s">
        <v>92</v>
      </c>
    </row>
    <row r="48" spans="1:8">
      <c r="A48" s="9" t="s">
        <v>98</v>
      </c>
      <c r="B48" s="9">
        <v>0.17987012987012987</v>
      </c>
      <c r="C48" s="9">
        <v>7.9000000000000001E-2</v>
      </c>
      <c r="D48" s="9"/>
      <c r="E48" s="9"/>
      <c r="F48" s="9">
        <f>B46*B48*C48</f>
        <v>2.8419480519480522E-3</v>
      </c>
      <c r="G48" s="11"/>
      <c r="H48" s="9"/>
    </row>
    <row r="49" spans="1:8">
      <c r="A49" s="12" t="s">
        <v>99</v>
      </c>
      <c r="B49" s="12">
        <v>0.79220779220779225</v>
      </c>
      <c r="C49" s="12">
        <v>0.217</v>
      </c>
      <c r="D49" s="12"/>
      <c r="E49" s="12"/>
      <c r="F49" s="12">
        <f>B46*B49*C49</f>
        <v>3.4381818181818187E-2</v>
      </c>
      <c r="G49" s="14"/>
      <c r="H49" s="12"/>
    </row>
    <row r="50" spans="1:8">
      <c r="A50" s="12" t="s">
        <v>100</v>
      </c>
      <c r="B50" s="12">
        <v>2.7922077922077924E-2</v>
      </c>
      <c r="C50" s="12">
        <v>0.30199999999999999</v>
      </c>
      <c r="D50" s="12"/>
      <c r="E50" s="12"/>
      <c r="F50" s="12">
        <f>B46*B50*C50</f>
        <v>1.6864935064935067E-3</v>
      </c>
      <c r="G50" s="14"/>
      <c r="H50" s="12"/>
    </row>
    <row r="51" spans="1:8" ht="15" thickBot="1">
      <c r="A51" s="15" t="s">
        <v>23</v>
      </c>
      <c r="B51" s="16"/>
      <c r="C51" s="16"/>
      <c r="D51" s="16"/>
      <c r="E51" s="16"/>
      <c r="F51" s="17">
        <f>SUM(F48:F50)</f>
        <v>3.8910259740259745E-2</v>
      </c>
      <c r="G51" s="18"/>
      <c r="H51" s="16"/>
    </row>
    <row r="52" spans="1:8" ht="15.6" thickTop="1" thickBot="1">
      <c r="A52" s="67" t="s">
        <v>65</v>
      </c>
      <c r="B52" s="68"/>
      <c r="C52" s="68"/>
      <c r="D52" s="68"/>
      <c r="E52" s="68"/>
      <c r="F52" s="37">
        <f>SUM(F51 + F45)</f>
        <v>0.16778494436124131</v>
      </c>
      <c r="G52" s="69">
        <f>F52/F72</f>
        <v>0.19494677787435311</v>
      </c>
      <c r="H52" s="26">
        <f>F52/F73</f>
        <v>0.19804561800049822</v>
      </c>
    </row>
    <row r="53" spans="1:8" ht="16.95" customHeight="1" thickBot="1">
      <c r="A53" s="180" t="s">
        <v>186</v>
      </c>
      <c r="B53" s="195"/>
      <c r="C53" s="195"/>
      <c r="D53" s="195"/>
      <c r="E53" s="195"/>
      <c r="F53" s="195"/>
      <c r="G53" s="195"/>
      <c r="H53" s="196"/>
    </row>
    <row r="54" spans="1:8" ht="29.4" thickBot="1">
      <c r="A54" s="5" t="s">
        <v>101</v>
      </c>
      <c r="B54" s="186">
        <v>2.5000000000000001E-2</v>
      </c>
      <c r="C54" s="187"/>
      <c r="D54" s="187"/>
      <c r="E54" s="187"/>
      <c r="F54" s="187"/>
      <c r="G54" s="187"/>
      <c r="H54" s="188"/>
    </row>
    <row r="55" spans="1:8" ht="75.75" customHeight="1" thickBot="1">
      <c r="A55" s="7" t="s">
        <v>2</v>
      </c>
      <c r="B55" s="8" t="s">
        <v>3</v>
      </c>
      <c r="C55" s="7" t="s">
        <v>4</v>
      </c>
      <c r="D55" s="7" t="s">
        <v>5</v>
      </c>
      <c r="E55" s="7" t="s">
        <v>6</v>
      </c>
      <c r="F55" s="8" t="s">
        <v>91</v>
      </c>
      <c r="G55" s="19" t="s">
        <v>8</v>
      </c>
      <c r="H55" s="8" t="s">
        <v>92</v>
      </c>
    </row>
    <row r="56" spans="1:8">
      <c r="A56" s="9" t="s">
        <v>67</v>
      </c>
      <c r="B56" s="9">
        <v>4.014598540145986E-2</v>
      </c>
      <c r="C56" s="9">
        <v>2.7290000000000001</v>
      </c>
      <c r="D56" s="9"/>
      <c r="E56" s="9"/>
      <c r="F56" s="9">
        <f>B54*B56*C56</f>
        <v>2.7389598540145995E-3</v>
      </c>
      <c r="G56" s="11"/>
      <c r="H56" s="9"/>
    </row>
    <row r="57" spans="1:8">
      <c r="A57" s="12" t="s">
        <v>102</v>
      </c>
      <c r="B57" s="12">
        <v>0.10097323600973238</v>
      </c>
      <c r="C57" s="12">
        <v>2.14</v>
      </c>
      <c r="D57" s="12"/>
      <c r="E57" s="12"/>
      <c r="F57" s="12">
        <f>B54*B57*C57</f>
        <v>5.4020681265206831E-3</v>
      </c>
      <c r="G57" s="14"/>
      <c r="H57" s="12"/>
    </row>
    <row r="58" spans="1:8">
      <c r="A58" s="12" t="s">
        <v>68</v>
      </c>
      <c r="B58" s="12">
        <v>0.12165450121654503</v>
      </c>
      <c r="C58" s="12">
        <v>4.6559999999999997</v>
      </c>
      <c r="D58" s="12"/>
      <c r="E58" s="12"/>
      <c r="F58" s="12">
        <f>B54*B58*C58</f>
        <v>1.4160583941605841E-2</v>
      </c>
      <c r="G58" s="14"/>
      <c r="H58" s="12"/>
    </row>
    <row r="59" spans="1:8">
      <c r="A59" s="12" t="s">
        <v>70</v>
      </c>
      <c r="B59" s="12">
        <v>1.2165450121654504E-3</v>
      </c>
      <c r="C59" s="12">
        <v>3.206</v>
      </c>
      <c r="D59" s="12"/>
      <c r="E59" s="12"/>
      <c r="F59" s="12">
        <f>B54*B59*C59</f>
        <v>9.7506082725060849E-5</v>
      </c>
      <c r="G59" s="14"/>
      <c r="H59" s="12"/>
    </row>
    <row r="60" spans="1:8">
      <c r="A60" s="12" t="s">
        <v>71</v>
      </c>
      <c r="B60" s="12">
        <v>0.15815085158150854</v>
      </c>
      <c r="C60" s="12">
        <v>7.2210000000000001</v>
      </c>
      <c r="D60" s="12"/>
      <c r="E60" s="12"/>
      <c r="F60" s="12">
        <f>B54*B60*C60</f>
        <v>2.8550182481751833E-2</v>
      </c>
      <c r="G60" s="14"/>
      <c r="H60" s="12"/>
    </row>
    <row r="61" spans="1:8">
      <c r="A61" s="12" t="s">
        <v>72</v>
      </c>
      <c r="B61" s="12">
        <v>0.22262773722627741</v>
      </c>
      <c r="C61" s="12">
        <v>2.2749999999999999</v>
      </c>
      <c r="D61" s="12"/>
      <c r="E61" s="12"/>
      <c r="F61" s="12">
        <f>B54*B61*C61</f>
        <v>1.2661952554744527E-2</v>
      </c>
      <c r="G61" s="14"/>
      <c r="H61" s="12"/>
    </row>
    <row r="62" spans="1:8">
      <c r="A62" s="12" t="s">
        <v>103</v>
      </c>
      <c r="B62" s="12">
        <v>9.732360097323603E-3</v>
      </c>
      <c r="C62" s="12">
        <v>2.3340000000000001</v>
      </c>
      <c r="D62" s="12"/>
      <c r="E62" s="12"/>
      <c r="F62" s="12">
        <f>B54*B62*C62</f>
        <v>5.6788321167883227E-4</v>
      </c>
      <c r="G62" s="14"/>
      <c r="H62" s="12"/>
    </row>
    <row r="63" spans="1:8">
      <c r="A63" s="12" t="s">
        <v>74</v>
      </c>
      <c r="B63" s="12">
        <v>0.22019464720194651</v>
      </c>
      <c r="C63" s="12">
        <v>0.80700000000000005</v>
      </c>
      <c r="D63" s="12"/>
      <c r="E63" s="12"/>
      <c r="F63" s="12">
        <f>B54*B63*C63</f>
        <v>4.4424270072992711E-3</v>
      </c>
      <c r="G63" s="14"/>
      <c r="H63" s="12"/>
    </row>
    <row r="64" spans="1:8">
      <c r="A64" s="12" t="s">
        <v>75</v>
      </c>
      <c r="B64" s="12">
        <v>0.11192214111922143</v>
      </c>
      <c r="C64" s="12">
        <v>2.6459999999999999</v>
      </c>
      <c r="D64" s="12"/>
      <c r="E64" s="12"/>
      <c r="F64" s="12">
        <f>B54*B64*C64</f>
        <v>7.4036496350364982E-3</v>
      </c>
      <c r="G64" s="14"/>
      <c r="H64" s="12"/>
    </row>
    <row r="65" spans="1:8">
      <c r="A65" s="12" t="s">
        <v>76</v>
      </c>
      <c r="B65" s="12">
        <v>1.3381995133819954E-2</v>
      </c>
      <c r="C65" s="12">
        <v>2.313333333333333</v>
      </c>
      <c r="D65" s="12"/>
      <c r="E65" s="12"/>
      <c r="F65" s="12">
        <f>B54*B65*C65</f>
        <v>7.7392538523925398E-4</v>
      </c>
      <c r="G65" s="14"/>
      <c r="H65" s="12"/>
    </row>
    <row r="66" spans="1:8" ht="15" thickBot="1">
      <c r="A66" s="29" t="s">
        <v>161</v>
      </c>
      <c r="B66" s="30"/>
      <c r="C66" s="30"/>
      <c r="D66" s="30"/>
      <c r="E66" s="30"/>
      <c r="F66" s="31">
        <f>SUM(F56:F65)</f>
        <v>7.6799138280616394E-2</v>
      </c>
      <c r="G66" s="32">
        <f>F66/F72</f>
        <v>8.9231752040271617E-2</v>
      </c>
      <c r="H66" s="30">
        <f>F66/F73</f>
        <v>9.0650164474494269E-2</v>
      </c>
    </row>
    <row r="67" spans="1:8" ht="16.95" customHeight="1" thickBot="1">
      <c r="A67" s="180" t="s">
        <v>190</v>
      </c>
      <c r="B67" s="195"/>
      <c r="C67" s="195"/>
      <c r="D67" s="195"/>
      <c r="E67" s="195"/>
      <c r="F67" s="195"/>
      <c r="G67" s="195"/>
      <c r="H67" s="196"/>
    </row>
    <row r="68" spans="1:8" ht="29.4" thickBot="1">
      <c r="A68" s="5" t="s">
        <v>86</v>
      </c>
      <c r="B68" s="186">
        <v>0.03</v>
      </c>
      <c r="C68" s="187"/>
      <c r="D68" s="187"/>
      <c r="E68" s="187"/>
      <c r="F68" s="187"/>
      <c r="G68" s="187"/>
      <c r="H68" s="188"/>
    </row>
    <row r="69" spans="1:8" ht="72.75" customHeight="1" thickBot="1">
      <c r="A69" s="7" t="s">
        <v>2</v>
      </c>
      <c r="B69" s="8" t="s">
        <v>3</v>
      </c>
      <c r="C69" s="7" t="s">
        <v>4</v>
      </c>
      <c r="D69" s="7" t="s">
        <v>5</v>
      </c>
      <c r="E69" s="7" t="s">
        <v>6</v>
      </c>
      <c r="F69" s="8" t="s">
        <v>91</v>
      </c>
      <c r="G69" s="19" t="s">
        <v>8</v>
      </c>
      <c r="H69" s="43" t="s">
        <v>92</v>
      </c>
    </row>
    <row r="70" spans="1:8" ht="15" thickBot="1">
      <c r="A70" s="6" t="s">
        <v>87</v>
      </c>
      <c r="B70" s="6"/>
      <c r="C70" s="6">
        <v>0.44890000000000002</v>
      </c>
      <c r="D70" s="6"/>
      <c r="E70" s="6"/>
      <c r="F70" s="38">
        <f>B68*C70</f>
        <v>1.3467E-2</v>
      </c>
      <c r="G70" s="39">
        <f>F70/F72</f>
        <v>1.5647102710130735E-2</v>
      </c>
      <c r="H70" s="6"/>
    </row>
    <row r="71" spans="1:8" ht="16.95" customHeight="1" thickBot="1">
      <c r="A71" s="180" t="s">
        <v>23</v>
      </c>
      <c r="B71" s="195"/>
      <c r="C71" s="195"/>
      <c r="D71" s="195"/>
      <c r="E71" s="195"/>
      <c r="F71" s="195"/>
      <c r="G71" s="195"/>
      <c r="H71" s="196"/>
    </row>
    <row r="72" spans="1:8">
      <c r="A72" s="10" t="s">
        <v>106</v>
      </c>
      <c r="B72" s="9"/>
      <c r="C72" s="9"/>
      <c r="D72" s="9"/>
      <c r="E72" s="9"/>
      <c r="F72" s="70">
        <f>SUM(F8,F24,F38,F52,F66,F14,F70)</f>
        <v>0.86067051833696828</v>
      </c>
      <c r="G72" s="11"/>
      <c r="H72" s="9"/>
    </row>
    <row r="73" spans="1:8">
      <c r="A73" s="13" t="s">
        <v>107</v>
      </c>
      <c r="B73" s="12"/>
      <c r="C73" s="12"/>
      <c r="D73" s="12"/>
      <c r="E73" s="12"/>
      <c r="F73" s="12">
        <f>SUM(F8,F24,F38,F52,F66,F14)</f>
        <v>0.84720351833696828</v>
      </c>
      <c r="G73" s="14"/>
      <c r="H73" s="12"/>
    </row>
  </sheetData>
  <mergeCells count="16">
    <mergeCell ref="A71:H71"/>
    <mergeCell ref="A39:H39"/>
    <mergeCell ref="B3:H3"/>
    <mergeCell ref="B10:H10"/>
    <mergeCell ref="B16:H16"/>
    <mergeCell ref="B26:H26"/>
    <mergeCell ref="B40:H40"/>
    <mergeCell ref="B46:H46"/>
    <mergeCell ref="B54:H54"/>
    <mergeCell ref="B68:H68"/>
    <mergeCell ref="A15:H15"/>
    <mergeCell ref="A2:H2"/>
    <mergeCell ref="A25:H25"/>
    <mergeCell ref="A53:H53"/>
    <mergeCell ref="A9:H9"/>
    <mergeCell ref="A67:H67"/>
  </mergeCells>
  <pageMargins left="0.7" right="0.7" top="0.75" bottom="0.75" header="0.3" footer="0.3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2555-6F99-044F-8EDE-53E5E03FF5FE}">
  <dimension ref="A1:I94"/>
  <sheetViews>
    <sheetView workbookViewId="0">
      <selection activeCell="L51" sqref="L51"/>
    </sheetView>
  </sheetViews>
  <sheetFormatPr defaultColWidth="11.5" defaultRowHeight="14.4"/>
  <cols>
    <col min="1" max="1" width="21" style="4" customWidth="1"/>
    <col min="2" max="2" width="15.296875" style="4" customWidth="1"/>
    <col min="3" max="3" width="15.5" style="46" customWidth="1"/>
    <col min="4" max="4" width="16.796875" style="4" customWidth="1"/>
    <col min="5" max="5" width="12.5" style="46" customWidth="1"/>
    <col min="6" max="6" width="11.69921875" style="4" customWidth="1"/>
    <col min="7" max="7" width="14.19921875" style="4" customWidth="1"/>
    <col min="8" max="8" width="19.796875" style="4" customWidth="1"/>
    <col min="9" max="9" width="15" style="4" customWidth="1"/>
    <col min="10" max="16384" width="11.5" style="4"/>
  </cols>
  <sheetData>
    <row r="1" spans="1:9" ht="15" thickBot="1">
      <c r="A1" s="40" t="s">
        <v>0</v>
      </c>
      <c r="H1" s="41"/>
    </row>
    <row r="2" spans="1:9" ht="15" thickBot="1">
      <c r="A2" s="180" t="s">
        <v>182</v>
      </c>
      <c r="B2" s="181"/>
      <c r="C2" s="181"/>
      <c r="D2" s="181"/>
      <c r="E2" s="181"/>
      <c r="F2" s="181"/>
      <c r="G2" s="181"/>
      <c r="H2" s="181"/>
      <c r="I2" s="182"/>
    </row>
    <row r="3" spans="1:9" ht="43.8" thickBot="1">
      <c r="A3" s="42" t="s">
        <v>108</v>
      </c>
      <c r="B3" s="186">
        <v>0.5</v>
      </c>
      <c r="C3" s="187"/>
      <c r="D3" s="187"/>
      <c r="E3" s="187"/>
      <c r="F3" s="187"/>
      <c r="G3" s="187"/>
      <c r="H3" s="187"/>
      <c r="I3" s="188"/>
    </row>
    <row r="4" spans="1:9" ht="87" thickBot="1">
      <c r="A4" s="44" t="s">
        <v>2</v>
      </c>
      <c r="B4" s="43" t="s">
        <v>3</v>
      </c>
      <c r="C4" s="43" t="s">
        <v>4</v>
      </c>
      <c r="D4" s="43" t="s">
        <v>109</v>
      </c>
      <c r="E4" s="43" t="s">
        <v>110</v>
      </c>
      <c r="F4" s="44" t="s">
        <v>111</v>
      </c>
      <c r="G4" s="43" t="s">
        <v>112</v>
      </c>
      <c r="H4" s="8" t="s">
        <v>113</v>
      </c>
      <c r="I4" s="43" t="s">
        <v>8</v>
      </c>
    </row>
    <row r="5" spans="1:9">
      <c r="A5" s="9" t="s">
        <v>55</v>
      </c>
      <c r="B5" s="9">
        <v>5.2526460601119727E-2</v>
      </c>
      <c r="C5" s="48">
        <v>0.308</v>
      </c>
      <c r="D5" s="9" t="s">
        <v>11</v>
      </c>
      <c r="E5" s="48">
        <v>0.38844105721218408</v>
      </c>
      <c r="F5" s="9" t="s">
        <v>114</v>
      </c>
      <c r="G5" s="9">
        <v>0.17499999999999999</v>
      </c>
      <c r="H5" s="9">
        <f>B3*B5*C5*E5*G5</f>
        <v>5.4987254326847748E-4</v>
      </c>
      <c r="I5" s="9"/>
    </row>
    <row r="6" spans="1:9">
      <c r="A6" s="12" t="s">
        <v>56</v>
      </c>
      <c r="B6" s="12">
        <v>4.0966459017953191E-2</v>
      </c>
      <c r="C6" s="33">
        <v>0.61699999999999999</v>
      </c>
      <c r="D6" s="12" t="s">
        <v>11</v>
      </c>
      <c r="E6" s="33">
        <v>0.95238095238095233</v>
      </c>
      <c r="F6" s="12" t="s">
        <v>114</v>
      </c>
      <c r="G6" s="12">
        <v>0.16</v>
      </c>
      <c r="H6" s="12">
        <f>B3*B6*C6*E6*G6</f>
        <v>1.9258137305963518E-3</v>
      </c>
      <c r="I6" s="12"/>
    </row>
    <row r="7" spans="1:9">
      <c r="A7" s="12" t="s">
        <v>57</v>
      </c>
      <c r="B7" s="12">
        <v>0.86561940301493145</v>
      </c>
      <c r="C7" s="33">
        <v>1.2118571428571427</v>
      </c>
      <c r="D7" s="12" t="s">
        <v>11</v>
      </c>
      <c r="E7" s="33">
        <v>0.34767265230879446</v>
      </c>
      <c r="F7" s="12" t="s">
        <v>114</v>
      </c>
      <c r="G7" s="12">
        <v>0.17083333333333331</v>
      </c>
      <c r="H7" s="12">
        <f>B3*B7*C7*E7*G7</f>
        <v>3.1152403523219165E-2</v>
      </c>
      <c r="I7" s="12"/>
    </row>
    <row r="8" spans="1:9">
      <c r="A8" s="12" t="s">
        <v>58</v>
      </c>
      <c r="B8" s="12">
        <v>4.0887677365995592E-2</v>
      </c>
      <c r="C8" s="33">
        <v>1.1539999999999999</v>
      </c>
      <c r="D8" s="12" t="s">
        <v>11</v>
      </c>
      <c r="E8" s="33">
        <v>0.38535645472061658</v>
      </c>
      <c r="F8" s="12" t="s">
        <v>114</v>
      </c>
      <c r="G8" s="12">
        <v>0.17199999999999999</v>
      </c>
      <c r="H8" s="12">
        <f>B3*B8*C8*E8*G8</f>
        <v>1.5637212533760562E-3</v>
      </c>
      <c r="I8" s="12"/>
    </row>
    <row r="9" spans="1:9" ht="15" thickBot="1">
      <c r="A9" s="15" t="s">
        <v>115</v>
      </c>
      <c r="B9" s="16">
        <f>SUM(B5:B8)</f>
        <v>1</v>
      </c>
      <c r="C9" s="71"/>
      <c r="D9" s="16"/>
      <c r="E9" s="71"/>
      <c r="F9" s="16"/>
      <c r="G9" s="16"/>
      <c r="H9" s="17">
        <f>SUM(H5:H8)</f>
        <v>3.5191811050460049E-2</v>
      </c>
      <c r="I9" s="16">
        <f>H9/H94</f>
        <v>1.3885405447935616E-2</v>
      </c>
    </row>
    <row r="10" spans="1:9" ht="44.4" thickTop="1" thickBot="1">
      <c r="A10" s="5" t="s">
        <v>116</v>
      </c>
      <c r="B10" s="183">
        <v>0.08</v>
      </c>
      <c r="C10" s="184"/>
      <c r="D10" s="184"/>
      <c r="E10" s="184"/>
      <c r="F10" s="184"/>
      <c r="G10" s="184"/>
      <c r="H10" s="184"/>
      <c r="I10" s="185"/>
    </row>
    <row r="11" spans="1:9" ht="87" thickBot="1">
      <c r="A11" s="7" t="s">
        <v>2</v>
      </c>
      <c r="B11" s="8" t="s">
        <v>3</v>
      </c>
      <c r="C11" s="8" t="s">
        <v>4</v>
      </c>
      <c r="D11" s="7" t="s">
        <v>109</v>
      </c>
      <c r="E11" s="8" t="s">
        <v>110</v>
      </c>
      <c r="F11" s="7" t="s">
        <v>111</v>
      </c>
      <c r="G11" s="8" t="s">
        <v>112</v>
      </c>
      <c r="H11" s="8" t="s">
        <v>113</v>
      </c>
      <c r="I11" s="8" t="s">
        <v>8</v>
      </c>
    </row>
    <row r="12" spans="1:9">
      <c r="A12" s="9" t="s">
        <v>117</v>
      </c>
      <c r="B12" s="48">
        <v>1.6854840961281186E-3</v>
      </c>
      <c r="C12" s="48">
        <v>0.374</v>
      </c>
      <c r="D12" s="10"/>
      <c r="E12" s="50"/>
      <c r="F12" s="10"/>
      <c r="G12" s="10"/>
      <c r="H12" s="48">
        <f>B10*B12*C12</f>
        <v>5.0429684156153315E-5</v>
      </c>
      <c r="I12" s="50"/>
    </row>
    <row r="13" spans="1:9">
      <c r="A13" s="12" t="s">
        <v>118</v>
      </c>
      <c r="B13" s="33">
        <v>1.2262909962729244E-2</v>
      </c>
      <c r="C13" s="33">
        <v>2.1149090909090908</v>
      </c>
      <c r="D13" s="13"/>
      <c r="E13" s="51"/>
      <c r="F13" s="13"/>
      <c r="G13" s="13"/>
      <c r="H13" s="33">
        <f>B10*B13*C13</f>
        <v>2.0747951808940592E-3</v>
      </c>
      <c r="I13" s="51"/>
    </row>
    <row r="14" spans="1:9">
      <c r="A14" s="12" t="s">
        <v>119</v>
      </c>
      <c r="B14" s="33">
        <v>4.3513551480652167E-3</v>
      </c>
      <c r="C14" s="33">
        <v>0.84799999999999998</v>
      </c>
      <c r="D14" s="13"/>
      <c r="E14" s="51"/>
      <c r="F14" s="13"/>
      <c r="G14" s="13"/>
      <c r="H14" s="33">
        <f>B10*B14*C14</f>
        <v>2.9519593324474428E-4</v>
      </c>
      <c r="I14" s="51"/>
    </row>
    <row r="15" spans="1:9">
      <c r="A15" s="9" t="s">
        <v>25</v>
      </c>
      <c r="B15" s="9">
        <v>0.1232943160729336</v>
      </c>
      <c r="C15" s="48">
        <v>3.754</v>
      </c>
      <c r="D15" s="91" t="s">
        <v>11</v>
      </c>
      <c r="E15" s="92"/>
      <c r="F15" s="9"/>
      <c r="G15" s="9"/>
      <c r="H15" s="9">
        <f>B10*B15*C15</f>
        <v>3.702774900302342E-2</v>
      </c>
      <c r="I15" s="9"/>
    </row>
    <row r="16" spans="1:9">
      <c r="A16" s="12" t="s">
        <v>27</v>
      </c>
      <c r="B16" s="12">
        <v>8.3663030073724526E-2</v>
      </c>
      <c r="C16" s="33">
        <v>4.8252668759459452</v>
      </c>
      <c r="D16" s="75" t="s">
        <v>11</v>
      </c>
      <c r="E16" s="93">
        <v>1.2749999999999999</v>
      </c>
      <c r="F16" s="12"/>
      <c r="G16" s="12"/>
      <c r="H16" s="12">
        <f>B10*B16*C16*E16</f>
        <v>4.1177037671113262E-2</v>
      </c>
      <c r="I16" s="12"/>
    </row>
    <row r="17" spans="1:9">
      <c r="A17" s="12" t="s">
        <v>28</v>
      </c>
      <c r="B17" s="12">
        <v>1.6623952728934868E-3</v>
      </c>
      <c r="C17" s="33">
        <v>4.8285502525925947</v>
      </c>
      <c r="D17" s="75" t="s">
        <v>11</v>
      </c>
      <c r="E17" s="93">
        <v>1.25</v>
      </c>
      <c r="F17" s="12"/>
      <c r="G17" s="12"/>
      <c r="H17" s="12">
        <f>B10*B17*C17*E17</f>
        <v>8.026959114838582E-4</v>
      </c>
      <c r="I17" s="12"/>
    </row>
    <row r="18" spans="1:9">
      <c r="A18" s="12" t="s">
        <v>120</v>
      </c>
      <c r="B18" s="12">
        <v>1.7565337051072598E-2</v>
      </c>
      <c r="C18" s="33">
        <v>3.6740210518316871</v>
      </c>
      <c r="D18" s="75" t="s">
        <v>11</v>
      </c>
      <c r="E18" s="93">
        <v>1.2549999999999999</v>
      </c>
      <c r="F18" s="12"/>
      <c r="G18" s="12"/>
      <c r="H18" s="12">
        <f>B10*B18*C18*E18</f>
        <v>6.4793559780592482E-3</v>
      </c>
      <c r="I18" s="12"/>
    </row>
    <row r="19" spans="1:9">
      <c r="A19" s="12" t="s">
        <v>30</v>
      </c>
      <c r="B19" s="12">
        <v>4.5883286969857856E-2</v>
      </c>
      <c r="C19" s="33">
        <v>1.368246026956522</v>
      </c>
      <c r="D19" s="75" t="s">
        <v>11</v>
      </c>
      <c r="E19" s="93">
        <v>1.2549999999999999</v>
      </c>
      <c r="F19" s="12"/>
      <c r="G19" s="12"/>
      <c r="H19" s="12">
        <f>B10*B19*C19*E19</f>
        <v>6.303074360061482E-3</v>
      </c>
      <c r="I19" s="12"/>
    </row>
    <row r="20" spans="1:9">
      <c r="A20" s="12" t="s">
        <v>121</v>
      </c>
      <c r="B20" s="12">
        <v>4.120466915718899E-5</v>
      </c>
      <c r="C20" s="33">
        <v>3.1429999999999998</v>
      </c>
      <c r="D20" s="75" t="s">
        <v>11</v>
      </c>
      <c r="E20" s="93">
        <v>1.25</v>
      </c>
      <c r="F20" s="12"/>
      <c r="G20" s="12"/>
      <c r="H20" s="12">
        <f>B10*B20*C20*E20</f>
        <v>1.2950627516104498E-5</v>
      </c>
      <c r="I20" s="12"/>
    </row>
    <row r="21" spans="1:9">
      <c r="A21" s="12" t="s">
        <v>32</v>
      </c>
      <c r="B21" s="12">
        <v>5.2990514382847782E-3</v>
      </c>
      <c r="C21" s="33">
        <v>30.658000000000001</v>
      </c>
      <c r="D21" s="75" t="s">
        <v>11</v>
      </c>
      <c r="E21" s="93">
        <v>1.28</v>
      </c>
      <c r="F21" s="12"/>
      <c r="G21" s="12"/>
      <c r="H21" s="12">
        <f>B10*B21*C21*E21</f>
        <v>1.663573186508132E-2</v>
      </c>
      <c r="I21" s="12"/>
    </row>
    <row r="22" spans="1:9">
      <c r="A22" s="12" t="s">
        <v>10</v>
      </c>
      <c r="B22" s="12">
        <v>0.36830847567054581</v>
      </c>
      <c r="C22" s="33">
        <v>3.1966666666666668</v>
      </c>
      <c r="D22" s="75" t="s">
        <v>11</v>
      </c>
      <c r="E22" s="93">
        <v>1.17</v>
      </c>
      <c r="F22" s="12"/>
      <c r="G22" s="12"/>
      <c r="H22" s="12">
        <f>B10*B22*C22*E22</f>
        <v>0.11020084238843268</v>
      </c>
      <c r="I22" s="12"/>
    </row>
    <row r="23" spans="1:9">
      <c r="A23" s="12" t="s">
        <v>12</v>
      </c>
      <c r="B23" s="12">
        <v>9.6985031046076375E-5</v>
      </c>
      <c r="C23" s="33">
        <v>5.56</v>
      </c>
      <c r="D23" s="75" t="s">
        <v>11</v>
      </c>
      <c r="E23" s="93">
        <v>1.335</v>
      </c>
      <c r="F23" s="12"/>
      <c r="G23" s="12"/>
      <c r="H23" s="12">
        <f>B10*B23*C23*E23</f>
        <v>5.7590487315408508E-5</v>
      </c>
      <c r="I23" s="12"/>
    </row>
    <row r="24" spans="1:9">
      <c r="A24" s="12" t="s">
        <v>13</v>
      </c>
      <c r="B24" s="12">
        <v>0.13078714114351153</v>
      </c>
      <c r="C24" s="33">
        <v>34.744999999999997</v>
      </c>
      <c r="D24" s="75" t="s">
        <v>11</v>
      </c>
      <c r="E24" s="93">
        <v>1.1499999999999999</v>
      </c>
      <c r="F24" s="12"/>
      <c r="G24" s="12"/>
      <c r="H24" s="12">
        <f>B10*B24*C24*E24</f>
        <v>0.4180663281508803</v>
      </c>
      <c r="I24" s="12"/>
    </row>
    <row r="25" spans="1:9">
      <c r="A25" s="12" t="s">
        <v>14</v>
      </c>
      <c r="B25" s="12">
        <v>0.14253368125788585</v>
      </c>
      <c r="C25" s="33">
        <v>32.845999999999997</v>
      </c>
      <c r="D25" s="75" t="s">
        <v>11</v>
      </c>
      <c r="E25" s="93">
        <v>1.2549999999999999</v>
      </c>
      <c r="F25" s="12"/>
      <c r="G25" s="12"/>
      <c r="H25" s="12">
        <f>B10*B25*C25*E25</f>
        <v>0.47003879397749038</v>
      </c>
      <c r="I25" s="12"/>
    </row>
    <row r="26" spans="1:9">
      <c r="A26" s="12" t="s">
        <v>15</v>
      </c>
      <c r="B26" s="12">
        <v>1.5106281402523644E-2</v>
      </c>
      <c r="C26" s="33">
        <v>3.1966666666666668</v>
      </c>
      <c r="D26" s="75" t="s">
        <v>11</v>
      </c>
      <c r="E26" s="93">
        <v>1.17</v>
      </c>
      <c r="F26" s="12"/>
      <c r="G26" s="12"/>
      <c r="H26" s="12">
        <f>B10*B26*C26*E26</f>
        <v>4.5199202458862942E-3</v>
      </c>
      <c r="I26" s="12"/>
    </row>
    <row r="27" spans="1:9">
      <c r="A27" s="12" t="s">
        <v>16</v>
      </c>
      <c r="B27" s="12">
        <v>3.9778698227000563E-6</v>
      </c>
      <c r="C27" s="33">
        <v>5.56</v>
      </c>
      <c r="D27" s="75" t="s">
        <v>11</v>
      </c>
      <c r="E27" s="93">
        <v>1.335</v>
      </c>
      <c r="F27" s="12"/>
      <c r="G27" s="12"/>
      <c r="H27" s="12">
        <f>B10*B27*C27*E27</f>
        <v>2.362090923677875E-6</v>
      </c>
      <c r="I27" s="12"/>
    </row>
    <row r="28" spans="1:9">
      <c r="A28" s="12" t="s">
        <v>17</v>
      </c>
      <c r="B28" s="12">
        <v>5.3642733970443446E-3</v>
      </c>
      <c r="C28" s="33">
        <v>34.744999999999997</v>
      </c>
      <c r="D28" s="75" t="s">
        <v>11</v>
      </c>
      <c r="E28" s="93">
        <v>1.1499999999999999</v>
      </c>
      <c r="F28" s="12"/>
      <c r="G28" s="12"/>
      <c r="H28" s="12">
        <f>B10*B28*C28*E28</f>
        <v>1.7147114484588128E-2</v>
      </c>
      <c r="I28" s="12"/>
    </row>
    <row r="29" spans="1:9">
      <c r="A29" s="12" t="s">
        <v>18</v>
      </c>
      <c r="B29" s="12">
        <v>5.8460612248989992E-3</v>
      </c>
      <c r="C29" s="33">
        <v>32.845999999999997</v>
      </c>
      <c r="D29" s="75" t="s">
        <v>11</v>
      </c>
      <c r="E29" s="93">
        <v>1.2549999999999999</v>
      </c>
      <c r="F29" s="12"/>
      <c r="G29" s="12"/>
      <c r="H29" s="12">
        <f>B10*B29*C29*E29</f>
        <v>1.927878059010046E-2</v>
      </c>
      <c r="I29" s="12"/>
    </row>
    <row r="30" spans="1:9">
      <c r="A30" s="12" t="s">
        <v>19</v>
      </c>
      <c r="B30" s="12">
        <v>2.0802092423147317E-2</v>
      </c>
      <c r="C30" s="33">
        <v>3.1966666666666668</v>
      </c>
      <c r="D30" s="75" t="s">
        <v>11</v>
      </c>
      <c r="E30" s="93">
        <v>1.17</v>
      </c>
      <c r="F30" s="12"/>
      <c r="G30" s="12"/>
      <c r="H30" s="12">
        <f>B10*B30*C30*E30</f>
        <v>6.2241524697450624E-3</v>
      </c>
      <c r="I30" s="12"/>
    </row>
    <row r="31" spans="1:9">
      <c r="A31" s="12" t="s">
        <v>20</v>
      </c>
      <c r="B31" s="12">
        <v>5.4777223788000774E-6</v>
      </c>
      <c r="C31" s="33">
        <v>5.56</v>
      </c>
      <c r="D31" s="75" t="s">
        <v>11</v>
      </c>
      <c r="E31" s="93">
        <v>1.335</v>
      </c>
      <c r="F31" s="12"/>
      <c r="G31" s="12"/>
      <c r="H31" s="12">
        <f>B10*B31*C31*E31</f>
        <v>3.2527153703105162E-6</v>
      </c>
      <c r="I31" s="12"/>
    </row>
    <row r="32" spans="1:9">
      <c r="A32" s="12" t="s">
        <v>21</v>
      </c>
      <c r="B32" s="12">
        <v>7.3868682844545073E-3</v>
      </c>
      <c r="C32" s="33">
        <v>34.744999999999997</v>
      </c>
      <c r="D32" s="75" t="s">
        <v>11</v>
      </c>
      <c r="E32" s="93">
        <v>1.1499999999999999</v>
      </c>
      <c r="F32" s="12"/>
      <c r="G32" s="12"/>
      <c r="H32" s="12">
        <f>B10*B32*C32*E32</f>
        <v>2.3612419945990209E-2</v>
      </c>
      <c r="I32" s="12"/>
    </row>
    <row r="33" spans="1:9">
      <c r="A33" s="12" t="s">
        <v>22</v>
      </c>
      <c r="B33" s="12">
        <v>8.0503138178937041E-3</v>
      </c>
      <c r="C33" s="33">
        <v>32.845999999999997</v>
      </c>
      <c r="D33" s="75" t="s">
        <v>11</v>
      </c>
      <c r="E33" s="93">
        <v>1.2549999999999999</v>
      </c>
      <c r="F33" s="12"/>
      <c r="G33" s="12"/>
      <c r="H33" s="12">
        <f>B10*B33*C33*E33</f>
        <v>2.6547829009318669E-2</v>
      </c>
      <c r="I33" s="12"/>
    </row>
    <row r="34" spans="1:9" ht="15" thickBot="1">
      <c r="A34" s="15" t="s">
        <v>23</v>
      </c>
      <c r="B34" s="16">
        <f>SUM(B12:B33)</f>
        <v>0.99999999999999978</v>
      </c>
      <c r="C34" s="71"/>
      <c r="D34" s="16"/>
      <c r="E34" s="71"/>
      <c r="F34" s="16"/>
      <c r="G34" s="16"/>
      <c r="H34" s="17">
        <f>SUM(H12:H33)</f>
        <v>1.2065584027706753</v>
      </c>
      <c r="I34" s="16">
        <f>H34/H94</f>
        <v>0.47606395121473627</v>
      </c>
    </row>
    <row r="35" spans="1:9" ht="15.6" thickTop="1" thickBot="1">
      <c r="A35" s="36" t="s">
        <v>33</v>
      </c>
      <c r="B35" s="3"/>
      <c r="C35" s="49"/>
      <c r="D35" s="3"/>
      <c r="E35" s="49"/>
      <c r="F35" s="3"/>
      <c r="G35" s="3"/>
      <c r="H35" s="37">
        <f>SUM(H9,H34)</f>
        <v>1.2417502138211354</v>
      </c>
      <c r="I35" s="3">
        <f>H35/H94</f>
        <v>0.48994935666267186</v>
      </c>
    </row>
    <row r="36" spans="1:9" ht="15" thickBot="1">
      <c r="A36" s="180" t="s">
        <v>189</v>
      </c>
      <c r="B36" s="181"/>
      <c r="C36" s="181"/>
      <c r="D36" s="181"/>
      <c r="E36" s="181"/>
      <c r="F36" s="181"/>
      <c r="G36" s="181"/>
      <c r="H36" s="181"/>
      <c r="I36" s="182"/>
    </row>
    <row r="37" spans="1:9" ht="43.8" thickBot="1">
      <c r="A37" s="5" t="s">
        <v>129</v>
      </c>
      <c r="B37" s="186">
        <v>0.5</v>
      </c>
      <c r="C37" s="187"/>
      <c r="D37" s="187"/>
      <c r="E37" s="187"/>
      <c r="F37" s="187"/>
      <c r="G37" s="187"/>
      <c r="H37" s="187"/>
      <c r="I37" s="188"/>
    </row>
    <row r="38" spans="1:9" ht="87" thickBot="1">
      <c r="A38" s="7" t="s">
        <v>130</v>
      </c>
      <c r="B38" s="8" t="s">
        <v>131</v>
      </c>
      <c r="C38" s="8" t="s">
        <v>4</v>
      </c>
      <c r="D38" s="44" t="s">
        <v>109</v>
      </c>
      <c r="E38" s="43" t="s">
        <v>110</v>
      </c>
      <c r="F38" s="44" t="s">
        <v>111</v>
      </c>
      <c r="G38" s="44" t="s">
        <v>112</v>
      </c>
      <c r="H38" s="8" t="s">
        <v>113</v>
      </c>
      <c r="I38" s="8" t="s">
        <v>8</v>
      </c>
    </row>
    <row r="39" spans="1:9">
      <c r="A39" s="9" t="s">
        <v>82</v>
      </c>
      <c r="B39" s="9">
        <v>0.95231308923481695</v>
      </c>
      <c r="C39" s="48">
        <v>1.3233105925925925</v>
      </c>
      <c r="D39" s="12" t="s">
        <v>114</v>
      </c>
      <c r="E39" s="33">
        <v>0.245</v>
      </c>
      <c r="F39" s="12"/>
      <c r="G39" s="12"/>
      <c r="H39" s="9">
        <f>B37*B39*C39*E39</f>
        <v>0.15437523481000351</v>
      </c>
      <c r="I39" s="9"/>
    </row>
    <row r="40" spans="1:9">
      <c r="A40" s="12" t="s">
        <v>80</v>
      </c>
      <c r="B40" s="12">
        <v>3.4378425783819333E-2</v>
      </c>
      <c r="C40" s="33">
        <v>8.4202700000000004</v>
      </c>
      <c r="D40" s="12" t="s">
        <v>114</v>
      </c>
      <c r="E40" s="33">
        <v>6.9000000000000006E-2</v>
      </c>
      <c r="F40" s="12"/>
      <c r="G40" s="12"/>
      <c r="H40" s="12">
        <f>B37*B40*C40*E40</f>
        <v>9.9869091409778548E-3</v>
      </c>
      <c r="I40" s="12"/>
    </row>
    <row r="41" spans="1:9">
      <c r="A41" s="12" t="s">
        <v>83</v>
      </c>
      <c r="B41" s="12">
        <v>5.5251041438281077E-3</v>
      </c>
      <c r="C41" s="33">
        <v>14.077772261623325</v>
      </c>
      <c r="D41" s="12" t="s">
        <v>114</v>
      </c>
      <c r="E41" s="33">
        <v>2.5000000000000001E-2</v>
      </c>
      <c r="F41" s="12"/>
      <c r="G41" s="12"/>
      <c r="H41" s="12">
        <f>B37*B41*C41*E41</f>
        <v>9.7226447323204299E-4</v>
      </c>
      <c r="I41" s="12"/>
    </row>
    <row r="42" spans="1:9">
      <c r="A42" s="12" t="s">
        <v>84</v>
      </c>
      <c r="B42" s="12">
        <v>7.783380837535628E-3</v>
      </c>
      <c r="C42" s="33">
        <v>10.734301349487785</v>
      </c>
      <c r="D42" s="12" t="s">
        <v>114</v>
      </c>
      <c r="E42" s="33">
        <v>2.5000000000000001E-2</v>
      </c>
      <c r="F42" s="12"/>
      <c r="G42" s="12"/>
      <c r="H42" s="12">
        <f>B37*B42*C42*E42</f>
        <v>1.0443644428492008E-3</v>
      </c>
      <c r="I42" s="12"/>
    </row>
    <row r="43" spans="1:9" ht="15" thickBot="1">
      <c r="A43" s="13" t="s">
        <v>85</v>
      </c>
      <c r="B43" s="12"/>
      <c r="C43" s="33"/>
      <c r="D43" s="12"/>
      <c r="E43" s="33"/>
      <c r="F43" s="12"/>
      <c r="G43" s="12"/>
      <c r="H43" s="45">
        <f>SUM(H39:H42)</f>
        <v>0.1663787728670626</v>
      </c>
      <c r="I43" s="12">
        <f>H43/H94</f>
        <v>6.5646997134549356E-2</v>
      </c>
    </row>
    <row r="44" spans="1:9" ht="16.95" customHeight="1" thickBot="1">
      <c r="A44" s="180" t="s">
        <v>183</v>
      </c>
      <c r="B44" s="195"/>
      <c r="C44" s="195"/>
      <c r="D44" s="195"/>
      <c r="E44" s="195"/>
      <c r="F44" s="195"/>
      <c r="G44" s="195"/>
      <c r="H44" s="195"/>
      <c r="I44" s="196"/>
    </row>
    <row r="45" spans="1:9" ht="58.2" thickBot="1">
      <c r="A45" s="5" t="s">
        <v>122</v>
      </c>
      <c r="B45" s="186">
        <v>3.5</v>
      </c>
      <c r="C45" s="187"/>
      <c r="D45" s="187"/>
      <c r="E45" s="187"/>
      <c r="F45" s="187"/>
      <c r="G45" s="187"/>
      <c r="H45" s="187"/>
      <c r="I45" s="188"/>
    </row>
    <row r="46" spans="1:9" ht="87" thickBot="1">
      <c r="A46" s="7" t="s">
        <v>2</v>
      </c>
      <c r="B46" s="8" t="s">
        <v>3</v>
      </c>
      <c r="C46" s="8" t="s">
        <v>4</v>
      </c>
      <c r="D46" s="44" t="s">
        <v>109</v>
      </c>
      <c r="E46" s="43" t="s">
        <v>110</v>
      </c>
      <c r="F46" s="44" t="s">
        <v>111</v>
      </c>
      <c r="G46" s="44" t="s">
        <v>112</v>
      </c>
      <c r="H46" s="8" t="s">
        <v>113</v>
      </c>
      <c r="I46" s="8" t="s">
        <v>8</v>
      </c>
    </row>
    <row r="47" spans="1:9">
      <c r="A47" s="9" t="s">
        <v>64</v>
      </c>
      <c r="B47" s="9">
        <v>5.4602236571224226E-2</v>
      </c>
      <c r="C47" s="48">
        <v>0.217</v>
      </c>
      <c r="D47" s="9" t="s">
        <v>114</v>
      </c>
      <c r="E47" s="48">
        <v>0.15</v>
      </c>
      <c r="F47" s="9"/>
      <c r="G47" s="9"/>
      <c r="H47" s="9">
        <f>B45*B47*C47*E47</f>
        <v>6.2205598013767198E-3</v>
      </c>
      <c r="I47" s="9"/>
    </row>
    <row r="48" spans="1:9">
      <c r="A48" s="12" t="s">
        <v>100</v>
      </c>
      <c r="B48" s="12">
        <v>6.1167554037965888E-5</v>
      </c>
      <c r="C48" s="33">
        <v>0.30199999999999999</v>
      </c>
      <c r="D48" s="12" t="s">
        <v>114</v>
      </c>
      <c r="E48" s="33">
        <v>0.13</v>
      </c>
      <c r="F48" s="12"/>
      <c r="G48" s="12"/>
      <c r="H48" s="12">
        <f>B45*B48*C48*E48</f>
        <v>8.4050336003568922E-6</v>
      </c>
      <c r="I48" s="12"/>
    </row>
    <row r="49" spans="1:9">
      <c r="A49" s="12" t="s">
        <v>123</v>
      </c>
      <c r="B49" s="12">
        <v>2.0389184679321966E-5</v>
      </c>
      <c r="C49" s="33">
        <v>1.0209999999999999</v>
      </c>
      <c r="D49" s="12" t="s">
        <v>114</v>
      </c>
      <c r="E49" s="33">
        <v>0.13</v>
      </c>
      <c r="F49" s="12"/>
      <c r="G49" s="12"/>
      <c r="H49" s="12">
        <f>B45*B49*C49*E49</f>
        <v>9.4718976887024164E-6</v>
      </c>
      <c r="I49" s="12"/>
    </row>
    <row r="50" spans="1:9">
      <c r="A50" s="12" t="s">
        <v>36</v>
      </c>
      <c r="B50" s="12">
        <v>9.1990394247313895E-2</v>
      </c>
      <c r="C50" s="33">
        <v>0.55000000000000004</v>
      </c>
      <c r="D50" s="12" t="s">
        <v>11</v>
      </c>
      <c r="E50" s="33">
        <v>0.29667146320768484</v>
      </c>
      <c r="F50" s="9" t="s">
        <v>114</v>
      </c>
      <c r="G50" s="12">
        <v>0.18887499999999999</v>
      </c>
      <c r="H50" s="12">
        <f>B45*B50*C50*E50*G50</f>
        <v>9.9225538592685406E-3</v>
      </c>
      <c r="I50" s="12"/>
    </row>
    <row r="51" spans="1:9">
      <c r="A51" s="12" t="s">
        <v>38</v>
      </c>
      <c r="B51" s="12">
        <v>6.4238165250671778E-3</v>
      </c>
      <c r="C51" s="33">
        <v>0.47399999999999998</v>
      </c>
      <c r="D51" s="12" t="s">
        <v>11</v>
      </c>
      <c r="E51" s="33">
        <v>0.18726591760299627</v>
      </c>
      <c r="F51" s="12" t="s">
        <v>114</v>
      </c>
      <c r="G51" s="12">
        <v>0.23400000000000001</v>
      </c>
      <c r="H51" s="12">
        <f>B45*B51*C51*E51*G51</f>
        <v>4.6699702582963094E-4</v>
      </c>
      <c r="I51" s="12"/>
    </row>
    <row r="52" spans="1:9">
      <c r="A52" s="12" t="s">
        <v>39</v>
      </c>
      <c r="B52" s="12">
        <v>0.34590251808469707</v>
      </c>
      <c r="C52" s="33">
        <v>1.8580000000000001</v>
      </c>
      <c r="D52" s="12" t="s">
        <v>11</v>
      </c>
      <c r="E52" s="33">
        <v>0.33530417677236202</v>
      </c>
      <c r="F52" s="12" t="s">
        <v>114</v>
      </c>
      <c r="G52" s="12">
        <v>0.1905</v>
      </c>
      <c r="H52" s="12">
        <f>B45*B52*C52*E52*G52</f>
        <v>0.14368168780078294</v>
      </c>
      <c r="I52" s="12"/>
    </row>
    <row r="53" spans="1:9">
      <c r="A53" s="12" t="s">
        <v>41</v>
      </c>
      <c r="B53" s="12">
        <v>0.46984735229106134</v>
      </c>
      <c r="C53" s="33">
        <v>0.34699999999999998</v>
      </c>
      <c r="D53" s="12" t="s">
        <v>11</v>
      </c>
      <c r="E53" s="33">
        <v>0.29667146320768484</v>
      </c>
      <c r="F53" s="12" t="s">
        <v>114</v>
      </c>
      <c r="G53" s="12">
        <v>0.18887499999999999</v>
      </c>
      <c r="H53" s="12">
        <f>B45*B53*C53*E53*G53</f>
        <v>3.1974558308663859E-2</v>
      </c>
      <c r="I53" s="12"/>
    </row>
    <row r="54" spans="1:9">
      <c r="A54" s="12" t="s">
        <v>42</v>
      </c>
      <c r="B54" s="12">
        <v>3.1152125541919047E-2</v>
      </c>
      <c r="C54" s="33">
        <v>0.75775000000000003</v>
      </c>
      <c r="D54" s="12" t="s">
        <v>11</v>
      </c>
      <c r="E54" s="33">
        <v>0.29667146320768484</v>
      </c>
      <c r="F54" s="12" t="s">
        <v>114</v>
      </c>
      <c r="G54" s="12">
        <v>0.18887499999999999</v>
      </c>
      <c r="H54" s="12">
        <f>B45*B54*C54*E54*G54</f>
        <v>4.6294769350464513E-3</v>
      </c>
      <c r="I54" s="12"/>
    </row>
    <row r="55" spans="1:9" ht="15" thickBot="1">
      <c r="A55" s="29" t="s">
        <v>187</v>
      </c>
      <c r="B55" s="30">
        <f>SUM(B47:B54)</f>
        <v>1.0000000000000002</v>
      </c>
      <c r="C55" s="47"/>
      <c r="D55" s="30"/>
      <c r="E55" s="47"/>
      <c r="F55" s="30"/>
      <c r="G55" s="30"/>
      <c r="H55" s="31">
        <f>SUM(H47:H54)</f>
        <v>0.19691371066225721</v>
      </c>
      <c r="I55" s="30">
        <f>H55/H94</f>
        <v>7.7694970198675814E-2</v>
      </c>
    </row>
    <row r="56" spans="1:9" ht="16.95" customHeight="1" thickBot="1">
      <c r="A56" s="180" t="s">
        <v>184</v>
      </c>
      <c r="B56" s="195"/>
      <c r="C56" s="195"/>
      <c r="D56" s="195"/>
      <c r="E56" s="195"/>
      <c r="F56" s="195"/>
      <c r="G56" s="195"/>
      <c r="H56" s="195"/>
      <c r="I56" s="196"/>
    </row>
    <row r="57" spans="1:9" ht="43.8" thickBot="1">
      <c r="A57" s="5" t="s">
        <v>124</v>
      </c>
      <c r="B57" s="186">
        <v>3.5</v>
      </c>
      <c r="C57" s="187"/>
      <c r="D57" s="187"/>
      <c r="E57" s="187"/>
      <c r="F57" s="187"/>
      <c r="G57" s="187"/>
      <c r="H57" s="187"/>
      <c r="I57" s="188"/>
    </row>
    <row r="58" spans="1:9" ht="87" thickBot="1">
      <c r="A58" s="7" t="s">
        <v>2</v>
      </c>
      <c r="B58" s="8" t="s">
        <v>3</v>
      </c>
      <c r="C58" s="8" t="s">
        <v>4</v>
      </c>
      <c r="D58" s="44" t="s">
        <v>109</v>
      </c>
      <c r="E58" s="43" t="s">
        <v>110</v>
      </c>
      <c r="F58" s="44" t="s">
        <v>111</v>
      </c>
      <c r="G58" s="44" t="s">
        <v>112</v>
      </c>
      <c r="H58" s="8" t="s">
        <v>113</v>
      </c>
      <c r="I58" s="8" t="s">
        <v>8</v>
      </c>
    </row>
    <row r="59" spans="1:9">
      <c r="A59" s="9" t="s">
        <v>44</v>
      </c>
      <c r="B59" s="9">
        <v>3.8539375274967001E-2</v>
      </c>
      <c r="C59" s="48">
        <v>0.22800000000000001</v>
      </c>
      <c r="D59" s="9" t="s">
        <v>114</v>
      </c>
      <c r="E59" s="48">
        <v>0.11</v>
      </c>
      <c r="F59" s="9"/>
      <c r="G59" s="9"/>
      <c r="H59" s="9">
        <f>B57*B59*C59*E59</f>
        <v>3.3829863616366036E-3</v>
      </c>
      <c r="I59" s="9"/>
    </row>
    <row r="60" spans="1:9">
      <c r="A60" s="12" t="s">
        <v>45</v>
      </c>
      <c r="B60" s="12">
        <v>6.5068191816981952E-2</v>
      </c>
      <c r="C60" s="33">
        <v>0.374</v>
      </c>
      <c r="D60" s="12" t="s">
        <v>114</v>
      </c>
      <c r="E60" s="33">
        <v>0.15</v>
      </c>
      <c r="F60" s="12"/>
      <c r="G60" s="12"/>
      <c r="H60" s="12">
        <f>B57*B60*C60*E60</f>
        <v>1.2776139463264407E-2</v>
      </c>
      <c r="I60" s="12"/>
    </row>
    <row r="61" spans="1:9">
      <c r="A61" s="12" t="s">
        <v>46</v>
      </c>
      <c r="B61" s="12">
        <v>9.546854377474703E-3</v>
      </c>
      <c r="C61" s="33">
        <v>0.43766666666666665</v>
      </c>
      <c r="D61" s="12" t="s">
        <v>114</v>
      </c>
      <c r="E61" s="33">
        <v>0.185</v>
      </c>
      <c r="F61" s="12"/>
      <c r="G61" s="12"/>
      <c r="H61" s="12">
        <f>B57*B61*C61*E61</f>
        <v>2.7054751063205749E-3</v>
      </c>
      <c r="I61" s="12"/>
    </row>
    <row r="62" spans="1:9">
      <c r="A62" s="12" t="s">
        <v>47</v>
      </c>
      <c r="B62" s="12">
        <v>0.29718433787945442</v>
      </c>
      <c r="C62" s="33">
        <v>2.024</v>
      </c>
      <c r="D62" s="12" t="s">
        <v>114</v>
      </c>
      <c r="E62" s="33">
        <v>7.4999999999999997E-2</v>
      </c>
      <c r="F62" s="12"/>
      <c r="G62" s="12"/>
      <c r="H62" s="12">
        <f>B57*B62*C62*E62</f>
        <v>0.15789403871535415</v>
      </c>
      <c r="I62" s="12"/>
    </row>
    <row r="63" spans="1:9">
      <c r="A63" s="12" t="s">
        <v>48</v>
      </c>
      <c r="B63" s="12">
        <v>4.8394192696876373E-4</v>
      </c>
      <c r="C63" s="33">
        <v>1.21</v>
      </c>
      <c r="D63" s="12" t="s">
        <v>114</v>
      </c>
      <c r="E63" s="33">
        <v>0.21</v>
      </c>
      <c r="F63" s="12"/>
      <c r="G63" s="12"/>
      <c r="H63" s="12">
        <f>B57*B63*C63*E63</f>
        <v>4.3039375274966994E-4</v>
      </c>
      <c r="I63" s="12"/>
    </row>
    <row r="64" spans="1:9">
      <c r="A64" s="12" t="s">
        <v>49</v>
      </c>
      <c r="B64" s="12">
        <v>2.5340959084909808E-2</v>
      </c>
      <c r="C64" s="33">
        <v>0.47799999999999998</v>
      </c>
      <c r="D64" s="12" t="s">
        <v>114</v>
      </c>
      <c r="E64" s="33">
        <v>0.12</v>
      </c>
      <c r="F64" s="12"/>
      <c r="G64" s="12"/>
      <c r="H64" s="12">
        <f>B57*B64*C64*E64</f>
        <v>5.0874509458864927E-3</v>
      </c>
      <c r="I64" s="12"/>
    </row>
    <row r="65" spans="1:9">
      <c r="A65" s="12" t="s">
        <v>50</v>
      </c>
      <c r="B65" s="12">
        <v>1.3990321161460624E-2</v>
      </c>
      <c r="C65" s="33">
        <v>0.51700000000000002</v>
      </c>
      <c r="D65" s="12" t="s">
        <v>114</v>
      </c>
      <c r="E65" s="33">
        <v>0.21</v>
      </c>
      <c r="F65" s="12"/>
      <c r="G65" s="12"/>
      <c r="H65" s="12">
        <f>B57*B65*C65*E65</f>
        <v>5.3162520897492302E-3</v>
      </c>
      <c r="I65" s="12"/>
    </row>
    <row r="66" spans="1:9" ht="28.8">
      <c r="A66" s="33" t="s">
        <v>51</v>
      </c>
      <c r="B66" s="12">
        <v>0.18856137263528375</v>
      </c>
      <c r="C66" s="33">
        <v>0.34699999999999998</v>
      </c>
      <c r="D66" s="12" t="s">
        <v>114</v>
      </c>
      <c r="E66" s="33">
        <v>0.185</v>
      </c>
      <c r="F66" s="12"/>
      <c r="G66" s="12"/>
      <c r="H66" s="12">
        <f>B57*B66*C66*E66</f>
        <v>4.2366440607127138E-2</v>
      </c>
      <c r="I66" s="12"/>
    </row>
    <row r="67" spans="1:9">
      <c r="A67" s="12" t="s">
        <v>52</v>
      </c>
      <c r="B67" s="12">
        <v>3.343598768147822E-3</v>
      </c>
      <c r="C67" s="33">
        <v>0.91400000000000003</v>
      </c>
      <c r="D67" s="12" t="s">
        <v>114</v>
      </c>
      <c r="E67" s="33">
        <v>0.16500000000000001</v>
      </c>
      <c r="F67" s="12"/>
      <c r="G67" s="12"/>
      <c r="H67" s="12">
        <f>B57*B67*C67*E67</f>
        <v>1.7648684557853057E-3</v>
      </c>
      <c r="I67" s="12"/>
    </row>
    <row r="68" spans="1:9">
      <c r="A68" s="12" t="s">
        <v>53</v>
      </c>
      <c r="B68" s="12">
        <v>0.35794104707435104</v>
      </c>
      <c r="C68" s="33">
        <v>0.65203333333333346</v>
      </c>
      <c r="D68" s="12" t="s">
        <v>114</v>
      </c>
      <c r="E68" s="33">
        <v>0.19600000000000001</v>
      </c>
      <c r="F68" s="12"/>
      <c r="G68" s="12"/>
      <c r="H68" s="12">
        <f>B57*B68*C68*E68</f>
        <v>0.16010519292564895</v>
      </c>
      <c r="I68" s="12"/>
    </row>
    <row r="69" spans="1:9" ht="15" thickBot="1">
      <c r="A69" s="29" t="s">
        <v>188</v>
      </c>
      <c r="B69" s="30"/>
      <c r="C69" s="47"/>
      <c r="D69" s="30"/>
      <c r="E69" s="47"/>
      <c r="F69" s="30"/>
      <c r="G69" s="30"/>
      <c r="H69" s="31">
        <f>SUM(H59:H68)</f>
        <v>0.39182923842352252</v>
      </c>
      <c r="I69" s="30">
        <f>H69/H94</f>
        <v>0.15460153028399823</v>
      </c>
    </row>
    <row r="70" spans="1:9" ht="16.95" customHeight="1" thickBot="1">
      <c r="A70" s="180" t="s">
        <v>185</v>
      </c>
      <c r="B70" s="195"/>
      <c r="C70" s="195"/>
      <c r="D70" s="195"/>
      <c r="E70" s="195"/>
      <c r="F70" s="195"/>
      <c r="G70" s="195"/>
      <c r="H70" s="195"/>
      <c r="I70" s="196"/>
    </row>
    <row r="71" spans="1:9" ht="43.8" thickBot="1">
      <c r="A71" s="5" t="s">
        <v>125</v>
      </c>
      <c r="B71" s="186">
        <v>3</v>
      </c>
      <c r="C71" s="187"/>
      <c r="D71" s="187"/>
      <c r="E71" s="187"/>
      <c r="F71" s="187"/>
      <c r="G71" s="187"/>
      <c r="H71" s="187"/>
      <c r="I71" s="188"/>
    </row>
    <row r="72" spans="1:9" ht="87" thickBot="1">
      <c r="A72" s="7" t="s">
        <v>2</v>
      </c>
      <c r="B72" s="8" t="s">
        <v>3</v>
      </c>
      <c r="C72" s="8" t="s">
        <v>4</v>
      </c>
      <c r="D72" s="44" t="s">
        <v>109</v>
      </c>
      <c r="E72" s="43" t="s">
        <v>110</v>
      </c>
      <c r="F72" s="44" t="s">
        <v>111</v>
      </c>
      <c r="G72" s="44" t="s">
        <v>112</v>
      </c>
      <c r="H72" s="8" t="s">
        <v>113</v>
      </c>
      <c r="I72" s="8" t="s">
        <v>8</v>
      </c>
    </row>
    <row r="73" spans="1:9">
      <c r="A73" s="9" t="s">
        <v>98</v>
      </c>
      <c r="B73" s="9">
        <v>5.8994287854668044E-3</v>
      </c>
      <c r="C73" s="48">
        <v>7.9000000000000001E-2</v>
      </c>
      <c r="D73" s="9" t="s">
        <v>114</v>
      </c>
      <c r="E73" s="48">
        <v>0.13</v>
      </c>
      <c r="F73" s="9"/>
      <c r="G73" s="9"/>
      <c r="H73" s="9">
        <f>B71*B73*C73*E73</f>
        <v>1.8176140088023226E-4</v>
      </c>
      <c r="I73" s="9"/>
    </row>
    <row r="74" spans="1:9">
      <c r="A74" s="12" t="s">
        <v>59</v>
      </c>
      <c r="B74" s="12">
        <v>1.7885569809907294E-2</v>
      </c>
      <c r="C74" s="33">
        <v>0.26900000000000002</v>
      </c>
      <c r="D74" s="12" t="s">
        <v>114</v>
      </c>
      <c r="E74" s="33">
        <v>0.16</v>
      </c>
      <c r="F74" s="12"/>
      <c r="G74" s="12"/>
      <c r="H74" s="12">
        <f>B71*B74*C74*E74</f>
        <v>2.3093847738552297E-3</v>
      </c>
      <c r="I74" s="12"/>
    </row>
    <row r="75" spans="1:9">
      <c r="A75" s="12" t="s">
        <v>126</v>
      </c>
      <c r="B75" s="12">
        <v>0.14842213690420453</v>
      </c>
      <c r="C75" s="33">
        <v>2.048</v>
      </c>
      <c r="D75" s="12" t="s">
        <v>114</v>
      </c>
      <c r="E75" s="33">
        <v>0.15</v>
      </c>
      <c r="F75" s="12"/>
      <c r="G75" s="12"/>
      <c r="H75" s="12">
        <f>B71*B75*C75*E75</f>
        <v>0.1367858413709149</v>
      </c>
      <c r="I75" s="12"/>
    </row>
    <row r="76" spans="1:9">
      <c r="A76" s="12" t="s">
        <v>61</v>
      </c>
      <c r="B76" s="12">
        <v>0.1637793800917689</v>
      </c>
      <c r="C76" s="33">
        <v>0.47</v>
      </c>
      <c r="D76" s="12" t="s">
        <v>114</v>
      </c>
      <c r="E76" s="33">
        <v>0.17</v>
      </c>
      <c r="F76" s="12"/>
      <c r="G76" s="12"/>
      <c r="H76" s="12">
        <f>B71*B76*C76*E76</f>
        <v>3.9257917407997001E-2</v>
      </c>
      <c r="I76" s="12"/>
    </row>
    <row r="77" spans="1:9">
      <c r="A77" s="12" t="s">
        <v>127</v>
      </c>
      <c r="B77" s="12">
        <v>4.3075194306583017E-3</v>
      </c>
      <c r="C77" s="33">
        <v>0.30175000000000002</v>
      </c>
      <c r="D77" s="12" t="s">
        <v>114</v>
      </c>
      <c r="E77" s="33">
        <v>0.13800000000000001</v>
      </c>
      <c r="F77" s="12"/>
      <c r="G77" s="12"/>
      <c r="H77" s="12">
        <f>B71*B77*C77*E77</f>
        <v>5.3811471111527313E-4</v>
      </c>
      <c r="I77" s="12"/>
    </row>
    <row r="78" spans="1:9">
      <c r="A78" s="12" t="s">
        <v>62</v>
      </c>
      <c r="B78" s="12">
        <v>0.65970596497799427</v>
      </c>
      <c r="C78" s="33">
        <v>0.45593939393939392</v>
      </c>
      <c r="D78" s="12" t="s">
        <v>114</v>
      </c>
      <c r="E78" s="33">
        <v>0.104</v>
      </c>
      <c r="F78" s="12"/>
      <c r="G78" s="12"/>
      <c r="H78" s="12">
        <f>B71*B78*C78*E78</f>
        <v>9.3845212609284162E-2</v>
      </c>
      <c r="I78" s="12"/>
    </row>
    <row r="79" spans="1:9" ht="15" thickBot="1">
      <c r="A79" s="29" t="s">
        <v>65</v>
      </c>
      <c r="B79" s="30">
        <f>SUM(B73:B78)</f>
        <v>1</v>
      </c>
      <c r="C79" s="47"/>
      <c r="D79" s="30"/>
      <c r="E79" s="47"/>
      <c r="F79" s="30"/>
      <c r="G79" s="30"/>
      <c r="H79" s="31">
        <f>SUM(H73:H78)</f>
        <v>0.27291823227404682</v>
      </c>
      <c r="I79" s="30">
        <f>H79/H94</f>
        <v>0.10768358308770437</v>
      </c>
    </row>
    <row r="80" spans="1:9" ht="16.95" customHeight="1" thickBot="1">
      <c r="A80" s="180" t="s">
        <v>186</v>
      </c>
      <c r="B80" s="195"/>
      <c r="C80" s="195"/>
      <c r="D80" s="195"/>
      <c r="E80" s="195"/>
      <c r="F80" s="195"/>
      <c r="G80" s="195"/>
      <c r="H80" s="195"/>
      <c r="I80" s="196"/>
    </row>
    <row r="81" spans="1:9" ht="43.8" thickBot="1">
      <c r="A81" s="5" t="s">
        <v>128</v>
      </c>
      <c r="B81" s="186">
        <v>5.5500000000000001E-2</v>
      </c>
      <c r="C81" s="187"/>
      <c r="D81" s="187"/>
      <c r="E81" s="187"/>
      <c r="F81" s="187"/>
      <c r="G81" s="187"/>
      <c r="H81" s="187"/>
      <c r="I81" s="188"/>
    </row>
    <row r="82" spans="1:9" ht="87" thickBot="1">
      <c r="A82" s="7" t="s">
        <v>2</v>
      </c>
      <c r="B82" s="8" t="s">
        <v>3</v>
      </c>
      <c r="C82" s="8" t="s">
        <v>4</v>
      </c>
      <c r="D82" s="44" t="s">
        <v>109</v>
      </c>
      <c r="E82" s="43" t="s">
        <v>110</v>
      </c>
      <c r="F82" s="44" t="s">
        <v>111</v>
      </c>
      <c r="G82" s="44" t="s">
        <v>112</v>
      </c>
      <c r="H82" s="8" t="s">
        <v>113</v>
      </c>
      <c r="I82" s="8" t="s">
        <v>8</v>
      </c>
    </row>
    <row r="83" spans="1:9">
      <c r="A83" s="9" t="s">
        <v>67</v>
      </c>
      <c r="B83" s="9">
        <v>2.2970903522205204E-2</v>
      </c>
      <c r="C83" s="48">
        <v>2.7290000000000001</v>
      </c>
      <c r="D83" s="12"/>
      <c r="E83" s="33"/>
      <c r="F83" s="12"/>
      <c r="G83" s="12"/>
      <c r="H83" s="9">
        <f>B81*B83*C83</f>
        <v>3.4791615620214391E-3</v>
      </c>
      <c r="I83" s="9"/>
    </row>
    <row r="84" spans="1:9">
      <c r="A84" s="12" t="s">
        <v>68</v>
      </c>
      <c r="B84" s="12">
        <v>1.5313935681470136E-3</v>
      </c>
      <c r="C84" s="33">
        <v>4.6559999999999997</v>
      </c>
      <c r="D84" s="12"/>
      <c r="E84" s="33"/>
      <c r="F84" s="12"/>
      <c r="G84" s="12"/>
      <c r="H84" s="12">
        <f>B81*B84*C84</f>
        <v>3.9572434915773345E-4</v>
      </c>
      <c r="I84" s="12"/>
    </row>
    <row r="85" spans="1:9">
      <c r="A85" s="12" t="s">
        <v>69</v>
      </c>
      <c r="B85" s="12">
        <v>0.12098009188361407</v>
      </c>
      <c r="C85" s="33">
        <v>1.1990000000000001</v>
      </c>
      <c r="D85" s="12"/>
      <c r="E85" s="33"/>
      <c r="F85" s="12"/>
      <c r="G85" s="12"/>
      <c r="H85" s="12">
        <f>B81*B85*C85</f>
        <v>8.0505597243491576E-3</v>
      </c>
      <c r="I85" s="12"/>
    </row>
    <row r="86" spans="1:9">
      <c r="A86" s="12" t="s">
        <v>70</v>
      </c>
      <c r="B86" s="12">
        <v>2.6033690658499233E-2</v>
      </c>
      <c r="C86" s="33">
        <v>3.206</v>
      </c>
      <c r="D86" s="12"/>
      <c r="E86" s="33"/>
      <c r="F86" s="12"/>
      <c r="G86" s="12"/>
      <c r="H86" s="12">
        <f>B81*B86*C86</f>
        <v>4.6322526799387441E-3</v>
      </c>
      <c r="I86" s="12"/>
    </row>
    <row r="87" spans="1:9">
      <c r="A87" s="12" t="s">
        <v>71</v>
      </c>
      <c r="B87" s="12">
        <v>0.5267993874425726</v>
      </c>
      <c r="C87" s="33">
        <v>7.2210000000000001</v>
      </c>
      <c r="D87" s="12"/>
      <c r="E87" s="33"/>
      <c r="F87" s="12"/>
      <c r="G87" s="12"/>
      <c r="H87" s="12">
        <f>B81*B87*C87</f>
        <v>0.21112301990811633</v>
      </c>
      <c r="I87" s="12"/>
    </row>
    <row r="88" spans="1:9">
      <c r="A88" s="12" t="s">
        <v>103</v>
      </c>
      <c r="B88" s="12">
        <v>2.29709035222052E-3</v>
      </c>
      <c r="C88" s="33">
        <v>2.3340000000000001</v>
      </c>
      <c r="D88" s="12"/>
      <c r="E88" s="73"/>
      <c r="F88" s="12"/>
      <c r="G88" s="12"/>
      <c r="H88" s="12">
        <f>B81*B88*C88</f>
        <v>2.9755819295558951E-4</v>
      </c>
      <c r="I88" s="12"/>
    </row>
    <row r="89" spans="1:9">
      <c r="A89" s="12" t="s">
        <v>74</v>
      </c>
      <c r="B89" s="12">
        <v>5.5895865237365991E-2</v>
      </c>
      <c r="C89" s="33">
        <v>0.80700000000000005</v>
      </c>
      <c r="D89" s="12"/>
      <c r="E89" s="33"/>
      <c r="F89" s="12"/>
      <c r="G89" s="12"/>
      <c r="H89" s="12">
        <f>B81*B89*C89</f>
        <v>2.5034919601837667E-3</v>
      </c>
      <c r="I89" s="12"/>
    </row>
    <row r="90" spans="1:9">
      <c r="A90" s="12" t="s">
        <v>75</v>
      </c>
      <c r="B90" s="12">
        <v>0.1577335375191424</v>
      </c>
      <c r="C90" s="33">
        <v>2.6459999999999999</v>
      </c>
      <c r="D90" s="12"/>
      <c r="E90" s="33"/>
      <c r="F90" s="12"/>
      <c r="G90" s="12"/>
      <c r="H90" s="12">
        <f>B81*B90*C90</f>
        <v>2.3163643185298618E-2</v>
      </c>
      <c r="I90" s="12"/>
    </row>
    <row r="91" spans="1:9">
      <c r="A91" s="12" t="s">
        <v>76</v>
      </c>
      <c r="B91" s="12">
        <v>8.575803981623277E-2</v>
      </c>
      <c r="C91" s="33">
        <v>2.313333333333333</v>
      </c>
      <c r="D91" s="12"/>
      <c r="E91" s="33"/>
      <c r="F91" s="12"/>
      <c r="G91" s="12"/>
      <c r="H91" s="12">
        <f>B81*B91*C91</f>
        <v>1.1010474732006123E-2</v>
      </c>
      <c r="I91" s="12"/>
    </row>
    <row r="92" spans="1:9" ht="15" thickBot="1">
      <c r="A92" s="29" t="s">
        <v>161</v>
      </c>
      <c r="B92" s="30"/>
      <c r="C92" s="47"/>
      <c r="D92" s="30"/>
      <c r="E92" s="47"/>
      <c r="F92" s="30"/>
      <c r="G92" s="30"/>
      <c r="H92" s="31">
        <f>SUM(H83:H91)</f>
        <v>0.26465588629402748</v>
      </c>
      <c r="I92" s="30">
        <f>H92/H94</f>
        <v>0.10442356263240046</v>
      </c>
    </row>
    <row r="93" spans="1:9">
      <c r="A93" s="197" t="s">
        <v>23</v>
      </c>
      <c r="B93" s="198"/>
      <c r="C93" s="198"/>
      <c r="D93" s="198"/>
      <c r="E93" s="198"/>
      <c r="F93" s="198"/>
      <c r="G93" s="198"/>
      <c r="H93" s="198"/>
      <c r="I93" s="199"/>
    </row>
    <row r="94" spans="1:9">
      <c r="A94" s="13" t="s">
        <v>132</v>
      </c>
      <c r="B94" s="12"/>
      <c r="C94" s="33"/>
      <c r="D94" s="12"/>
      <c r="E94" s="33"/>
      <c r="F94" s="12"/>
      <c r="G94" s="12"/>
      <c r="H94" s="45">
        <f>SUM(H9,H34,H55,H69,H79,H92,H43)</f>
        <v>2.5344460543420517</v>
      </c>
      <c r="I94" s="12"/>
    </row>
  </sheetData>
  <mergeCells count="14">
    <mergeCell ref="A93:I93"/>
    <mergeCell ref="B37:I37"/>
    <mergeCell ref="B81:I81"/>
    <mergeCell ref="B71:I71"/>
    <mergeCell ref="A2:I2"/>
    <mergeCell ref="B10:I10"/>
    <mergeCell ref="B3:I3"/>
    <mergeCell ref="A44:I44"/>
    <mergeCell ref="B45:I45"/>
    <mergeCell ref="A36:I36"/>
    <mergeCell ref="A56:I56"/>
    <mergeCell ref="B57:I57"/>
    <mergeCell ref="A70:I70"/>
    <mergeCell ref="A80:I80"/>
  </mergeCells>
  <pageMargins left="0.75" right="0.75" top="1" bottom="1" header="0.5" footer="0.5"/>
  <pageSetup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A89B8-48F7-AB41-9AE0-2E31FC579C07}">
  <dimension ref="A1:H115"/>
  <sheetViews>
    <sheetView topLeftCell="A98" workbookViewId="0">
      <selection activeCell="J9" sqref="J9"/>
    </sheetView>
  </sheetViews>
  <sheetFormatPr defaultColWidth="8.796875" defaultRowHeight="14.4"/>
  <cols>
    <col min="1" max="1" width="26.69921875" style="104" customWidth="1"/>
    <col min="2" max="2" width="18" style="104" customWidth="1"/>
    <col min="3" max="3" width="21.19921875" style="104" customWidth="1"/>
    <col min="4" max="4" width="19.19921875" style="104" customWidth="1"/>
    <col min="5" max="5" width="16.296875" style="104" customWidth="1"/>
    <col min="6" max="6" width="26.5" style="104" customWidth="1"/>
    <col min="7" max="7" width="16.5" style="104" customWidth="1"/>
    <col min="8" max="8" width="13" style="104" customWidth="1"/>
    <col min="9" max="16384" width="8.796875" style="104"/>
  </cols>
  <sheetData>
    <row r="1" spans="1:8" ht="15" thickBot="1">
      <c r="A1" s="1" t="s">
        <v>0</v>
      </c>
      <c r="B1" s="2"/>
      <c r="C1" s="2"/>
      <c r="D1" s="2"/>
      <c r="E1" s="2"/>
      <c r="F1" s="3"/>
      <c r="G1" s="2"/>
      <c r="H1" s="2"/>
    </row>
    <row r="2" spans="1:8" ht="15" thickBot="1">
      <c r="A2" s="180" t="s">
        <v>182</v>
      </c>
      <c r="B2" s="181"/>
      <c r="C2" s="181"/>
      <c r="D2" s="181"/>
      <c r="E2" s="181"/>
      <c r="F2" s="181"/>
      <c r="G2" s="181"/>
      <c r="H2" s="182"/>
    </row>
    <row r="3" spans="1:8" ht="29.4" thickBot="1">
      <c r="A3" s="5" t="s">
        <v>219</v>
      </c>
      <c r="B3" s="3">
        <v>2.5000000000000001E-2</v>
      </c>
      <c r="C3" s="3"/>
      <c r="D3" s="3"/>
      <c r="E3" s="3"/>
      <c r="F3" s="3"/>
      <c r="G3" s="3"/>
      <c r="H3" s="3"/>
    </row>
    <row r="4" spans="1:8" ht="58.2" thickBot="1">
      <c r="A4" s="7" t="s">
        <v>2</v>
      </c>
      <c r="B4" s="8" t="s">
        <v>3</v>
      </c>
      <c r="C4" s="7" t="s">
        <v>4</v>
      </c>
      <c r="D4" s="7" t="s">
        <v>5</v>
      </c>
      <c r="E4" s="7" t="s">
        <v>6</v>
      </c>
      <c r="F4" s="8" t="s">
        <v>91</v>
      </c>
      <c r="G4" s="8" t="s">
        <v>8</v>
      </c>
      <c r="H4" s="43" t="s">
        <v>220</v>
      </c>
    </row>
    <row r="5" spans="1:8">
      <c r="A5" s="9" t="s">
        <v>117</v>
      </c>
      <c r="B5" s="48">
        <v>0.21725423768688759</v>
      </c>
      <c r="C5" s="9">
        <v>0.374</v>
      </c>
      <c r="D5" s="10"/>
      <c r="E5" s="10"/>
      <c r="F5" s="48">
        <f>B3*B5*C5</f>
        <v>2.031327122372399E-3</v>
      </c>
      <c r="G5" s="50"/>
      <c r="H5" s="9"/>
    </row>
    <row r="6" spans="1:8">
      <c r="A6" s="12" t="s">
        <v>118</v>
      </c>
      <c r="B6" s="33">
        <v>0.78274576231311244</v>
      </c>
      <c r="C6" s="12">
        <v>2.1149090909090908</v>
      </c>
      <c r="D6" s="13"/>
      <c r="E6" s="13"/>
      <c r="F6" s="33">
        <f>B3*B6*C6</f>
        <v>4.1385903214664198E-2</v>
      </c>
      <c r="G6" s="51"/>
      <c r="H6" s="12"/>
    </row>
    <row r="7" spans="1:8" ht="15" thickBot="1">
      <c r="A7" s="15" t="s">
        <v>23</v>
      </c>
      <c r="B7" s="170"/>
      <c r="C7" s="15"/>
      <c r="D7" s="15"/>
      <c r="E7" s="15"/>
      <c r="F7" s="89">
        <f>SUM(F5:F6)</f>
        <v>4.3417230337036594E-2</v>
      </c>
      <c r="G7" s="170">
        <f>F7/F115</f>
        <v>1.4783645423751691E-2</v>
      </c>
      <c r="H7" s="17">
        <f>F7*2000/2053</f>
        <v>4.2296376363406323E-2</v>
      </c>
    </row>
    <row r="8" spans="1:8" ht="30" thickTop="1" thickBot="1">
      <c r="A8" s="5" t="s">
        <v>221</v>
      </c>
      <c r="B8" s="3">
        <f>100/7/1000</f>
        <v>1.4285714285714287E-2</v>
      </c>
      <c r="C8" s="3"/>
      <c r="D8" s="3"/>
      <c r="E8" s="3"/>
      <c r="F8" s="3"/>
      <c r="G8" s="3"/>
      <c r="H8" s="26"/>
    </row>
    <row r="9" spans="1:8" ht="58.2" thickBot="1">
      <c r="A9" s="7" t="s">
        <v>2</v>
      </c>
      <c r="B9" s="8" t="s">
        <v>3</v>
      </c>
      <c r="C9" s="7" t="s">
        <v>4</v>
      </c>
      <c r="D9" s="7" t="s">
        <v>5</v>
      </c>
      <c r="E9" s="7" t="s">
        <v>6</v>
      </c>
      <c r="F9" s="8" t="s">
        <v>91</v>
      </c>
      <c r="G9" s="8" t="s">
        <v>8</v>
      </c>
      <c r="H9" s="43" t="s">
        <v>220</v>
      </c>
    </row>
    <row r="10" spans="1:8">
      <c r="A10" s="9" t="s">
        <v>27</v>
      </c>
      <c r="B10" s="48">
        <v>0.38354913470481006</v>
      </c>
      <c r="C10" s="9">
        <v>4.8252668759459452</v>
      </c>
      <c r="D10" s="9" t="s">
        <v>11</v>
      </c>
      <c r="E10" s="9">
        <v>1.2749999999999999</v>
      </c>
      <c r="F10" s="48">
        <f>B8*B10*C10*E10</f>
        <v>3.3709669173011186E-2</v>
      </c>
      <c r="G10" s="50"/>
      <c r="H10" s="9"/>
    </row>
    <row r="11" spans="1:8">
      <c r="A11" s="12" t="s">
        <v>28</v>
      </c>
      <c r="B11" s="33">
        <v>0.1715664349236016</v>
      </c>
      <c r="C11" s="12">
        <v>4.8285502525925947</v>
      </c>
      <c r="D11" s="12" t="s">
        <v>11</v>
      </c>
      <c r="E11" s="12">
        <v>1.25</v>
      </c>
      <c r="F11" s="33">
        <f>B8*B11*C11*E11</f>
        <v>1.4793163440835134E-2</v>
      </c>
      <c r="G11" s="51"/>
      <c r="H11" s="12"/>
    </row>
    <row r="12" spans="1:8">
      <c r="A12" s="12" t="s">
        <v>120</v>
      </c>
      <c r="B12" s="33">
        <v>5.204099969546279E-4</v>
      </c>
      <c r="C12" s="12">
        <v>3.6740210518316871</v>
      </c>
      <c r="D12" s="12" t="s">
        <v>11</v>
      </c>
      <c r="E12" s="12">
        <v>1.2549999999999999</v>
      </c>
      <c r="F12" s="33">
        <f>B8*B12*C12*E12</f>
        <v>3.4279379884509769E-5</v>
      </c>
      <c r="G12" s="51"/>
      <c r="H12" s="12"/>
    </row>
    <row r="13" spans="1:8">
      <c r="A13" s="12" t="s">
        <v>30</v>
      </c>
      <c r="B13" s="33">
        <v>0.30339902822454806</v>
      </c>
      <c r="C13" s="12">
        <v>1.368246026956522</v>
      </c>
      <c r="D13" s="12" t="s">
        <v>11</v>
      </c>
      <c r="E13" s="12">
        <v>1.2549999999999999</v>
      </c>
      <c r="F13" s="33">
        <f>B8*B13*C13*E13</f>
        <v>7.4425895180448287E-3</v>
      </c>
      <c r="G13" s="51"/>
      <c r="H13" s="12"/>
    </row>
    <row r="14" spans="1:8">
      <c r="A14" s="12" t="s">
        <v>121</v>
      </c>
      <c r="B14" s="33">
        <v>2.011592802228419E-2</v>
      </c>
      <c r="C14" s="12">
        <v>3.1429999999999998</v>
      </c>
      <c r="D14" s="12" t="s">
        <v>11</v>
      </c>
      <c r="E14" s="12">
        <v>1.25</v>
      </c>
      <c r="F14" s="33">
        <f>B8*B14*C14*E14</f>
        <v>1.1290064602507003E-3</v>
      </c>
      <c r="G14" s="51"/>
      <c r="H14" s="12"/>
    </row>
    <row r="15" spans="1:8">
      <c r="A15" s="12" t="s">
        <v>32</v>
      </c>
      <c r="B15" s="33">
        <v>0.1208490641278015</v>
      </c>
      <c r="C15" s="12">
        <v>30.658000000000001</v>
      </c>
      <c r="D15" s="12" t="s">
        <v>11</v>
      </c>
      <c r="E15" s="12">
        <v>1.28</v>
      </c>
      <c r="F15" s="33">
        <f>B8*B15*C15*E15</f>
        <v>6.7748399689693969E-2</v>
      </c>
      <c r="G15" s="51"/>
      <c r="H15" s="12"/>
    </row>
    <row r="16" spans="1:8" ht="15" thickBot="1">
      <c r="A16" s="15" t="s">
        <v>23</v>
      </c>
      <c r="B16" s="170"/>
      <c r="C16" s="15"/>
      <c r="D16" s="15"/>
      <c r="E16" s="15"/>
      <c r="F16" s="89">
        <f>SUM(F10:F15)</f>
        <v>0.12485710766172033</v>
      </c>
      <c r="G16" s="170">
        <f>F16/F115</f>
        <v>4.2514070887923215E-2</v>
      </c>
      <c r="H16" s="17">
        <f>F16*2000/2053</f>
        <v>0.12163381165291799</v>
      </c>
    </row>
    <row r="17" spans="1:8" ht="30" thickTop="1" thickBot="1">
      <c r="A17" s="5" t="s">
        <v>222</v>
      </c>
      <c r="B17" s="3">
        <f>150/7/1000</f>
        <v>2.1428571428571429E-2</v>
      </c>
      <c r="C17" s="3"/>
      <c r="D17" s="3"/>
      <c r="E17" s="3"/>
      <c r="F17" s="3"/>
      <c r="G17" s="3"/>
      <c r="H17" s="3"/>
    </row>
    <row r="18" spans="1:8" ht="58.2" thickBot="1">
      <c r="A18" s="7" t="s">
        <v>2</v>
      </c>
      <c r="B18" s="8" t="s">
        <v>3</v>
      </c>
      <c r="C18" s="7" t="s">
        <v>4</v>
      </c>
      <c r="D18" s="7" t="s">
        <v>5</v>
      </c>
      <c r="E18" s="7" t="s">
        <v>6</v>
      </c>
      <c r="F18" s="8" t="s">
        <v>91</v>
      </c>
      <c r="G18" s="8" t="s">
        <v>8</v>
      </c>
      <c r="H18" s="43" t="s">
        <v>220</v>
      </c>
    </row>
    <row r="19" spans="1:8">
      <c r="A19" s="9" t="s">
        <v>55</v>
      </c>
      <c r="B19" s="48">
        <v>0.26886690133750907</v>
      </c>
      <c r="C19" s="9">
        <v>0.308</v>
      </c>
      <c r="D19" s="9" t="s">
        <v>11</v>
      </c>
      <c r="E19" s="9">
        <v>0.38844105721218408</v>
      </c>
      <c r="F19" s="48">
        <f>B17*B19*C19*E19</f>
        <v>6.8929702647237958E-4</v>
      </c>
      <c r="G19" s="50"/>
      <c r="H19" s="9"/>
    </row>
    <row r="20" spans="1:8">
      <c r="A20" s="12" t="s">
        <v>56</v>
      </c>
      <c r="B20" s="33">
        <v>0.27219996209789149</v>
      </c>
      <c r="C20" s="12">
        <v>0.61699999999999999</v>
      </c>
      <c r="D20" s="12" t="s">
        <v>11</v>
      </c>
      <c r="E20" s="12">
        <v>0.95238095238095233</v>
      </c>
      <c r="F20" s="33">
        <f>B17*B20*C20*E20</f>
        <v>3.4274974819265107E-3</v>
      </c>
      <c r="G20" s="51"/>
      <c r="H20" s="12"/>
    </row>
    <row r="21" spans="1:8">
      <c r="A21" s="12" t="s">
        <v>93</v>
      </c>
      <c r="B21" s="33">
        <v>0.36923676810186562</v>
      </c>
      <c r="C21" s="12">
        <v>1.2118571428571427</v>
      </c>
      <c r="D21" s="12" t="s">
        <v>11</v>
      </c>
      <c r="E21" s="12">
        <v>0.34767265230879446</v>
      </c>
      <c r="F21" s="33">
        <f>B17*B21*C21*E21</f>
        <v>3.333650893667584E-3</v>
      </c>
      <c r="G21" s="51"/>
      <c r="H21" s="12"/>
    </row>
    <row r="22" spans="1:8">
      <c r="A22" s="12" t="s">
        <v>58</v>
      </c>
      <c r="B22" s="33">
        <v>8.9696368462733767E-2</v>
      </c>
      <c r="C22" s="12">
        <v>1.1539999999999999</v>
      </c>
      <c r="D22" s="12" t="s">
        <v>11</v>
      </c>
      <c r="E22" s="12">
        <v>0.38535645472061658</v>
      </c>
      <c r="F22" s="33">
        <f>B17*B22*C22*E22</f>
        <v>8.5474491499582797E-4</v>
      </c>
      <c r="G22" s="51"/>
      <c r="H22" s="12"/>
    </row>
    <row r="23" spans="1:8" ht="15" thickBot="1">
      <c r="A23" s="15" t="s">
        <v>23</v>
      </c>
      <c r="B23" s="170"/>
      <c r="C23" s="15"/>
      <c r="D23" s="15"/>
      <c r="E23" s="15"/>
      <c r="F23" s="89">
        <f>SUM(F19:F22)</f>
        <v>8.3051903170623022E-3</v>
      </c>
      <c r="G23" s="170">
        <f>F23/F115</f>
        <v>2.8279323179094635E-3</v>
      </c>
      <c r="H23" s="17">
        <f>F23*2000/2053</f>
        <v>8.0907845270943024E-3</v>
      </c>
    </row>
    <row r="24" spans="1:8" ht="30" thickTop="1" thickBot="1">
      <c r="A24" s="5" t="s">
        <v>223</v>
      </c>
      <c r="B24" s="3">
        <f>300/7/1000</f>
        <v>4.2857142857142858E-2</v>
      </c>
      <c r="C24" s="3"/>
      <c r="D24" s="3"/>
      <c r="E24" s="3"/>
      <c r="F24" s="3"/>
      <c r="G24" s="3"/>
      <c r="H24" s="3"/>
    </row>
    <row r="25" spans="1:8" ht="58.2" thickBot="1">
      <c r="A25" s="7" t="s">
        <v>2</v>
      </c>
      <c r="B25" s="8" t="s">
        <v>3</v>
      </c>
      <c r="C25" s="7" t="s">
        <v>4</v>
      </c>
      <c r="D25" s="7" t="s">
        <v>5</v>
      </c>
      <c r="E25" s="7" t="s">
        <v>6</v>
      </c>
      <c r="F25" s="8" t="s">
        <v>91</v>
      </c>
      <c r="G25" s="8" t="s">
        <v>8</v>
      </c>
      <c r="H25" s="43" t="s">
        <v>220</v>
      </c>
    </row>
    <row r="26" spans="1:8">
      <c r="A26" s="9" t="s">
        <v>12</v>
      </c>
      <c r="B26" s="33">
        <v>0.58212331639710979</v>
      </c>
      <c r="C26" s="12">
        <v>5.56</v>
      </c>
      <c r="D26" s="12" t="s">
        <v>11</v>
      </c>
      <c r="E26" s="12">
        <v>1.335</v>
      </c>
      <c r="F26" s="33">
        <f>B24*B26*C26*E26</f>
        <v>0.18518007978382228</v>
      </c>
      <c r="G26" s="51"/>
      <c r="H26" s="9"/>
    </row>
    <row r="27" spans="1:8">
      <c r="A27" s="12" t="s">
        <v>13</v>
      </c>
      <c r="B27" s="33">
        <v>1.5768876962446807E-2</v>
      </c>
      <c r="C27" s="12">
        <v>34.744999999999997</v>
      </c>
      <c r="D27" s="12" t="s">
        <v>11</v>
      </c>
      <c r="E27" s="12">
        <v>1.1499999999999999</v>
      </c>
      <c r="F27" s="33">
        <f>B24*B27*C27*E27</f>
        <v>2.7003131767253417E-2</v>
      </c>
      <c r="G27" s="51"/>
      <c r="H27" s="12"/>
    </row>
    <row r="28" spans="1:8">
      <c r="A28" s="12" t="s">
        <v>14</v>
      </c>
      <c r="B28" s="33">
        <v>0.27533632745532399</v>
      </c>
      <c r="C28" s="12">
        <v>32.845999999999997</v>
      </c>
      <c r="D28" s="12" t="s">
        <v>11</v>
      </c>
      <c r="E28" s="12">
        <v>1.2549999999999999</v>
      </c>
      <c r="F28" s="33">
        <f>B24*B28*C28*E28</f>
        <v>0.48642170355235503</v>
      </c>
      <c r="G28" s="51"/>
      <c r="H28" s="12"/>
    </row>
    <row r="29" spans="1:8">
      <c r="A29" s="12" t="s">
        <v>16</v>
      </c>
      <c r="B29" s="33">
        <v>7.8384044885727214E-2</v>
      </c>
      <c r="C29" s="12">
        <v>5.56</v>
      </c>
      <c r="D29" s="12" t="s">
        <v>11</v>
      </c>
      <c r="E29" s="12">
        <v>1.335</v>
      </c>
      <c r="F29" s="33">
        <f>B24*B29*C29*E29</f>
        <v>2.493486049580566E-2</v>
      </c>
      <c r="G29" s="51"/>
      <c r="H29" s="12"/>
    </row>
    <row r="30" spans="1:8">
      <c r="A30" s="12" t="s">
        <v>17</v>
      </c>
      <c r="B30" s="33">
        <v>2.1233101729578431E-3</v>
      </c>
      <c r="C30" s="12">
        <v>34.744999999999997</v>
      </c>
      <c r="D30" s="12" t="s">
        <v>11</v>
      </c>
      <c r="E30" s="12">
        <v>1.1499999999999999</v>
      </c>
      <c r="F30" s="33">
        <f>B24*B30*C30*E30</f>
        <v>3.6360245894285696E-3</v>
      </c>
      <c r="G30" s="51"/>
      <c r="H30" s="12"/>
    </row>
    <row r="31" spans="1:8">
      <c r="A31" s="12" t="s">
        <v>18</v>
      </c>
      <c r="B31" s="33">
        <v>3.7074575853626737E-2</v>
      </c>
      <c r="C31" s="12">
        <v>32.845999999999997</v>
      </c>
      <c r="D31" s="12" t="s">
        <v>11</v>
      </c>
      <c r="E31" s="12">
        <v>1.2549999999999999</v>
      </c>
      <c r="F31" s="33">
        <f>B24*B31*C31*E31</f>
        <v>6.5497635244402316E-2</v>
      </c>
      <c r="G31" s="51"/>
      <c r="H31" s="12"/>
    </row>
    <row r="32" spans="1:8">
      <c r="A32" s="12" t="s">
        <v>20</v>
      </c>
      <c r="B32" s="33">
        <v>6.1260600051933692E-3</v>
      </c>
      <c r="C32" s="12">
        <v>5.56</v>
      </c>
      <c r="D32" s="12" t="s">
        <v>11</v>
      </c>
      <c r="E32" s="12">
        <v>1.335</v>
      </c>
      <c r="F32" s="33">
        <f>B24*B32*C32*E32</f>
        <v>1.9487696997663557E-3</v>
      </c>
      <c r="G32" s="51"/>
      <c r="H32" s="12"/>
    </row>
    <row r="33" spans="1:8">
      <c r="A33" s="12" t="s">
        <v>21</v>
      </c>
      <c r="B33" s="33">
        <v>1.6594608696374855E-4</v>
      </c>
      <c r="C33" s="12">
        <v>34.744999999999997</v>
      </c>
      <c r="D33" s="12" t="s">
        <v>11</v>
      </c>
      <c r="E33" s="12">
        <v>1.1499999999999999</v>
      </c>
      <c r="F33" s="33">
        <f>B24*B33*C33*E33</f>
        <v>2.8417141329808965E-4</v>
      </c>
      <c r="G33" s="51"/>
      <c r="H33" s="12"/>
    </row>
    <row r="34" spans="1:8">
      <c r="A34" s="12" t="s">
        <v>22</v>
      </c>
      <c r="B34" s="33">
        <v>2.8975421806506771E-3</v>
      </c>
      <c r="C34" s="12">
        <v>32.845999999999997</v>
      </c>
      <c r="D34" s="12" t="s">
        <v>11</v>
      </c>
      <c r="E34" s="12">
        <v>1.2549999999999999</v>
      </c>
      <c r="F34" s="33">
        <f>B24*B34*C34*E34</f>
        <v>5.1189300614740037E-3</v>
      </c>
      <c r="G34" s="51"/>
      <c r="H34" s="12"/>
    </row>
    <row r="35" spans="1:8" ht="15" thickBot="1">
      <c r="A35" s="15" t="s">
        <v>23</v>
      </c>
      <c r="B35" s="170"/>
      <c r="C35" s="15"/>
      <c r="D35" s="15"/>
      <c r="E35" s="15"/>
      <c r="F35" s="89">
        <f>SUM(F26:F34)</f>
        <v>0.80002530660760562</v>
      </c>
      <c r="G35" s="170">
        <f>F35/F115</f>
        <v>0.27241006326527312</v>
      </c>
      <c r="H35" s="17">
        <f>F35*2000/2053</f>
        <v>0.77937194993434555</v>
      </c>
    </row>
    <row r="36" spans="1:8" ht="30" thickTop="1" thickBot="1">
      <c r="A36" s="5" t="s">
        <v>224</v>
      </c>
      <c r="B36" s="3">
        <f>200/7/1000</f>
        <v>2.8571428571428574E-2</v>
      </c>
      <c r="C36" s="3"/>
      <c r="D36" s="3"/>
      <c r="E36" s="3"/>
      <c r="F36" s="3"/>
      <c r="G36" s="3"/>
      <c r="H36" s="3"/>
    </row>
    <row r="37" spans="1:8" ht="58.2" thickBot="1">
      <c r="A37" s="7" t="s">
        <v>2</v>
      </c>
      <c r="B37" s="8" t="s">
        <v>3</v>
      </c>
      <c r="C37" s="7" t="s">
        <v>4</v>
      </c>
      <c r="D37" s="7" t="s">
        <v>5</v>
      </c>
      <c r="E37" s="7" t="s">
        <v>6</v>
      </c>
      <c r="F37" s="8" t="s">
        <v>91</v>
      </c>
      <c r="G37" s="8" t="s">
        <v>8</v>
      </c>
      <c r="H37" s="43" t="s">
        <v>220</v>
      </c>
    </row>
    <row r="38" spans="1:8">
      <c r="A38" s="12" t="s">
        <v>10</v>
      </c>
      <c r="B38" s="33">
        <v>0.87322852081488034</v>
      </c>
      <c r="C38" s="12">
        <v>3.1966666666666668</v>
      </c>
      <c r="D38" s="12" t="s">
        <v>11</v>
      </c>
      <c r="E38" s="12">
        <v>1.17</v>
      </c>
      <c r="F38" s="33">
        <f>B36*B38*C38*E38</f>
        <v>9.3313199734278124E-2</v>
      </c>
      <c r="G38" s="51"/>
      <c r="H38" s="9"/>
    </row>
    <row r="39" spans="1:8">
      <c r="A39" s="12" t="s">
        <v>15</v>
      </c>
      <c r="B39" s="33">
        <v>0.11758193091231174</v>
      </c>
      <c r="C39" s="12">
        <v>3.1966666666666668</v>
      </c>
      <c r="D39" s="12" t="s">
        <v>11</v>
      </c>
      <c r="E39" s="12">
        <v>1.17</v>
      </c>
      <c r="F39" s="33">
        <f>B36*B39*C39*E39</f>
        <v>1.2564805137289633E-2</v>
      </c>
      <c r="G39" s="51"/>
      <c r="H39" s="12"/>
    </row>
    <row r="40" spans="1:8">
      <c r="A40" s="12" t="s">
        <v>19</v>
      </c>
      <c r="B40" s="33">
        <v>9.1895482728077925E-3</v>
      </c>
      <c r="C40" s="12">
        <v>3.1966666666666668</v>
      </c>
      <c r="D40" s="12" t="s">
        <v>11</v>
      </c>
      <c r="E40" s="12">
        <v>1.17</v>
      </c>
      <c r="F40" s="33">
        <f>B36*B40*C40*E40</f>
        <v>9.819951284322408E-4</v>
      </c>
      <c r="G40" s="51"/>
      <c r="H40" s="12"/>
    </row>
    <row r="41" spans="1:8" ht="15" thickBot="1">
      <c r="A41" s="15" t="s">
        <v>23</v>
      </c>
      <c r="B41" s="71"/>
      <c r="C41" s="16"/>
      <c r="D41" s="16"/>
      <c r="E41" s="16"/>
      <c r="F41" s="89">
        <f>SUM(F38:F40)</f>
        <v>0.10686</v>
      </c>
      <c r="G41" s="170">
        <f>F41/F115</f>
        <v>3.638602319214479E-2</v>
      </c>
      <c r="H41" s="17">
        <f>F41*2000/2053</f>
        <v>0.10410131514856308</v>
      </c>
    </row>
    <row r="42" spans="1:8" ht="30" thickTop="1" thickBot="1">
      <c r="A42" s="5" t="s">
        <v>225</v>
      </c>
      <c r="B42" s="3">
        <f>125/7/1000</f>
        <v>1.7857142857142856E-2</v>
      </c>
      <c r="C42" s="3"/>
      <c r="D42" s="3"/>
      <c r="E42" s="3"/>
      <c r="F42" s="3"/>
      <c r="G42" s="3"/>
      <c r="H42" s="3"/>
    </row>
    <row r="43" spans="1:8" ht="58.2" thickBot="1">
      <c r="A43" s="7" t="s">
        <v>2</v>
      </c>
      <c r="B43" s="8" t="s">
        <v>3</v>
      </c>
      <c r="C43" s="7" t="s">
        <v>4</v>
      </c>
      <c r="D43" s="7" t="s">
        <v>5</v>
      </c>
      <c r="E43" s="7" t="s">
        <v>6</v>
      </c>
      <c r="F43" s="8" t="s">
        <v>91</v>
      </c>
      <c r="G43" s="8" t="s">
        <v>8</v>
      </c>
      <c r="H43" s="43" t="s">
        <v>220</v>
      </c>
    </row>
    <row r="44" spans="1:8" ht="15" thickBot="1">
      <c r="A44" s="24" t="s">
        <v>25</v>
      </c>
      <c r="B44" s="24">
        <v>1</v>
      </c>
      <c r="C44" s="24">
        <v>3.754</v>
      </c>
      <c r="D44" s="74"/>
      <c r="E44" s="74"/>
      <c r="F44" s="34">
        <f>B42*B44*C44</f>
        <v>6.7035714285714282E-2</v>
      </c>
      <c r="G44" s="24">
        <f>F44/F115</f>
        <v>2.2825781908122698E-2</v>
      </c>
      <c r="H44" s="34">
        <f>F44*2000/2053</f>
        <v>6.5305128383550196E-2</v>
      </c>
    </row>
    <row r="45" spans="1:8" ht="15.6" thickTop="1" thickBot="1">
      <c r="A45" s="36" t="s">
        <v>33</v>
      </c>
      <c r="B45" s="3"/>
      <c r="C45" s="3"/>
      <c r="D45" s="3"/>
      <c r="E45" s="3"/>
      <c r="F45" s="37">
        <f>SUM(F7,F16,F23,F35,F41,F44)</f>
        <v>1.1505005492091391</v>
      </c>
      <c r="G45" s="3">
        <f>F45/F115</f>
        <v>0.39174751699512494</v>
      </c>
      <c r="H45" s="37">
        <f>F45*2000/2053</f>
        <v>1.1207993660098774</v>
      </c>
    </row>
    <row r="46" spans="1:8" ht="15" thickBot="1">
      <c r="A46" s="180" t="s">
        <v>189</v>
      </c>
      <c r="B46" s="181"/>
      <c r="C46" s="181"/>
      <c r="D46" s="181"/>
      <c r="E46" s="181"/>
      <c r="F46" s="181"/>
      <c r="G46" s="181"/>
      <c r="H46" s="182"/>
    </row>
    <row r="47" spans="1:8" ht="29.4" thickBot="1">
      <c r="A47" s="5" t="s">
        <v>162</v>
      </c>
      <c r="B47" s="3">
        <v>0.04</v>
      </c>
      <c r="C47" s="3"/>
      <c r="D47" s="3"/>
      <c r="E47" s="3"/>
      <c r="F47" s="3"/>
      <c r="G47" s="3"/>
      <c r="H47" s="6"/>
    </row>
    <row r="48" spans="1:8" ht="58.2" thickBot="1">
      <c r="A48" s="7" t="s">
        <v>2</v>
      </c>
      <c r="B48" s="8" t="s">
        <v>3</v>
      </c>
      <c r="C48" s="7" t="s">
        <v>4</v>
      </c>
      <c r="D48" s="7" t="s">
        <v>5</v>
      </c>
      <c r="E48" s="7" t="s">
        <v>6</v>
      </c>
      <c r="F48" s="8" t="s">
        <v>91</v>
      </c>
      <c r="G48" s="8" t="s">
        <v>8</v>
      </c>
      <c r="H48" s="43" t="s">
        <v>220</v>
      </c>
    </row>
    <row r="49" spans="1:8" ht="15" thickBot="1">
      <c r="A49" s="24" t="s">
        <v>80</v>
      </c>
      <c r="B49" s="56"/>
      <c r="C49" s="24">
        <v>8.4202700000000004</v>
      </c>
      <c r="D49" s="24"/>
      <c r="E49" s="24"/>
      <c r="F49" s="34">
        <f>B47*C49</f>
        <v>0.33681080000000002</v>
      </c>
      <c r="G49" s="24">
        <f>F49/F115</f>
        <v>0.11468468632009021</v>
      </c>
      <c r="H49" s="34">
        <f>F49*2000/2053</f>
        <v>0.32811573307355091</v>
      </c>
    </row>
    <row r="50" spans="1:8" ht="30" thickTop="1" thickBot="1">
      <c r="A50" s="5" t="s">
        <v>228</v>
      </c>
      <c r="B50" s="3">
        <v>0.375</v>
      </c>
      <c r="C50" s="3"/>
      <c r="D50" s="3"/>
      <c r="E50" s="3"/>
      <c r="F50" s="3"/>
      <c r="G50" s="3"/>
      <c r="H50" s="3"/>
    </row>
    <row r="51" spans="1:8" ht="58.2" thickBot="1">
      <c r="A51" s="7" t="s">
        <v>2</v>
      </c>
      <c r="B51" s="8" t="s">
        <v>3</v>
      </c>
      <c r="C51" s="7" t="s">
        <v>4</v>
      </c>
      <c r="D51" s="7" t="s">
        <v>5</v>
      </c>
      <c r="E51" s="7" t="s">
        <v>6</v>
      </c>
      <c r="F51" s="8" t="s">
        <v>91</v>
      </c>
      <c r="G51" s="8" t="s">
        <v>8</v>
      </c>
      <c r="H51" s="43" t="s">
        <v>220</v>
      </c>
    </row>
    <row r="52" spans="1:8">
      <c r="A52" s="9" t="s">
        <v>82</v>
      </c>
      <c r="B52" s="12">
        <v>0.98257057313943541</v>
      </c>
      <c r="C52" s="12">
        <v>1.3233105925925925</v>
      </c>
      <c r="D52" s="12"/>
      <c r="E52" s="12"/>
      <c r="F52" s="12">
        <f>B50*B52*C52</f>
        <v>0.48759226777694609</v>
      </c>
      <c r="G52" s="12"/>
      <c r="H52" s="9"/>
    </row>
    <row r="53" spans="1:8">
      <c r="A53" s="12" t="s">
        <v>83</v>
      </c>
      <c r="B53" s="12">
        <v>1.1334473909324209E-2</v>
      </c>
      <c r="C53" s="12">
        <v>14.077772261623325</v>
      </c>
      <c r="D53" s="12"/>
      <c r="E53" s="12"/>
      <c r="F53" s="12">
        <f>B50*B53*C53</f>
        <v>5.9836553400291613E-2</v>
      </c>
      <c r="G53" s="12"/>
      <c r="H53" s="12"/>
    </row>
    <row r="54" spans="1:8">
      <c r="A54" s="12" t="s">
        <v>84</v>
      </c>
      <c r="B54" s="12">
        <v>6.0949529512403762E-3</v>
      </c>
      <c r="C54" s="12">
        <v>10.734301349487785</v>
      </c>
      <c r="D54" s="12"/>
      <c r="E54" s="12"/>
      <c r="F54" s="12">
        <f>B50*B54*C54</f>
        <v>2.453439813358655E-2</v>
      </c>
      <c r="G54" s="12"/>
      <c r="H54" s="12"/>
    </row>
    <row r="55" spans="1:8" ht="15" thickBot="1">
      <c r="A55" s="15" t="s">
        <v>23</v>
      </c>
      <c r="B55" s="16"/>
      <c r="C55" s="16"/>
      <c r="D55" s="16"/>
      <c r="E55" s="16"/>
      <c r="F55" s="17">
        <f>SUM(F52:F54)</f>
        <v>0.57196321931082428</v>
      </c>
      <c r="G55" s="16">
        <f>F55/F115</f>
        <v>0.19475451022737644</v>
      </c>
      <c r="H55" s="17">
        <f>F55*2000/2053</f>
        <v>0.5571974859335842</v>
      </c>
    </row>
    <row r="56" spans="1:8" ht="15.6" thickTop="1" thickBot="1">
      <c r="A56" s="36" t="s">
        <v>229</v>
      </c>
      <c r="B56" s="3"/>
      <c r="C56" s="3"/>
      <c r="D56" s="3"/>
      <c r="E56" s="3"/>
      <c r="F56" s="37">
        <f>SUM(F49,F55)</f>
        <v>0.90877401931082424</v>
      </c>
      <c r="G56" s="3">
        <f>F56/F115</f>
        <v>0.30943919654746666</v>
      </c>
      <c r="H56" s="27">
        <f>F56*2000/2053</f>
        <v>0.88531321900713511</v>
      </c>
    </row>
    <row r="57" spans="1:8" ht="15" thickBot="1">
      <c r="A57" s="180" t="s">
        <v>183</v>
      </c>
      <c r="B57" s="195"/>
      <c r="C57" s="195"/>
      <c r="D57" s="195"/>
      <c r="E57" s="195"/>
      <c r="F57" s="195"/>
      <c r="G57" s="195"/>
      <c r="H57" s="196"/>
    </row>
    <row r="58" spans="1:8" ht="29.4" thickBot="1">
      <c r="A58" s="5" t="s">
        <v>160</v>
      </c>
      <c r="B58" s="3">
        <v>0.1575</v>
      </c>
      <c r="C58" s="3"/>
      <c r="D58" s="3"/>
      <c r="E58" s="3"/>
      <c r="F58" s="3"/>
      <c r="G58" s="3"/>
      <c r="H58" s="6"/>
    </row>
    <row r="59" spans="1:8" ht="58.2" thickBot="1">
      <c r="A59" s="7" t="s">
        <v>2</v>
      </c>
      <c r="B59" s="8" t="s">
        <v>3</v>
      </c>
      <c r="C59" s="7" t="s">
        <v>4</v>
      </c>
      <c r="D59" s="7" t="s">
        <v>5</v>
      </c>
      <c r="E59" s="7" t="s">
        <v>6</v>
      </c>
      <c r="F59" s="8" t="s">
        <v>91</v>
      </c>
      <c r="G59" s="8" t="s">
        <v>8</v>
      </c>
      <c r="H59" s="43" t="s">
        <v>220</v>
      </c>
    </row>
    <row r="60" spans="1:8">
      <c r="A60" s="9" t="s">
        <v>40</v>
      </c>
      <c r="B60" s="12">
        <v>0.11165970375996961</v>
      </c>
      <c r="C60" s="12">
        <v>0.38500000000000001</v>
      </c>
      <c r="D60" s="12" t="s">
        <v>11</v>
      </c>
      <c r="E60" s="12">
        <v>0.29667146320768484</v>
      </c>
      <c r="F60" s="12">
        <f>B58*B60*C60*E60</f>
        <v>2.008692844654486E-3</v>
      </c>
      <c r="G60" s="12"/>
      <c r="H60" s="9"/>
    </row>
    <row r="61" spans="1:8">
      <c r="A61" s="12" t="s">
        <v>41</v>
      </c>
      <c r="B61" s="12">
        <v>0.8883402962400303</v>
      </c>
      <c r="C61" s="12">
        <v>0.34699999999999998</v>
      </c>
      <c r="D61" s="12" t="s">
        <v>11</v>
      </c>
      <c r="E61" s="12">
        <v>0.29667146320768484</v>
      </c>
      <c r="F61" s="12">
        <f>B58*B61*C61*E61</f>
        <v>1.4403404890762913E-2</v>
      </c>
      <c r="G61" s="12"/>
      <c r="H61" s="12"/>
    </row>
    <row r="62" spans="1:8" ht="15" thickBot="1">
      <c r="A62" s="15" t="s">
        <v>23</v>
      </c>
      <c r="B62" s="16"/>
      <c r="C62" s="16"/>
      <c r="D62" s="16"/>
      <c r="E62" s="16"/>
      <c r="F62" s="17">
        <f>SUM(F60:F61)</f>
        <v>1.6412097735417398E-2</v>
      </c>
      <c r="G62" s="16">
        <f>F62/F115</f>
        <v>5.5883489503335618E-3</v>
      </c>
      <c r="H62" s="17">
        <f>F62*2000/2053</f>
        <v>1.5988405002842081E-2</v>
      </c>
    </row>
    <row r="63" spans="1:8" ht="44.4" thickTop="1" thickBot="1">
      <c r="A63" s="5" t="s">
        <v>226</v>
      </c>
      <c r="B63" s="3">
        <v>0.27</v>
      </c>
      <c r="C63" s="3"/>
      <c r="D63" s="3"/>
      <c r="E63" s="3"/>
      <c r="F63" s="3"/>
      <c r="G63" s="3"/>
      <c r="H63" s="3"/>
    </row>
    <row r="64" spans="1:8" ht="58.2" thickBot="1">
      <c r="A64" s="7" t="s">
        <v>2</v>
      </c>
      <c r="B64" s="8" t="s">
        <v>3</v>
      </c>
      <c r="C64" s="7" t="s">
        <v>4</v>
      </c>
      <c r="D64" s="7" t="s">
        <v>5</v>
      </c>
      <c r="E64" s="7" t="s">
        <v>6</v>
      </c>
      <c r="F64" s="8" t="s">
        <v>91</v>
      </c>
      <c r="G64" s="8" t="s">
        <v>8</v>
      </c>
      <c r="H64" s="43" t="s">
        <v>220</v>
      </c>
    </row>
    <row r="65" spans="1:8">
      <c r="A65" s="9" t="s">
        <v>35</v>
      </c>
      <c r="B65" s="12">
        <v>4.3150032979055328E-2</v>
      </c>
      <c r="C65" s="12">
        <v>0.39300000000000002</v>
      </c>
      <c r="D65" s="12" t="s">
        <v>11</v>
      </c>
      <c r="E65" s="12">
        <v>0.34965034965034963</v>
      </c>
      <c r="F65" s="12">
        <f>B63*B65*C65*E65</f>
        <v>1.6009265732194271E-3</v>
      </c>
      <c r="G65" s="12"/>
      <c r="H65" s="9"/>
    </row>
    <row r="66" spans="1:8">
      <c r="A66" s="12" t="s">
        <v>36</v>
      </c>
      <c r="B66" s="12">
        <v>7.0141908677638629E-2</v>
      </c>
      <c r="C66" s="12">
        <v>0.55000000000000004</v>
      </c>
      <c r="D66" s="12" t="s">
        <v>11</v>
      </c>
      <c r="E66" s="12">
        <v>0.29667146320768484</v>
      </c>
      <c r="F66" s="12">
        <f>B63*B66*C66*E66</f>
        <v>3.0901517479168666E-3</v>
      </c>
      <c r="G66" s="12"/>
      <c r="H66" s="12"/>
    </row>
    <row r="67" spans="1:8">
      <c r="A67" s="12" t="s">
        <v>38</v>
      </c>
      <c r="B67" s="12">
        <v>5.9897863668139859E-2</v>
      </c>
      <c r="C67" s="12">
        <v>0.47399999999999998</v>
      </c>
      <c r="D67" s="12" t="s">
        <v>11</v>
      </c>
      <c r="E67" s="12">
        <v>0.18726591760299627</v>
      </c>
      <c r="F67" s="12">
        <f>B63*B67*C67*E67</f>
        <v>1.4355296989229474E-3</v>
      </c>
      <c r="G67" s="12"/>
      <c r="H67" s="12"/>
    </row>
    <row r="68" spans="1:8">
      <c r="A68" s="12" t="s">
        <v>39</v>
      </c>
      <c r="B68" s="12">
        <v>6.9433747645058483E-2</v>
      </c>
      <c r="C68" s="12">
        <v>1.8580000000000001</v>
      </c>
      <c r="D68" s="12" t="s">
        <v>11</v>
      </c>
      <c r="E68" s="12">
        <v>0.33530417677236202</v>
      </c>
      <c r="F68" s="12">
        <f>B63*B68*C68*E68</f>
        <v>1.1679359963659748E-2</v>
      </c>
      <c r="G68" s="12"/>
      <c r="H68" s="12"/>
    </row>
    <row r="69" spans="1:8">
      <c r="A69" s="12" t="s">
        <v>42</v>
      </c>
      <c r="B69" s="12">
        <v>3.1521262604121005E-2</v>
      </c>
      <c r="C69" s="12">
        <v>0.75775000000000003</v>
      </c>
      <c r="D69" s="12" t="s">
        <v>11</v>
      </c>
      <c r="E69" s="12">
        <v>0.29667146320768484</v>
      </c>
      <c r="F69" s="12">
        <f>B63*B69*C69*E69</f>
        <v>1.9132383956954337E-3</v>
      </c>
      <c r="G69" s="12"/>
      <c r="H69" s="12"/>
    </row>
    <row r="70" spans="1:8">
      <c r="A70" s="12" t="s">
        <v>64</v>
      </c>
      <c r="B70" s="12">
        <v>0.71748205899893758</v>
      </c>
      <c r="C70" s="12">
        <v>0.217</v>
      </c>
      <c r="D70" s="12"/>
      <c r="E70" s="12"/>
      <c r="F70" s="12">
        <f>B63*B70*C70</f>
        <v>4.2037273836747754E-2</v>
      </c>
      <c r="G70" s="12"/>
      <c r="H70" s="12"/>
    </row>
    <row r="71" spans="1:8" ht="15.6">
      <c r="A71" s="110" t="s">
        <v>100</v>
      </c>
      <c r="B71" s="110">
        <v>7.1092574380605946E-3</v>
      </c>
      <c r="C71" s="110">
        <v>0.30199999999999999</v>
      </c>
      <c r="D71" s="178"/>
      <c r="E71" s="178"/>
      <c r="F71" s="178">
        <f>B63*B71*C71</f>
        <v>5.7968885149946097E-4</v>
      </c>
      <c r="G71" s="171"/>
      <c r="H71" s="171"/>
    </row>
    <row r="72" spans="1:8" ht="15.6">
      <c r="A72" s="110" t="s">
        <v>123</v>
      </c>
      <c r="B72" s="110">
        <v>1.2638679889885502E-3</v>
      </c>
      <c r="C72" s="110">
        <v>1.0209999999999999</v>
      </c>
      <c r="D72" s="178"/>
      <c r="E72" s="178"/>
      <c r="F72" s="178">
        <f>B63*B72*C72</f>
        <v>3.4841048852447359E-4</v>
      </c>
      <c r="G72" s="171"/>
      <c r="H72" s="171"/>
    </row>
    <row r="73" spans="1:8" ht="15" thickBot="1">
      <c r="A73" s="15" t="s">
        <v>23</v>
      </c>
      <c r="B73" s="16"/>
      <c r="C73" s="16"/>
      <c r="D73" s="16"/>
      <c r="E73" s="16"/>
      <c r="F73" s="17">
        <f>SUM(F65:F72)</f>
        <v>6.2684579556186115E-2</v>
      </c>
      <c r="G73" s="16">
        <f>F73/F115</f>
        <v>2.1344212666303885E-2</v>
      </c>
      <c r="H73" s="17">
        <f>F73*2000/2053</f>
        <v>6.1066322022587542E-2</v>
      </c>
    </row>
    <row r="74" spans="1:8" ht="15.6" thickTop="1" thickBot="1">
      <c r="A74" s="36" t="s">
        <v>232</v>
      </c>
      <c r="B74" s="3"/>
      <c r="C74" s="3"/>
      <c r="D74" s="3"/>
      <c r="E74" s="3"/>
      <c r="F74" s="37">
        <f>SUM(F73,F62)</f>
        <v>7.9096677291603509E-2</v>
      </c>
      <c r="G74" s="3">
        <f>F74/F115</f>
        <v>2.6932561616637443E-2</v>
      </c>
      <c r="H74" s="37">
        <f>F74*2000/2053</f>
        <v>7.7054727025429634E-2</v>
      </c>
    </row>
    <row r="75" spans="1:8" ht="15" thickBot="1">
      <c r="A75" s="180" t="s">
        <v>184</v>
      </c>
      <c r="B75" s="195"/>
      <c r="C75" s="195"/>
      <c r="D75" s="195"/>
      <c r="E75" s="195"/>
      <c r="F75" s="195"/>
      <c r="G75" s="195"/>
      <c r="H75" s="196"/>
    </row>
    <row r="76" spans="1:8" ht="29.4" thickBot="1">
      <c r="A76" s="5" t="s">
        <v>43</v>
      </c>
      <c r="B76" s="3">
        <v>0.2</v>
      </c>
      <c r="C76" s="3"/>
      <c r="D76" s="3"/>
      <c r="E76" s="3"/>
      <c r="F76" s="3"/>
      <c r="G76" s="3"/>
      <c r="H76" s="6"/>
    </row>
    <row r="77" spans="1:8" ht="58.2" thickBot="1">
      <c r="A77" s="7" t="s">
        <v>2</v>
      </c>
      <c r="B77" s="8" t="s">
        <v>3</v>
      </c>
      <c r="C77" s="7" t="s">
        <v>4</v>
      </c>
      <c r="D77" s="7" t="s">
        <v>5</v>
      </c>
      <c r="E77" s="7" t="s">
        <v>6</v>
      </c>
      <c r="F77" s="8" t="s">
        <v>91</v>
      </c>
      <c r="G77" s="8" t="s">
        <v>8</v>
      </c>
      <c r="H77" s="43" t="s">
        <v>220</v>
      </c>
    </row>
    <row r="78" spans="1:8">
      <c r="A78" s="9" t="s">
        <v>44</v>
      </c>
      <c r="B78" s="12">
        <v>0.18772501285787763</v>
      </c>
      <c r="C78" s="12">
        <v>0.22800000000000001</v>
      </c>
      <c r="D78" s="12"/>
      <c r="E78" s="12"/>
      <c r="F78" s="12">
        <f>B76*B78*C78</f>
        <v>8.5602605863192207E-3</v>
      </c>
      <c r="G78" s="12"/>
      <c r="H78" s="9"/>
    </row>
    <row r="79" spans="1:8">
      <c r="A79" s="12" t="s">
        <v>45</v>
      </c>
      <c r="B79" s="12">
        <v>3.4573404194525405E-2</v>
      </c>
      <c r="C79" s="12">
        <v>0.374</v>
      </c>
      <c r="D79" s="12"/>
      <c r="E79" s="12"/>
      <c r="F79" s="12">
        <f>B76*B79*C79</f>
        <v>2.5860906337505005E-3</v>
      </c>
      <c r="G79" s="12"/>
      <c r="H79" s="12"/>
    </row>
    <row r="80" spans="1:8">
      <c r="A80" s="12" t="s">
        <v>47</v>
      </c>
      <c r="B80" s="12">
        <v>3.4287673581347508E-4</v>
      </c>
      <c r="C80" s="12">
        <v>2.024</v>
      </c>
      <c r="D80" s="12"/>
      <c r="E80" s="12"/>
      <c r="F80" s="12">
        <f>B76*B80*C80</f>
        <v>1.3879650265729472E-4</v>
      </c>
      <c r="G80" s="12"/>
      <c r="H80" s="12"/>
    </row>
    <row r="81" spans="1:8">
      <c r="A81" s="12" t="s">
        <v>48</v>
      </c>
      <c r="B81" s="12">
        <v>4.7545574032801879E-2</v>
      </c>
      <c r="C81" s="12">
        <v>1.21</v>
      </c>
      <c r="D81" s="12"/>
      <c r="E81" s="12"/>
      <c r="F81" s="12">
        <f>B76*B81*C81</f>
        <v>1.1506028915938056E-2</v>
      </c>
      <c r="G81" s="12"/>
      <c r="H81" s="12"/>
    </row>
    <row r="82" spans="1:8">
      <c r="A82" s="12" t="s">
        <v>49</v>
      </c>
      <c r="B82" s="12">
        <v>8.1033201897251272E-2</v>
      </c>
      <c r="C82" s="12">
        <v>0.47799999999999998</v>
      </c>
      <c r="D82" s="12"/>
      <c r="E82" s="12"/>
      <c r="F82" s="12">
        <f>B76*B82*C82</f>
        <v>7.7467741013772214E-3</v>
      </c>
      <c r="G82" s="12"/>
      <c r="H82" s="12"/>
    </row>
    <row r="83" spans="1:8">
      <c r="A83" s="12" t="s">
        <v>50</v>
      </c>
      <c r="B83" s="12">
        <v>1.3086462083547632E-2</v>
      </c>
      <c r="C83" s="12">
        <v>0.51700000000000002</v>
      </c>
      <c r="D83" s="12"/>
      <c r="E83" s="12"/>
      <c r="F83" s="12">
        <f>B76*B83*C83</f>
        <v>1.3531401794388252E-3</v>
      </c>
      <c r="G83" s="12"/>
      <c r="H83" s="12"/>
    </row>
    <row r="84" spans="1:8" ht="28.8">
      <c r="A84" s="33" t="s">
        <v>51</v>
      </c>
      <c r="B84" s="12">
        <v>0.49917138122178412</v>
      </c>
      <c r="C84" s="12">
        <v>0.34699999999999998</v>
      </c>
      <c r="D84" s="12"/>
      <c r="E84" s="12"/>
      <c r="F84" s="12">
        <f>B76*B84*C84</f>
        <v>3.4642493856791814E-2</v>
      </c>
      <c r="G84" s="12"/>
      <c r="H84" s="12"/>
    </row>
    <row r="85" spans="1:8">
      <c r="A85" s="12" t="s">
        <v>52</v>
      </c>
      <c r="B85" s="12">
        <v>2.4687124978570209E-2</v>
      </c>
      <c r="C85" s="12">
        <v>0.91400000000000003</v>
      </c>
      <c r="D85" s="12"/>
      <c r="E85" s="12"/>
      <c r="F85" s="12">
        <f>B76*B85*C85</f>
        <v>4.5128064460826347E-3</v>
      </c>
      <c r="G85" s="12"/>
      <c r="H85" s="12"/>
    </row>
    <row r="86" spans="1:8">
      <c r="A86" s="12" t="s">
        <v>53</v>
      </c>
      <c r="B86" s="12">
        <v>0.11183496199782846</v>
      </c>
      <c r="C86" s="12">
        <v>0.65203333333333346</v>
      </c>
      <c r="D86" s="12"/>
      <c r="E86" s="12"/>
      <c r="F86" s="12">
        <f>B76*B86*C86</f>
        <v>1.4584024610930153E-2</v>
      </c>
      <c r="G86" s="12"/>
      <c r="H86" s="12"/>
    </row>
    <row r="87" spans="1:8" ht="15" thickBot="1">
      <c r="A87" s="29" t="s">
        <v>188</v>
      </c>
      <c r="B87" s="30">
        <f>SUM(B78:B86)</f>
        <v>1</v>
      </c>
      <c r="C87" s="30"/>
      <c r="D87" s="30"/>
      <c r="E87" s="30"/>
      <c r="F87" s="31">
        <f>SUM(F78:F86)</f>
        <v>8.5630415833285733E-2</v>
      </c>
      <c r="G87" s="30">
        <f>F87/F115</f>
        <v>2.9157311402423142E-2</v>
      </c>
      <c r="H87" s="31">
        <f>F87*2000/2053</f>
        <v>8.3419791362187759E-2</v>
      </c>
    </row>
    <row r="88" spans="1:8" ht="15" thickBot="1">
      <c r="A88" s="180" t="s">
        <v>185</v>
      </c>
      <c r="B88" s="195"/>
      <c r="C88" s="195"/>
      <c r="D88" s="195"/>
      <c r="E88" s="195"/>
      <c r="F88" s="195"/>
      <c r="G88" s="195"/>
      <c r="H88" s="196"/>
    </row>
    <row r="89" spans="1:8" ht="29.4" thickBot="1">
      <c r="A89" s="5" t="s">
        <v>54</v>
      </c>
      <c r="B89" s="3">
        <v>0.25</v>
      </c>
      <c r="C89" s="3"/>
      <c r="D89" s="3"/>
      <c r="E89" s="3"/>
      <c r="F89" s="3"/>
      <c r="G89" s="3"/>
      <c r="H89" s="6"/>
    </row>
    <row r="90" spans="1:8" ht="58.2" thickBot="1">
      <c r="A90" s="7" t="s">
        <v>2</v>
      </c>
      <c r="B90" s="8" t="s">
        <v>3</v>
      </c>
      <c r="C90" s="7" t="s">
        <v>4</v>
      </c>
      <c r="D90" s="7" t="s">
        <v>5</v>
      </c>
      <c r="E90" s="7" t="s">
        <v>6</v>
      </c>
      <c r="F90" s="8" t="s">
        <v>91</v>
      </c>
      <c r="G90" s="8" t="s">
        <v>8</v>
      </c>
      <c r="H90" s="43" t="s">
        <v>220</v>
      </c>
    </row>
    <row r="91" spans="1:8">
      <c r="A91" s="12" t="s">
        <v>59</v>
      </c>
      <c r="B91" s="12">
        <v>1.6016474087632994E-2</v>
      </c>
      <c r="C91" s="12">
        <v>0.26900000000000002</v>
      </c>
      <c r="D91" s="12"/>
      <c r="E91" s="12"/>
      <c r="F91" s="12">
        <f>B89*B91*C91</f>
        <v>1.0771078823933189E-3</v>
      </c>
      <c r="G91" s="12"/>
      <c r="H91" s="9"/>
    </row>
    <row r="92" spans="1:8">
      <c r="A92" s="12" t="s">
        <v>60</v>
      </c>
      <c r="B92" s="12">
        <v>1.2698775883766162E-2</v>
      </c>
      <c r="C92" s="12">
        <v>2.048</v>
      </c>
      <c r="D92" s="12"/>
      <c r="E92" s="12"/>
      <c r="F92" s="12">
        <f>B89*B92*C92</f>
        <v>6.5017732524882748E-3</v>
      </c>
      <c r="G92" s="12"/>
      <c r="H92" s="12"/>
    </row>
    <row r="93" spans="1:8">
      <c r="A93" s="12" t="s">
        <v>61</v>
      </c>
      <c r="B93" s="12">
        <v>0.28566525569156848</v>
      </c>
      <c r="C93" s="12">
        <v>0.47</v>
      </c>
      <c r="D93" s="12"/>
      <c r="E93" s="12"/>
      <c r="F93" s="12">
        <f>B89*B93*C93</f>
        <v>3.3565667543759295E-2</v>
      </c>
      <c r="G93" s="12"/>
      <c r="H93" s="12"/>
    </row>
    <row r="94" spans="1:8">
      <c r="A94" s="12" t="s">
        <v>127</v>
      </c>
      <c r="B94" s="12">
        <v>4.5761354536094271E-4</v>
      </c>
      <c r="C94" s="12">
        <v>0.30175000000000002</v>
      </c>
      <c r="D94" s="12"/>
      <c r="E94" s="12"/>
      <c r="F94" s="12">
        <f>B89*B94*C94</f>
        <v>3.4521221828166117E-5</v>
      </c>
      <c r="G94" s="12"/>
      <c r="H94" s="12"/>
    </row>
    <row r="95" spans="1:8">
      <c r="A95" s="12" t="s">
        <v>62</v>
      </c>
      <c r="B95" s="12">
        <v>0.68516188079167151</v>
      </c>
      <c r="C95" s="12">
        <v>0.45593939393939392</v>
      </c>
      <c r="D95" s="12"/>
      <c r="E95" s="12"/>
      <c r="F95" s="12">
        <f>B89*B95*C95</f>
        <v>7.8098073169632493E-2</v>
      </c>
      <c r="G95" s="12"/>
      <c r="H95" s="12"/>
    </row>
    <row r="96" spans="1:8" ht="15" thickBot="1">
      <c r="A96" s="29" t="s">
        <v>65</v>
      </c>
      <c r="B96" s="30"/>
      <c r="C96" s="30"/>
      <c r="D96" s="30"/>
      <c r="E96" s="30"/>
      <c r="F96" s="31">
        <f>SUM(F91:F95)</f>
        <v>0.11927714307010155</v>
      </c>
      <c r="G96" s="30">
        <f>F96/F115</f>
        <v>4.0614082856461606E-2</v>
      </c>
      <c r="H96" s="31">
        <f>F96*2000/2053</f>
        <v>0.11619789875314325</v>
      </c>
    </row>
    <row r="97" spans="1:8" ht="15" thickBot="1">
      <c r="A97" s="180" t="s">
        <v>186</v>
      </c>
      <c r="B97" s="195"/>
      <c r="C97" s="195"/>
      <c r="D97" s="195"/>
      <c r="E97" s="195"/>
      <c r="F97" s="195"/>
      <c r="G97" s="195"/>
      <c r="H97" s="196"/>
    </row>
    <row r="98" spans="1:8" ht="29.4" thickBot="1">
      <c r="A98" s="5" t="s">
        <v>227</v>
      </c>
      <c r="B98" s="3">
        <v>0.04</v>
      </c>
      <c r="C98" s="3"/>
      <c r="D98" s="3"/>
      <c r="E98" s="3"/>
      <c r="F98" s="3"/>
      <c r="G98" s="3"/>
      <c r="H98" s="6"/>
    </row>
    <row r="99" spans="1:8" ht="58.2" thickBot="1">
      <c r="A99" s="7" t="s">
        <v>2</v>
      </c>
      <c r="B99" s="8" t="s">
        <v>3</v>
      </c>
      <c r="C99" s="7" t="s">
        <v>4</v>
      </c>
      <c r="D99" s="7" t="s">
        <v>5</v>
      </c>
      <c r="E99" s="7" t="s">
        <v>6</v>
      </c>
      <c r="F99" s="8" t="s">
        <v>91</v>
      </c>
      <c r="G99" s="8" t="s">
        <v>8</v>
      </c>
      <c r="H99" s="43" t="s">
        <v>220</v>
      </c>
    </row>
    <row r="100" spans="1:8">
      <c r="A100" s="12" t="s">
        <v>68</v>
      </c>
      <c r="B100" s="9">
        <v>0.19218651543793319</v>
      </c>
      <c r="C100" s="9">
        <v>4.6559999999999997</v>
      </c>
      <c r="D100" s="9"/>
      <c r="E100" s="9"/>
      <c r="F100" s="9">
        <f>B98*B100*C100</f>
        <v>3.5792816635160679E-2</v>
      </c>
      <c r="G100" s="9"/>
      <c r="H100" s="9"/>
    </row>
    <row r="101" spans="1:8">
      <c r="A101" s="12" t="s">
        <v>69</v>
      </c>
      <c r="B101" s="12">
        <v>1.5122873345935726E-2</v>
      </c>
      <c r="C101" s="12">
        <v>1.1990000000000001</v>
      </c>
      <c r="D101" s="12"/>
      <c r="E101" s="12"/>
      <c r="F101" s="12">
        <f>B98*B101*C101</f>
        <v>7.2529300567107744E-4</v>
      </c>
      <c r="G101" s="12"/>
      <c r="H101" s="12"/>
    </row>
    <row r="102" spans="1:8">
      <c r="A102" s="12" t="s">
        <v>70</v>
      </c>
      <c r="B102" s="12">
        <v>5.5450535601764335E-2</v>
      </c>
      <c r="C102" s="12">
        <v>3.206</v>
      </c>
      <c r="D102" s="12"/>
      <c r="E102" s="12"/>
      <c r="F102" s="12">
        <f>B98*B102*C102</f>
        <v>7.1109766855702583E-3</v>
      </c>
      <c r="G102" s="12"/>
      <c r="H102" s="12"/>
    </row>
    <row r="103" spans="1:8">
      <c r="A103" s="12" t="s">
        <v>71</v>
      </c>
      <c r="B103" s="12">
        <v>0.29615626969124131</v>
      </c>
      <c r="C103" s="12">
        <v>7.2210000000000001</v>
      </c>
      <c r="D103" s="12"/>
      <c r="E103" s="12"/>
      <c r="F103" s="12">
        <f>B98*B103*C103</f>
        <v>8.554177693761815E-2</v>
      </c>
      <c r="G103" s="12"/>
      <c r="H103" s="12"/>
    </row>
    <row r="104" spans="1:8">
      <c r="A104" s="12" t="s">
        <v>72</v>
      </c>
      <c r="B104" s="12">
        <v>5.9231253938248261E-2</v>
      </c>
      <c r="C104" s="12">
        <v>2.2749999999999999</v>
      </c>
      <c r="D104" s="12"/>
      <c r="E104" s="12"/>
      <c r="F104" s="12">
        <f>B98*B104*C104</f>
        <v>5.390044108380591E-3</v>
      </c>
      <c r="G104" s="12"/>
      <c r="H104" s="12"/>
    </row>
    <row r="105" spans="1:8">
      <c r="A105" s="12" t="s">
        <v>74</v>
      </c>
      <c r="B105" s="12">
        <v>0.28229363579080025</v>
      </c>
      <c r="C105" s="12">
        <v>0.80700000000000005</v>
      </c>
      <c r="D105" s="12"/>
      <c r="E105" s="12"/>
      <c r="F105" s="12">
        <f>B98*B105*C105</f>
        <v>9.1124385633270331E-3</v>
      </c>
      <c r="G105" s="12"/>
      <c r="H105" s="12"/>
    </row>
    <row r="106" spans="1:8">
      <c r="A106" s="12" t="s">
        <v>75</v>
      </c>
      <c r="B106" s="12">
        <v>1.8903591682419656E-2</v>
      </c>
      <c r="C106" s="12">
        <v>2.6459999999999999</v>
      </c>
      <c r="D106" s="12"/>
      <c r="E106" s="12"/>
      <c r="F106" s="12">
        <f>B98*B106*C106</f>
        <v>2.0007561436672966E-3</v>
      </c>
      <c r="G106" s="12"/>
      <c r="H106" s="12"/>
    </row>
    <row r="107" spans="1:8">
      <c r="A107" s="12" t="s">
        <v>78</v>
      </c>
      <c r="B107" s="171">
        <v>8.0655324511657217E-2</v>
      </c>
      <c r="C107" s="171">
        <v>2.2599999999999998</v>
      </c>
      <c r="D107" s="171"/>
      <c r="E107" s="171"/>
      <c r="F107" s="171">
        <f>B98*B107*C107</f>
        <v>7.2912413358538122E-3</v>
      </c>
      <c r="G107" s="171"/>
      <c r="H107" s="12"/>
    </row>
    <row r="108" spans="1:8" ht="15" thickBot="1">
      <c r="A108" s="36" t="s">
        <v>161</v>
      </c>
      <c r="B108" s="30"/>
      <c r="C108" s="30"/>
      <c r="D108" s="30"/>
      <c r="E108" s="30"/>
      <c r="F108" s="31">
        <f>SUM(F100:F107)</f>
        <v>0.15296534341524889</v>
      </c>
      <c r="G108" s="30">
        <f>F108/F115</f>
        <v>5.2084975978866167E-2</v>
      </c>
      <c r="H108" s="31">
        <f>F108*2000/2053</f>
        <v>0.14901640858767551</v>
      </c>
    </row>
    <row r="109" spans="1:8" ht="15" thickBot="1">
      <c r="A109" s="180" t="s">
        <v>207</v>
      </c>
      <c r="B109" s="181"/>
      <c r="C109" s="181"/>
      <c r="D109" s="181"/>
      <c r="E109" s="181"/>
      <c r="F109" s="181"/>
      <c r="G109" s="181"/>
      <c r="H109" s="182"/>
    </row>
    <row r="110" spans="1:8" ht="15" thickBot="1">
      <c r="A110" s="52" t="s">
        <v>208</v>
      </c>
      <c r="B110" s="186">
        <v>308</v>
      </c>
      <c r="C110" s="187"/>
      <c r="D110" s="187"/>
      <c r="E110" s="187"/>
      <c r="F110" s="187"/>
      <c r="G110" s="188"/>
      <c r="H110" s="3"/>
    </row>
    <row r="111" spans="1:8" ht="29.4" thickBot="1">
      <c r="A111" s="172" t="s">
        <v>209</v>
      </c>
      <c r="B111" s="172" t="s">
        <v>210</v>
      </c>
      <c r="C111" s="172" t="s">
        <v>211</v>
      </c>
      <c r="D111" s="172"/>
      <c r="E111" s="172"/>
      <c r="F111" s="172" t="s">
        <v>212</v>
      </c>
      <c r="G111" s="172" t="s">
        <v>8</v>
      </c>
      <c r="H111" s="43" t="s">
        <v>220</v>
      </c>
    </row>
    <row r="112" spans="1:8" ht="15" thickBot="1">
      <c r="A112" s="41">
        <v>1745</v>
      </c>
      <c r="B112" s="58">
        <f>SUM(F45,F74,F87,F96,F108,F56)</f>
        <v>2.4962441481302031</v>
      </c>
      <c r="C112" s="41">
        <f>B112/A112</f>
        <v>1.430512405805274E-3</v>
      </c>
      <c r="D112" s="41"/>
      <c r="E112" s="173"/>
      <c r="F112" s="174">
        <f>B110*C112</f>
        <v>0.44059782098802441</v>
      </c>
      <c r="G112" s="58">
        <f>F112/F115</f>
        <v>0.15002435460301997</v>
      </c>
      <c r="H112" s="37">
        <f>F112*2000/2053</f>
        <v>0.4292234008650993</v>
      </c>
    </row>
    <row r="113" spans="1:8" ht="15" thickBot="1">
      <c r="A113" s="200" t="s">
        <v>23</v>
      </c>
      <c r="B113" s="201"/>
      <c r="C113" s="201"/>
      <c r="D113" s="201"/>
      <c r="E113" s="201"/>
      <c r="F113" s="201"/>
      <c r="G113" s="201"/>
      <c r="H113" s="202"/>
    </row>
    <row r="114" spans="1:8" ht="15" thickBot="1">
      <c r="A114" s="172"/>
      <c r="B114" s="172"/>
      <c r="C114" s="172"/>
      <c r="D114" s="172"/>
      <c r="E114" s="172"/>
      <c r="F114" s="172" t="s">
        <v>230</v>
      </c>
      <c r="G114" s="172"/>
      <c r="H114" s="43" t="s">
        <v>231</v>
      </c>
    </row>
    <row r="115" spans="1:8">
      <c r="A115" s="10" t="s">
        <v>163</v>
      </c>
      <c r="B115" s="9"/>
      <c r="C115" s="9"/>
      <c r="D115" s="9"/>
      <c r="E115" s="9"/>
      <c r="F115" s="70">
        <f>SUM(F45,F74,F87,F96,F108,F56,F112)</f>
        <v>2.9368419691182277</v>
      </c>
      <c r="G115" s="9"/>
      <c r="H115" s="70">
        <f>F115*2000/2053</f>
        <v>2.8610248116105481</v>
      </c>
    </row>
  </sheetData>
  <mergeCells count="9">
    <mergeCell ref="A109:H109"/>
    <mergeCell ref="B110:G110"/>
    <mergeCell ref="A113:H113"/>
    <mergeCell ref="A2:H2"/>
    <mergeCell ref="A57:H57"/>
    <mergeCell ref="A75:H75"/>
    <mergeCell ref="A88:H88"/>
    <mergeCell ref="A97:H97"/>
    <mergeCell ref="A46:H46"/>
  </mergeCells>
  <pageMargins left="0.7" right="0.7" top="0.75" bottom="0.75" header="0.3" footer="0.3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FA1B-8FE9-DE46-AC31-FF3D7F48B05B}">
  <dimension ref="A1:G73"/>
  <sheetViews>
    <sheetView workbookViewId="0">
      <selection activeCell="A21" sqref="A21"/>
    </sheetView>
  </sheetViews>
  <sheetFormatPr defaultColWidth="11.5" defaultRowHeight="14.4"/>
  <cols>
    <col min="1" max="1" width="28.5" style="4" customWidth="1"/>
    <col min="2" max="2" width="19.796875" style="4" customWidth="1"/>
    <col min="3" max="3" width="20.69921875" style="4" customWidth="1"/>
    <col min="4" max="4" width="18.796875" style="4" customWidth="1"/>
    <col min="5" max="5" width="20.5" style="4" customWidth="1"/>
    <col min="6" max="6" width="22.69921875" style="4" customWidth="1"/>
    <col min="7" max="7" width="13.69921875" style="4" customWidth="1"/>
    <col min="8" max="16384" width="11.5" style="4"/>
  </cols>
  <sheetData>
    <row r="1" spans="1:7" ht="15" thickBot="1">
      <c r="A1" s="1" t="s">
        <v>0</v>
      </c>
      <c r="B1" s="2"/>
      <c r="C1" s="2"/>
      <c r="D1" s="2"/>
      <c r="E1" s="2"/>
      <c r="F1" s="3"/>
      <c r="G1" s="2"/>
    </row>
    <row r="2" spans="1:7" ht="15" thickBot="1">
      <c r="A2" s="180" t="s">
        <v>182</v>
      </c>
      <c r="B2" s="195"/>
      <c r="C2" s="195"/>
      <c r="D2" s="195"/>
      <c r="E2" s="195"/>
      <c r="F2" s="195"/>
      <c r="G2" s="196"/>
    </row>
    <row r="3" spans="1:7" ht="29.4" thickBot="1">
      <c r="A3" s="5" t="s">
        <v>146</v>
      </c>
      <c r="B3" s="186">
        <v>0.13500000000000001</v>
      </c>
      <c r="C3" s="187"/>
      <c r="D3" s="187"/>
      <c r="E3" s="187"/>
      <c r="F3" s="187"/>
      <c r="G3" s="188"/>
    </row>
    <row r="4" spans="1:7" ht="75" customHeight="1" thickBot="1">
      <c r="A4" s="44" t="s">
        <v>2</v>
      </c>
      <c r="B4" s="43" t="s">
        <v>3</v>
      </c>
      <c r="C4" s="44" t="s">
        <v>4</v>
      </c>
      <c r="D4" s="44" t="s">
        <v>5</v>
      </c>
      <c r="E4" s="44" t="s">
        <v>6</v>
      </c>
      <c r="F4" s="43" t="s">
        <v>91</v>
      </c>
      <c r="G4" s="43" t="s">
        <v>8</v>
      </c>
    </row>
    <row r="5" spans="1:7">
      <c r="A5" s="9" t="s">
        <v>55</v>
      </c>
      <c r="B5" s="12">
        <v>5.9641287846759546E-2</v>
      </c>
      <c r="C5" s="12">
        <v>0.308</v>
      </c>
      <c r="D5" s="12" t="s">
        <v>11</v>
      </c>
      <c r="E5" s="12">
        <v>0.38844105721218408</v>
      </c>
      <c r="F5" s="12">
        <f>B3*B5*C5*E5</f>
        <v>9.6328905353707103E-4</v>
      </c>
      <c r="G5" s="12"/>
    </row>
    <row r="6" spans="1:7">
      <c r="A6" s="12" t="s">
        <v>117</v>
      </c>
      <c r="B6" s="12">
        <v>7.8008077364567089E-3</v>
      </c>
      <c r="C6" s="12">
        <v>0.374</v>
      </c>
      <c r="D6" s="12"/>
      <c r="E6" s="12"/>
      <c r="F6" s="12">
        <f>B3*B6*C6</f>
        <v>3.9386278261369925E-4</v>
      </c>
      <c r="G6" s="12"/>
    </row>
    <row r="7" spans="1:7">
      <c r="A7" s="12" t="s">
        <v>56</v>
      </c>
      <c r="B7" s="12">
        <v>2.6624535343838782E-3</v>
      </c>
      <c r="C7" s="4">
        <v>0.61699999999999999</v>
      </c>
      <c r="D7" s="12" t="s">
        <v>11</v>
      </c>
      <c r="E7" s="12">
        <v>0.95238095238095233</v>
      </c>
      <c r="F7" s="12">
        <f>B3*B7*C7*E7</f>
        <v>2.1120863537762394E-4</v>
      </c>
      <c r="G7" s="12"/>
    </row>
    <row r="8" spans="1:7">
      <c r="A8" s="12" t="s">
        <v>118</v>
      </c>
      <c r="B8" s="12">
        <v>7.3419173220888746E-3</v>
      </c>
      <c r="C8" s="12">
        <v>2.1149090909090908</v>
      </c>
      <c r="D8" s="12"/>
      <c r="E8" s="12"/>
      <c r="F8" s="12">
        <f>B3*B8*C8</f>
        <v>2.0962108380404728E-3</v>
      </c>
      <c r="G8" s="12"/>
    </row>
    <row r="9" spans="1:7">
      <c r="A9" s="12" t="s">
        <v>57</v>
      </c>
      <c r="B9" s="12">
        <v>0.10553358965784884</v>
      </c>
      <c r="C9" s="12">
        <v>1.2118571428571427</v>
      </c>
      <c r="D9" s="12" t="s">
        <v>11</v>
      </c>
      <c r="E9" s="12">
        <v>0.34767265230879446</v>
      </c>
      <c r="F9" s="12">
        <f>B3*B9*C9*E9</f>
        <v>6.0026972066877099E-3</v>
      </c>
      <c r="G9" s="12"/>
    </row>
    <row r="10" spans="1:7">
      <c r="A10" s="12" t="s">
        <v>58</v>
      </c>
      <c r="B10" s="12">
        <v>0.10011096968215462</v>
      </c>
      <c r="C10" s="12">
        <v>1.1539999999999999</v>
      </c>
      <c r="D10" s="12" t="s">
        <v>11</v>
      </c>
      <c r="E10" s="12">
        <v>0.38535645472061658</v>
      </c>
      <c r="F10" s="12">
        <f>B3*B10*C10*E10</f>
        <v>6.010130237681259E-3</v>
      </c>
      <c r="G10" s="12"/>
    </row>
    <row r="11" spans="1:7">
      <c r="A11" s="12" t="s">
        <v>25</v>
      </c>
      <c r="B11" s="12">
        <v>0.19907726546381221</v>
      </c>
      <c r="C11" s="12">
        <v>3.754</v>
      </c>
      <c r="D11" s="12" t="s">
        <v>11</v>
      </c>
      <c r="E11" s="13"/>
      <c r="F11" s="12">
        <f>B3*B11*C11</f>
        <v>0.10089036736440539</v>
      </c>
      <c r="G11" s="12"/>
    </row>
    <row r="12" spans="1:7">
      <c r="A12" s="12" t="s">
        <v>27</v>
      </c>
      <c r="B12" s="12">
        <v>6.2503911171343553E-3</v>
      </c>
      <c r="C12" s="12">
        <v>4.8252668759459452</v>
      </c>
      <c r="D12" s="75" t="s">
        <v>11</v>
      </c>
      <c r="E12" s="75">
        <v>1.2749999999999999</v>
      </c>
      <c r="F12" s="12">
        <f>B3*B12*C12*E12</f>
        <v>5.1912564733574123E-3</v>
      </c>
      <c r="G12" s="12"/>
    </row>
    <row r="13" spans="1:7">
      <c r="A13" s="12" t="s">
        <v>28</v>
      </c>
      <c r="B13" s="12">
        <v>7.8359448783390545E-2</v>
      </c>
      <c r="C13" s="12">
        <v>4.8285502525925947</v>
      </c>
      <c r="D13" s="75" t="s">
        <v>11</v>
      </c>
      <c r="E13" s="75">
        <v>1.25</v>
      </c>
      <c r="F13" s="12">
        <f>B3*B13*C13*E13</f>
        <v>6.3848677986459601E-2</v>
      </c>
      <c r="G13" s="12"/>
    </row>
    <row r="14" spans="1:7">
      <c r="A14" s="12" t="s">
        <v>120</v>
      </c>
      <c r="B14" s="12">
        <v>1.757795162143027E-3</v>
      </c>
      <c r="C14" s="12">
        <v>3.6740210518316871</v>
      </c>
      <c r="D14" s="75" t="s">
        <v>11</v>
      </c>
      <c r="E14" s="75">
        <v>1.2549999999999999</v>
      </c>
      <c r="F14" s="12">
        <f>B3*B14*C14*E14</f>
        <v>1.0941765417410839E-3</v>
      </c>
      <c r="G14" s="12"/>
    </row>
    <row r="15" spans="1:7">
      <c r="A15" s="12" t="s">
        <v>30</v>
      </c>
      <c r="B15" s="12">
        <v>8.3034895278375362E-2</v>
      </c>
      <c r="C15" s="12">
        <v>1.368246026956522</v>
      </c>
      <c r="D15" s="75" t="s">
        <v>11</v>
      </c>
      <c r="E15" s="75">
        <v>1.2549999999999999</v>
      </c>
      <c r="F15" s="12">
        <f>B3*B15*C15*E15</f>
        <v>1.9248741150577002E-2</v>
      </c>
      <c r="G15" s="12"/>
    </row>
    <row r="16" spans="1:7">
      <c r="A16" s="12" t="s">
        <v>121</v>
      </c>
      <c r="B16" s="12">
        <v>7.6475808187635953E-3</v>
      </c>
      <c r="C16" s="12">
        <v>3.1429999999999998</v>
      </c>
      <c r="D16" s="75" t="s">
        <v>11</v>
      </c>
      <c r="E16" s="75">
        <v>1.25</v>
      </c>
      <c r="F16" s="12">
        <f>B3*B16*C16*E16</f>
        <v>4.0561334741318587E-3</v>
      </c>
      <c r="G16" s="12"/>
    </row>
    <row r="17" spans="1:7">
      <c r="A17" s="12" t="s">
        <v>32</v>
      </c>
      <c r="B17" s="12">
        <v>1.1533619663458221E-2</v>
      </c>
      <c r="C17" s="12">
        <v>30.658000000000001</v>
      </c>
      <c r="D17" s="75" t="s">
        <v>11</v>
      </c>
      <c r="E17" s="75">
        <v>1.28</v>
      </c>
      <c r="F17" s="12">
        <f>B3*B17*C17*E17</f>
        <v>6.110168457178982E-2</v>
      </c>
      <c r="G17" s="12"/>
    </row>
    <row r="18" spans="1:7">
      <c r="A18" s="12" t="s">
        <v>10</v>
      </c>
      <c r="B18" s="12">
        <v>0.16318228642363378</v>
      </c>
      <c r="C18" s="12">
        <v>3.1966666666666668</v>
      </c>
      <c r="D18" s="75" t="s">
        <v>11</v>
      </c>
      <c r="E18" s="75">
        <v>1.17</v>
      </c>
      <c r="F18" s="12">
        <f>B3*B18*C18*E18</f>
        <v>8.2392939376159408E-2</v>
      </c>
      <c r="G18" s="12"/>
    </row>
    <row r="19" spans="1:7">
      <c r="A19" s="12" t="s">
        <v>12</v>
      </c>
      <c r="B19" s="12">
        <v>0.12857434403605703</v>
      </c>
      <c r="C19" s="12">
        <v>5.56</v>
      </c>
      <c r="D19" s="75" t="s">
        <v>11</v>
      </c>
      <c r="E19" s="75">
        <v>1.335</v>
      </c>
      <c r="F19" s="12">
        <f>B3*B19*C19*E19</f>
        <v>0.12883805001567497</v>
      </c>
      <c r="G19" s="12"/>
    </row>
    <row r="20" spans="1:7">
      <c r="A20" s="12" t="s">
        <v>13</v>
      </c>
      <c r="B20" s="12">
        <v>5.1815865886559957E-4</v>
      </c>
      <c r="C20" s="12">
        <v>34.744999999999997</v>
      </c>
      <c r="D20" s="75" t="s">
        <v>11</v>
      </c>
      <c r="E20" s="75">
        <v>1.1499999999999999</v>
      </c>
      <c r="F20" s="12">
        <f>B3*B20*C20*E20</f>
        <v>2.7950313590047863E-3</v>
      </c>
      <c r="G20" s="12"/>
    </row>
    <row r="21" spans="1:7">
      <c r="A21" s="12" t="s">
        <v>14</v>
      </c>
      <c r="B21" s="12">
        <v>2.4642614082614627E-2</v>
      </c>
      <c r="C21" s="12">
        <v>32.845999999999997</v>
      </c>
      <c r="D21" s="75" t="s">
        <v>11</v>
      </c>
      <c r="E21" s="75">
        <v>1.2549999999999999</v>
      </c>
      <c r="F21" s="12">
        <f>B3*B21*C21*E21</f>
        <v>0.1371345098680446</v>
      </c>
      <c r="G21" s="12"/>
    </row>
    <row r="22" spans="1:7">
      <c r="A22" s="12" t="s">
        <v>15</v>
      </c>
      <c r="B22" s="12">
        <v>1.6708083934160458E-4</v>
      </c>
      <c r="C22" s="12">
        <v>3.1966666666666668</v>
      </c>
      <c r="D22" s="75" t="s">
        <v>11</v>
      </c>
      <c r="E22" s="75">
        <v>1.17</v>
      </c>
      <c r="F22" s="12">
        <f>B3*B22*C22*E22</f>
        <v>8.4361371374907268E-5</v>
      </c>
      <c r="G22" s="12"/>
    </row>
    <row r="23" spans="1:7">
      <c r="A23" s="12" t="s">
        <v>16</v>
      </c>
      <c r="B23" s="12">
        <v>1.3164608604374442E-4</v>
      </c>
      <c r="C23" s="12">
        <v>5.56</v>
      </c>
      <c r="D23" s="75" t="s">
        <v>11</v>
      </c>
      <c r="E23" s="75">
        <v>1.335</v>
      </c>
      <c r="F23" s="12">
        <f>B3*B23*C23*E23</f>
        <v>1.3191609216622012E-4</v>
      </c>
      <c r="G23" s="12"/>
    </row>
    <row r="24" spans="1:7">
      <c r="A24" s="12" t="s">
        <v>17</v>
      </c>
      <c r="B24" s="12">
        <v>5.3053787597160365E-7</v>
      </c>
      <c r="C24" s="12">
        <v>34.744999999999997</v>
      </c>
      <c r="D24" s="75" t="s">
        <v>11</v>
      </c>
      <c r="E24" s="75">
        <v>1.1499999999999999</v>
      </c>
      <c r="F24" s="12">
        <f>B3*B24*C24*E24</f>
        <v>2.8618068522233301E-6</v>
      </c>
      <c r="G24" s="12"/>
    </row>
    <row r="25" spans="1:7">
      <c r="A25" s="12" t="s">
        <v>18</v>
      </c>
      <c r="B25" s="12">
        <v>2.5231345477079828E-5</v>
      </c>
      <c r="C25" s="12">
        <v>32.845999999999997</v>
      </c>
      <c r="D25" s="75" t="s">
        <v>11</v>
      </c>
      <c r="E25" s="75">
        <v>1.2549999999999999</v>
      </c>
      <c r="F25" s="12">
        <f>B3*B25*C25*E25</f>
        <v>1.404107609570423E-4</v>
      </c>
      <c r="G25" s="12"/>
    </row>
    <row r="26" spans="1:7">
      <c r="A26" s="12" t="s">
        <v>19</v>
      </c>
      <c r="B26" s="12">
        <v>6.1819910556393685E-3</v>
      </c>
      <c r="C26" s="12">
        <v>3.1966666666666668</v>
      </c>
      <c r="D26" s="75" t="s">
        <v>11</v>
      </c>
      <c r="E26" s="75">
        <v>1.17</v>
      </c>
      <c r="F26" s="12">
        <f>B3*B26*C26*E26</f>
        <v>3.1213707408715686E-3</v>
      </c>
      <c r="G26" s="12"/>
    </row>
    <row r="27" spans="1:7">
      <c r="A27" s="12" t="s">
        <v>20</v>
      </c>
      <c r="B27" s="12">
        <v>4.870905183618544E-3</v>
      </c>
      <c r="C27" s="12">
        <v>5.56</v>
      </c>
      <c r="D27" s="75" t="s">
        <v>11</v>
      </c>
      <c r="E27" s="75">
        <v>1.335</v>
      </c>
      <c r="F27" s="12">
        <f>B3*B27*C27*E27</f>
        <v>4.8808954101501453E-3</v>
      </c>
      <c r="G27" s="12"/>
    </row>
    <row r="28" spans="1:7">
      <c r="A28" s="12" t="s">
        <v>21</v>
      </c>
      <c r="B28" s="12">
        <v>1.962990141094934E-5</v>
      </c>
      <c r="C28" s="12">
        <v>34.744999999999997</v>
      </c>
      <c r="D28" s="75" t="s">
        <v>11</v>
      </c>
      <c r="E28" s="75">
        <v>1.1499999999999999</v>
      </c>
      <c r="F28" s="12">
        <f>B3*B28*C28*E28</f>
        <v>1.0588685353226324E-4</v>
      </c>
      <c r="G28" s="12"/>
    </row>
    <row r="29" spans="1:7">
      <c r="A29" s="12" t="s">
        <v>22</v>
      </c>
      <c r="B29" s="12">
        <v>9.3355978265195381E-4</v>
      </c>
      <c r="C29" s="12">
        <v>32.845999999999997</v>
      </c>
      <c r="D29" s="75" t="s">
        <v>11</v>
      </c>
      <c r="E29" s="75">
        <v>1.2549999999999999</v>
      </c>
      <c r="F29" s="12">
        <f>B3*B29*C29*E29</f>
        <v>5.1951981554105653E-3</v>
      </c>
      <c r="G29" s="12"/>
    </row>
    <row r="30" spans="1:7" ht="15" thickBot="1">
      <c r="A30" s="29" t="s">
        <v>33</v>
      </c>
      <c r="B30" s="30"/>
      <c r="C30" s="30"/>
      <c r="D30" s="30"/>
      <c r="E30" s="30"/>
      <c r="F30" s="31">
        <f>SUM(F5:F29)</f>
        <v>0.63593186812659874</v>
      </c>
      <c r="G30" s="30">
        <f>F30/F73</f>
        <v>0.34701960258294184</v>
      </c>
    </row>
    <row r="31" spans="1:7" ht="15" thickBot="1">
      <c r="A31" s="180" t="s">
        <v>189</v>
      </c>
      <c r="B31" s="181"/>
      <c r="C31" s="181"/>
      <c r="D31" s="181"/>
      <c r="E31" s="181"/>
      <c r="F31" s="181"/>
      <c r="G31" s="182"/>
    </row>
    <row r="32" spans="1:7" ht="29.4" thickBot="1">
      <c r="A32" s="5" t="s">
        <v>150</v>
      </c>
      <c r="B32" s="186">
        <v>1</v>
      </c>
      <c r="C32" s="187"/>
      <c r="D32" s="187"/>
      <c r="E32" s="187"/>
      <c r="F32" s="187"/>
      <c r="G32" s="188"/>
    </row>
    <row r="33" spans="1:7" ht="58.2" thickBot="1">
      <c r="A33" s="7" t="s">
        <v>130</v>
      </c>
      <c r="B33" s="8" t="s">
        <v>131</v>
      </c>
      <c r="C33" s="7" t="s">
        <v>4</v>
      </c>
      <c r="D33" s="7" t="s">
        <v>5</v>
      </c>
      <c r="E33" s="7" t="s">
        <v>6</v>
      </c>
      <c r="F33" s="43" t="s">
        <v>91</v>
      </c>
      <c r="G33" s="8" t="s">
        <v>8</v>
      </c>
    </row>
    <row r="34" spans="1:7">
      <c r="A34" s="9" t="s">
        <v>82</v>
      </c>
      <c r="B34" s="9">
        <v>0.90926640926640923</v>
      </c>
      <c r="C34" s="9">
        <v>1.3233105925925925</v>
      </c>
      <c r="D34" s="9" t="s">
        <v>114</v>
      </c>
      <c r="E34" s="9">
        <v>0.245</v>
      </c>
      <c r="F34" s="9">
        <f>B32*B34*C34*E34</f>
        <v>0.29479425836336332</v>
      </c>
      <c r="G34" s="9"/>
    </row>
    <row r="35" spans="1:7">
      <c r="A35" s="12" t="s">
        <v>80</v>
      </c>
      <c r="B35" s="12">
        <v>1.2870012870012869E-2</v>
      </c>
      <c r="C35" s="12">
        <v>8.4202700000000004</v>
      </c>
      <c r="D35" s="12" t="s">
        <v>114</v>
      </c>
      <c r="E35" s="12">
        <v>6.9000000000000006E-2</v>
      </c>
      <c r="F35" s="12">
        <f>B32*B35*C35*E35</f>
        <v>7.4774598455598458E-3</v>
      </c>
      <c r="G35" s="12"/>
    </row>
    <row r="36" spans="1:7">
      <c r="A36" s="12" t="s">
        <v>83</v>
      </c>
      <c r="B36" s="12">
        <v>5.2123552123552123E-2</v>
      </c>
      <c r="C36" s="12">
        <v>14.077772261623325</v>
      </c>
      <c r="D36" s="12" t="s">
        <v>114</v>
      </c>
      <c r="E36" s="12">
        <v>2.5000000000000001E-2</v>
      </c>
      <c r="F36" s="12">
        <f>B32*B36*C36*E36</f>
        <v>1.834458740655549E-2</v>
      </c>
      <c r="G36" s="12"/>
    </row>
    <row r="37" spans="1:7">
      <c r="A37" s="12" t="s">
        <v>84</v>
      </c>
      <c r="B37" s="12">
        <v>2.5740025740025738E-2</v>
      </c>
      <c r="C37" s="12">
        <v>10.734301349487785</v>
      </c>
      <c r="D37" s="12" t="s">
        <v>114</v>
      </c>
      <c r="E37" s="12">
        <v>2.5000000000000001E-2</v>
      </c>
      <c r="F37" s="12">
        <f>B32*B37*C37*E37</f>
        <v>6.9075298259252162E-3</v>
      </c>
      <c r="G37" s="12"/>
    </row>
    <row r="38" spans="1:7" ht="15" thickBot="1">
      <c r="A38" s="29" t="s">
        <v>85</v>
      </c>
      <c r="B38" s="30"/>
      <c r="C38" s="30"/>
      <c r="D38" s="30"/>
      <c r="E38" s="30"/>
      <c r="F38" s="31">
        <f>SUM(F34:F37)</f>
        <v>0.3275238354414039</v>
      </c>
      <c r="G38" s="30">
        <f>F38/F73</f>
        <v>0.17872542155520726</v>
      </c>
    </row>
    <row r="39" spans="1:7" ht="16.95" customHeight="1" thickBot="1">
      <c r="A39" s="180" t="s">
        <v>183</v>
      </c>
      <c r="B39" s="195"/>
      <c r="C39" s="195"/>
      <c r="D39" s="195"/>
      <c r="E39" s="195"/>
      <c r="F39" s="195"/>
      <c r="G39" s="196"/>
    </row>
    <row r="40" spans="1:7" ht="29.4" thickBot="1">
      <c r="A40" s="5" t="s">
        <v>147</v>
      </c>
      <c r="B40" s="186">
        <v>0.6</v>
      </c>
      <c r="C40" s="187"/>
      <c r="D40" s="187"/>
      <c r="E40" s="187"/>
      <c r="F40" s="187"/>
      <c r="G40" s="188"/>
    </row>
    <row r="41" spans="1:7" ht="78" customHeight="1" thickBot="1">
      <c r="A41" s="44" t="s">
        <v>2</v>
      </c>
      <c r="B41" s="43" t="s">
        <v>3</v>
      </c>
      <c r="C41" s="44" t="s">
        <v>4</v>
      </c>
      <c r="D41" s="44" t="s">
        <v>5</v>
      </c>
      <c r="E41" s="44" t="s">
        <v>6</v>
      </c>
      <c r="F41" s="43" t="s">
        <v>91</v>
      </c>
      <c r="G41" s="43" t="s">
        <v>8</v>
      </c>
    </row>
    <row r="42" spans="1:7">
      <c r="A42" s="12" t="s">
        <v>148</v>
      </c>
      <c r="B42" s="12">
        <v>2.9357834629349995E-2</v>
      </c>
      <c r="C42" s="12">
        <v>7.9000000000000001E-2</v>
      </c>
      <c r="D42" s="12"/>
      <c r="E42" s="12"/>
      <c r="F42" s="12">
        <f>B40*B42*C42</f>
        <v>1.3915613614311898E-3</v>
      </c>
      <c r="G42" s="12"/>
    </row>
    <row r="43" spans="1:7">
      <c r="A43" s="12" t="s">
        <v>64</v>
      </c>
      <c r="B43" s="12">
        <v>1.0997896511148807E-2</v>
      </c>
      <c r="C43" s="12">
        <v>0.217</v>
      </c>
      <c r="D43" s="12"/>
      <c r="E43" s="12"/>
      <c r="F43" s="12">
        <f>B40*B43*C43</f>
        <v>1.4319261257515746E-3</v>
      </c>
      <c r="G43" s="12"/>
    </row>
    <row r="44" spans="1:7">
      <c r="A44" s="12" t="s">
        <v>100</v>
      </c>
      <c r="B44" s="12">
        <v>4.7424194401257685E-4</v>
      </c>
      <c r="C44" s="12">
        <v>0.30199999999999999</v>
      </c>
      <c r="D44" s="12"/>
      <c r="E44" s="12"/>
      <c r="F44" s="12">
        <f>B40*B44*C44</f>
        <v>8.5932640255078911E-5</v>
      </c>
      <c r="G44" s="12"/>
    </row>
    <row r="45" spans="1:7">
      <c r="A45" s="12" t="s">
        <v>127</v>
      </c>
      <c r="B45" s="12">
        <v>1.1630219103165576E-2</v>
      </c>
      <c r="C45" s="12">
        <v>0.30175000000000002</v>
      </c>
      <c r="D45" s="12"/>
      <c r="E45" s="12"/>
      <c r="F45" s="12">
        <f>B40*B45*C45</f>
        <v>2.1056511686281276E-3</v>
      </c>
      <c r="G45" s="12"/>
    </row>
    <row r="46" spans="1:7">
      <c r="A46" s="12" t="s">
        <v>36</v>
      </c>
      <c r="B46" s="12">
        <v>8.2484675492610363E-2</v>
      </c>
      <c r="C46" s="12">
        <v>0.55000000000000004</v>
      </c>
      <c r="D46" s="12" t="s">
        <v>11</v>
      </c>
      <c r="E46" s="12">
        <v>0.29667146320768484</v>
      </c>
      <c r="F46" s="12">
        <f>B40*B46*C46*E46</f>
        <v>8.0753802922992474E-3</v>
      </c>
      <c r="G46" s="12"/>
    </row>
    <row r="47" spans="1:7">
      <c r="A47" s="12" t="s">
        <v>38</v>
      </c>
      <c r="B47" s="12">
        <v>1.2059295147748384E-4</v>
      </c>
      <c r="C47" s="12">
        <v>0.47399999999999998</v>
      </c>
      <c r="D47" s="12" t="s">
        <v>11</v>
      </c>
      <c r="E47" s="12">
        <v>0.18726591760299627</v>
      </c>
      <c r="F47" s="12">
        <f>B40*B47*C47*E47</f>
        <v>6.4225908989131836E-6</v>
      </c>
      <c r="G47" s="12"/>
    </row>
    <row r="48" spans="1:7">
      <c r="A48" s="12" t="s">
        <v>39</v>
      </c>
      <c r="B48" s="12">
        <v>0.77619856465029902</v>
      </c>
      <c r="C48" s="12">
        <v>1.8580000000000001</v>
      </c>
      <c r="D48" s="12" t="s">
        <v>11</v>
      </c>
      <c r="E48" s="12">
        <v>0.33530417677236202</v>
      </c>
      <c r="F48" s="12">
        <f>B40*B48*C48*E48</f>
        <v>0.29014076959198626</v>
      </c>
      <c r="G48" s="12"/>
    </row>
    <row r="49" spans="1:7">
      <c r="A49" s="12" t="s">
        <v>41</v>
      </c>
      <c r="B49" s="12">
        <v>8.8735974717936136E-2</v>
      </c>
      <c r="C49" s="12">
        <v>0.34699999999999998</v>
      </c>
      <c r="D49" s="12" t="s">
        <v>11</v>
      </c>
      <c r="E49" s="12">
        <v>0.29667146320768484</v>
      </c>
      <c r="F49" s="12">
        <f>B40*B49*C49*E49</f>
        <v>5.4809548297076365E-3</v>
      </c>
      <c r="G49" s="12"/>
    </row>
    <row r="50" spans="1:7" ht="15" thickBot="1">
      <c r="A50" s="29" t="s">
        <v>187</v>
      </c>
      <c r="B50" s="30"/>
      <c r="C50" s="30"/>
      <c r="D50" s="30"/>
      <c r="E50" s="30"/>
      <c r="F50" s="31">
        <f>SUM(F42:F49)</f>
        <v>0.30871859860095802</v>
      </c>
      <c r="G50" s="30">
        <f>F50/F73</f>
        <v>0.16846365273699401</v>
      </c>
    </row>
    <row r="51" spans="1:7" ht="16.95" customHeight="1" thickBot="1">
      <c r="A51" s="180" t="s">
        <v>184</v>
      </c>
      <c r="B51" s="195"/>
      <c r="C51" s="195"/>
      <c r="D51" s="195"/>
      <c r="E51" s="195"/>
      <c r="F51" s="195"/>
      <c r="G51" s="196"/>
    </row>
    <row r="52" spans="1:7" ht="29.4" thickBot="1">
      <c r="A52" s="5" t="s">
        <v>124</v>
      </c>
      <c r="B52" s="186">
        <v>4</v>
      </c>
      <c r="C52" s="187"/>
      <c r="D52" s="187"/>
      <c r="E52" s="187"/>
      <c r="F52" s="187"/>
      <c r="G52" s="188"/>
    </row>
    <row r="53" spans="1:7" ht="75.75" customHeight="1" thickBot="1">
      <c r="A53" s="44" t="s">
        <v>2</v>
      </c>
      <c r="B53" s="43" t="s">
        <v>3</v>
      </c>
      <c r="C53" s="44" t="s">
        <v>4</v>
      </c>
      <c r="D53" s="44" t="s">
        <v>5</v>
      </c>
      <c r="E53" s="44" t="s">
        <v>6</v>
      </c>
      <c r="F53" s="43" t="s">
        <v>91</v>
      </c>
      <c r="G53" s="43" t="s">
        <v>8</v>
      </c>
    </row>
    <row r="54" spans="1:7">
      <c r="A54" s="12" t="s">
        <v>44</v>
      </c>
      <c r="B54" s="12">
        <v>1.3285492629945694E-2</v>
      </c>
      <c r="C54" s="12">
        <v>0.22800000000000001</v>
      </c>
      <c r="D54" s="12" t="s">
        <v>114</v>
      </c>
      <c r="E54" s="12">
        <v>0.11</v>
      </c>
      <c r="F54" s="12">
        <f>B52*B54*C54</f>
        <v>1.2116369278510473E-2</v>
      </c>
      <c r="G54" s="12"/>
    </row>
    <row r="55" spans="1:7">
      <c r="A55" s="12" t="s">
        <v>45</v>
      </c>
      <c r="B55" s="12">
        <v>0.14652831652443754</v>
      </c>
      <c r="C55" s="12">
        <v>0.374</v>
      </c>
      <c r="D55" s="12" t="s">
        <v>114</v>
      </c>
      <c r="E55" s="12">
        <v>0.15</v>
      </c>
      <c r="F55" s="12">
        <f>B52*B55*C55*E55</f>
        <v>3.2880954228083785E-2</v>
      </c>
      <c r="G55" s="12"/>
    </row>
    <row r="56" spans="1:7">
      <c r="A56" s="12" t="s">
        <v>46</v>
      </c>
      <c r="B56" s="12">
        <v>8.727695888285492E-4</v>
      </c>
      <c r="C56" s="12">
        <v>0.43766666666666665</v>
      </c>
      <c r="D56" s="12" t="s">
        <v>114</v>
      </c>
      <c r="E56" s="12">
        <v>0.185</v>
      </c>
      <c r="F56" s="12">
        <f>B52*B56*C56*E56</f>
        <v>2.8266679596586499E-4</v>
      </c>
      <c r="G56" s="12"/>
    </row>
    <row r="57" spans="1:7">
      <c r="A57" s="12" t="s">
        <v>47</v>
      </c>
      <c r="B57" s="12">
        <v>9.6974398758727695E-5</v>
      </c>
      <c r="C57" s="12">
        <v>2.024</v>
      </c>
      <c r="D57" s="12" t="s">
        <v>114</v>
      </c>
      <c r="E57" s="12">
        <v>7.4999999999999997E-2</v>
      </c>
      <c r="F57" s="12">
        <f>B52*B57*C57*E57</f>
        <v>5.8882854926299455E-5</v>
      </c>
      <c r="G57" s="12"/>
    </row>
    <row r="58" spans="1:7">
      <c r="A58" s="12" t="s">
        <v>48</v>
      </c>
      <c r="B58" s="12">
        <v>4.1408068269976721E-2</v>
      </c>
      <c r="C58" s="12">
        <v>1.21</v>
      </c>
      <c r="D58" s="12" t="s">
        <v>114</v>
      </c>
      <c r="E58" s="12">
        <v>0.21</v>
      </c>
      <c r="F58" s="12">
        <f>B52*B58*C58*E58</f>
        <v>4.2087160589604336E-2</v>
      </c>
      <c r="G58" s="12"/>
    </row>
    <row r="59" spans="1:7">
      <c r="A59" s="12" t="s">
        <v>49</v>
      </c>
      <c r="B59" s="12">
        <v>2.5019394879751744E-2</v>
      </c>
      <c r="C59" s="12">
        <v>0.47799999999999998</v>
      </c>
      <c r="D59" s="12" t="s">
        <v>114</v>
      </c>
      <c r="E59" s="12">
        <v>0.12</v>
      </c>
      <c r="F59" s="12">
        <f>B52*B59*C59*E59</f>
        <v>5.7404499612102398E-3</v>
      </c>
      <c r="G59" s="12"/>
    </row>
    <row r="60" spans="1:7">
      <c r="A60" s="12" t="s">
        <v>50</v>
      </c>
      <c r="B60" s="12">
        <v>1.561287820015516E-2</v>
      </c>
      <c r="C60" s="12">
        <v>0.51700000000000002</v>
      </c>
      <c r="D60" s="12" t="s">
        <v>114</v>
      </c>
      <c r="E60" s="12">
        <v>0.21</v>
      </c>
      <c r="F60" s="12">
        <f>B52*B60*C60*E60</f>
        <v>6.7803607447633829E-3</v>
      </c>
      <c r="G60" s="12"/>
    </row>
    <row r="61" spans="1:7" ht="28.8">
      <c r="A61" s="33" t="s">
        <v>51</v>
      </c>
      <c r="B61" s="12">
        <v>0.10182311869666408</v>
      </c>
      <c r="C61" s="12">
        <v>0.34699999999999998</v>
      </c>
      <c r="D61" s="12" t="s">
        <v>114</v>
      </c>
      <c r="E61" s="12">
        <v>0.185</v>
      </c>
      <c r="F61" s="12">
        <f>B52*B61*C61*E61</f>
        <v>2.61461404189294E-2</v>
      </c>
      <c r="G61" s="12"/>
    </row>
    <row r="62" spans="1:7">
      <c r="A62" s="12" t="s">
        <v>52</v>
      </c>
      <c r="B62" s="12">
        <v>9.7168347556245149E-2</v>
      </c>
      <c r="C62" s="12">
        <v>0.91400000000000003</v>
      </c>
      <c r="D62" s="12" t="s">
        <v>114</v>
      </c>
      <c r="E62" s="12">
        <v>0.16500000000000001</v>
      </c>
      <c r="F62" s="12">
        <f>B52*B62*C62*E62</f>
        <v>5.8615833979829328E-2</v>
      </c>
      <c r="G62" s="12"/>
    </row>
    <row r="63" spans="1:7">
      <c r="A63" s="12" t="s">
        <v>53</v>
      </c>
      <c r="B63" s="12">
        <v>0.55818463925523665</v>
      </c>
      <c r="C63" s="12">
        <v>0.65203333333333346</v>
      </c>
      <c r="D63" s="12" t="s">
        <v>114</v>
      </c>
      <c r="E63" s="12">
        <v>0.19600000000000001</v>
      </c>
      <c r="F63" s="12">
        <f>B52*B63*C63*E63</f>
        <v>0.28534071290406005</v>
      </c>
      <c r="G63" s="12"/>
    </row>
    <row r="64" spans="1:7" ht="15" thickBot="1">
      <c r="A64" s="29" t="s">
        <v>188</v>
      </c>
      <c r="B64" s="30"/>
      <c r="C64" s="30"/>
      <c r="D64" s="30"/>
      <c r="E64" s="30"/>
      <c r="F64" s="31">
        <f>SUM(F54:F63)</f>
        <v>0.47004953175588315</v>
      </c>
      <c r="G64" s="30">
        <f>F64/F73</f>
        <v>0.25649980741608613</v>
      </c>
    </row>
    <row r="65" spans="1:7" ht="16.95" customHeight="1" thickBot="1">
      <c r="A65" s="180" t="s">
        <v>185</v>
      </c>
      <c r="B65" s="181"/>
      <c r="C65" s="181"/>
      <c r="D65" s="181"/>
      <c r="E65" s="181"/>
      <c r="F65" s="181"/>
      <c r="G65" s="182"/>
    </row>
    <row r="66" spans="1:7" ht="29.4" thickBot="1">
      <c r="A66" s="5" t="s">
        <v>54</v>
      </c>
      <c r="B66" s="186">
        <v>0.2</v>
      </c>
      <c r="C66" s="187"/>
      <c r="D66" s="187"/>
      <c r="E66" s="187"/>
      <c r="F66" s="187"/>
      <c r="G66" s="188"/>
    </row>
    <row r="67" spans="1:7" ht="76.5" customHeight="1" thickBot="1">
      <c r="A67" s="44" t="s">
        <v>2</v>
      </c>
      <c r="B67" s="43" t="s">
        <v>3</v>
      </c>
      <c r="C67" s="44" t="s">
        <v>4</v>
      </c>
      <c r="D67" s="44" t="s">
        <v>5</v>
      </c>
      <c r="E67" s="44" t="s">
        <v>6</v>
      </c>
      <c r="F67" s="43" t="s">
        <v>91</v>
      </c>
      <c r="G67" s="43" t="s">
        <v>8</v>
      </c>
    </row>
    <row r="68" spans="1:7">
      <c r="A68" s="12" t="s">
        <v>59</v>
      </c>
      <c r="B68" s="12">
        <v>2.6377036462373934E-2</v>
      </c>
      <c r="C68" s="12">
        <v>0.26900000000000002</v>
      </c>
      <c r="D68" s="12"/>
      <c r="E68" s="12"/>
      <c r="F68" s="12">
        <f>B66*B68*C68</f>
        <v>1.4190845616757178E-3</v>
      </c>
      <c r="G68" s="12"/>
    </row>
    <row r="69" spans="1:7">
      <c r="A69" s="12" t="s">
        <v>149</v>
      </c>
      <c r="B69" s="12">
        <v>4.538401861908456E-2</v>
      </c>
      <c r="C69" s="12">
        <v>0.47</v>
      </c>
      <c r="D69" s="12"/>
      <c r="E69" s="12"/>
      <c r="F69" s="12">
        <f>B66*B69*C69</f>
        <v>4.2660977501939486E-3</v>
      </c>
      <c r="G69" s="12"/>
    </row>
    <row r="70" spans="1:7">
      <c r="A70" s="12" t="s">
        <v>62</v>
      </c>
      <c r="B70" s="12">
        <v>0.92823894491854142</v>
      </c>
      <c r="C70" s="12">
        <v>0.45593939393939392</v>
      </c>
      <c r="D70" s="12"/>
      <c r="E70" s="12"/>
      <c r="F70" s="12">
        <f>B66*B70*C70</f>
        <v>8.4644140395420453E-2</v>
      </c>
      <c r="G70" s="12"/>
    </row>
    <row r="71" spans="1:7" ht="15" thickBot="1">
      <c r="A71" s="29" t="s">
        <v>65</v>
      </c>
      <c r="B71" s="30"/>
      <c r="C71" s="30"/>
      <c r="D71" s="30"/>
      <c r="E71" s="30"/>
      <c r="F71" s="31">
        <f>SUM(F68:F70)</f>
        <v>9.0329322707290119E-2</v>
      </c>
      <c r="G71" s="30">
        <f>F71/F73</f>
        <v>4.9291515708770675E-2</v>
      </c>
    </row>
    <row r="72" spans="1:7">
      <c r="A72" s="203" t="s">
        <v>23</v>
      </c>
      <c r="B72" s="204"/>
      <c r="C72" s="204"/>
      <c r="D72" s="204"/>
      <c r="E72" s="204"/>
      <c r="F72" s="204"/>
      <c r="G72" s="205"/>
    </row>
    <row r="73" spans="1:7">
      <c r="A73" s="13" t="s">
        <v>151</v>
      </c>
      <c r="B73" s="12"/>
      <c r="C73" s="12"/>
      <c r="D73" s="12"/>
      <c r="E73" s="12"/>
      <c r="F73" s="77">
        <f>SUM(F30,F50,F64,F71,F38)</f>
        <v>1.832553156632134</v>
      </c>
      <c r="G73" s="12"/>
    </row>
  </sheetData>
  <mergeCells count="11">
    <mergeCell ref="B66:G66"/>
    <mergeCell ref="A65:G65"/>
    <mergeCell ref="A31:G31"/>
    <mergeCell ref="B32:G32"/>
    <mergeCell ref="A72:G72"/>
    <mergeCell ref="A39:G39"/>
    <mergeCell ref="A2:G2"/>
    <mergeCell ref="B3:G3"/>
    <mergeCell ref="B40:G40"/>
    <mergeCell ref="A51:G51"/>
    <mergeCell ref="B52:G52"/>
  </mergeCells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2F06-8688-4040-9E21-D1FF3A217E4B}">
  <dimension ref="A1:G117"/>
  <sheetViews>
    <sheetView topLeftCell="A94" workbookViewId="0">
      <selection activeCell="A119" sqref="A119"/>
    </sheetView>
  </sheetViews>
  <sheetFormatPr defaultColWidth="8.796875" defaultRowHeight="14.4"/>
  <cols>
    <col min="1" max="1" width="23.296875" style="4" customWidth="1"/>
    <col min="2" max="2" width="13.796875" style="4" customWidth="1"/>
    <col min="3" max="3" width="21" style="4" customWidth="1"/>
    <col min="4" max="4" width="19.296875" style="4" customWidth="1"/>
    <col min="5" max="5" width="16.5" style="4" customWidth="1"/>
    <col min="6" max="6" width="18.69921875" style="4" customWidth="1"/>
    <col min="7" max="7" width="18.5" style="4" customWidth="1"/>
    <col min="8" max="16384" width="8.796875" style="4"/>
  </cols>
  <sheetData>
    <row r="1" spans="1:7" ht="15" thickBot="1">
      <c r="A1" s="40" t="s">
        <v>0</v>
      </c>
      <c r="B1" s="122"/>
      <c r="C1" s="122"/>
      <c r="D1" s="122"/>
      <c r="E1" s="122"/>
      <c r="F1" s="123"/>
      <c r="G1" s="122"/>
    </row>
    <row r="2" spans="1:7" ht="15" thickBot="1">
      <c r="A2" s="180" t="s">
        <v>182</v>
      </c>
      <c r="B2" s="181"/>
      <c r="C2" s="181"/>
      <c r="D2" s="181"/>
      <c r="E2" s="181"/>
      <c r="F2" s="181"/>
      <c r="G2" s="182"/>
    </row>
    <row r="3" spans="1:7" ht="22.05" customHeight="1" thickBot="1">
      <c r="A3" s="105" t="s">
        <v>198</v>
      </c>
      <c r="B3" s="218">
        <f>8/35.274/7</f>
        <v>3.2399420050381093E-2</v>
      </c>
      <c r="C3" s="219"/>
      <c r="D3" s="219"/>
      <c r="E3" s="219"/>
      <c r="F3" s="219"/>
      <c r="G3" s="220"/>
    </row>
    <row r="4" spans="1:7" ht="15.75" customHeight="1" thickBot="1">
      <c r="A4" s="106" t="s">
        <v>2</v>
      </c>
      <c r="B4" s="107" t="s">
        <v>3</v>
      </c>
      <c r="C4" s="106" t="s">
        <v>4</v>
      </c>
      <c r="D4" s="106" t="s">
        <v>133</v>
      </c>
      <c r="E4" s="106" t="s">
        <v>6</v>
      </c>
      <c r="F4" s="107" t="s">
        <v>134</v>
      </c>
      <c r="G4" s="107" t="s">
        <v>8</v>
      </c>
    </row>
    <row r="5" spans="1:7" ht="15.75" customHeight="1">
      <c r="A5" s="124" t="s">
        <v>27</v>
      </c>
      <c r="B5" s="125">
        <v>0.16666929336710798</v>
      </c>
      <c r="C5" s="126">
        <v>4.8252668759459452</v>
      </c>
      <c r="D5" s="126" t="s">
        <v>11</v>
      </c>
      <c r="E5" s="126">
        <v>1.2749999999999999</v>
      </c>
      <c r="F5" s="125">
        <f>B3*B5*C5*E5</f>
        <v>3.3221891353893022E-2</v>
      </c>
      <c r="G5" s="111"/>
    </row>
    <row r="6" spans="1:7" s="103" customFormat="1" ht="15.75" customHeight="1">
      <c r="A6" s="126" t="s">
        <v>28</v>
      </c>
      <c r="B6" s="127">
        <v>0.31124736539073311</v>
      </c>
      <c r="C6" s="126">
        <v>4.8285502525925947</v>
      </c>
      <c r="D6" s="126" t="s">
        <v>11</v>
      </c>
      <c r="E6" s="126">
        <v>1.25</v>
      </c>
      <c r="F6" s="127">
        <f>B3*B6*C6*E6</f>
        <v>6.0865289074761811E-2</v>
      </c>
      <c r="G6" s="113"/>
    </row>
    <row r="7" spans="1:7" s="103" customFormat="1" ht="15.75" customHeight="1">
      <c r="A7" s="126" t="s">
        <v>120</v>
      </c>
      <c r="B7" s="127">
        <v>5.2891382528900488E-4</v>
      </c>
      <c r="C7" s="126">
        <v>3.6740210518316871</v>
      </c>
      <c r="D7" s="126" t="s">
        <v>11</v>
      </c>
      <c r="E7" s="126">
        <v>1.2549999999999999</v>
      </c>
      <c r="F7" s="127">
        <f>B3*B7*C7*E7</f>
        <v>7.9014632016762533E-5</v>
      </c>
      <c r="G7" s="113"/>
    </row>
    <row r="8" spans="1:7" s="103" customFormat="1" ht="15.75" customHeight="1">
      <c r="A8" s="126" t="s">
        <v>30</v>
      </c>
      <c r="B8" s="127">
        <v>0.15285609550852242</v>
      </c>
      <c r="C8" s="126">
        <v>1.368246026956522</v>
      </c>
      <c r="D8" s="126" t="s">
        <v>11</v>
      </c>
      <c r="E8" s="126">
        <v>1.2549999999999999</v>
      </c>
      <c r="F8" s="127">
        <f>B3*B8*C8*E8</f>
        <v>8.5040914132272615E-3</v>
      </c>
      <c r="G8" s="113"/>
    </row>
    <row r="9" spans="1:7" s="103" customFormat="1" ht="15.75" customHeight="1">
      <c r="A9" s="126" t="s">
        <v>121</v>
      </c>
      <c r="B9" s="127">
        <v>8.7885379037671629E-2</v>
      </c>
      <c r="C9" s="126">
        <v>3.1429999999999998</v>
      </c>
      <c r="D9" s="126" t="s">
        <v>11</v>
      </c>
      <c r="E9" s="126">
        <v>1.25</v>
      </c>
      <c r="F9" s="127">
        <f>B3*B9*C9*E9</f>
        <v>1.1186861480953266E-2</v>
      </c>
      <c r="G9" s="113"/>
    </row>
    <row r="10" spans="1:7" s="103" customFormat="1" ht="15.75" customHeight="1">
      <c r="A10" s="126" t="s">
        <v>32</v>
      </c>
      <c r="B10" s="127">
        <v>0.28081295287067587</v>
      </c>
      <c r="C10" s="126">
        <v>30.658000000000001</v>
      </c>
      <c r="D10" s="126" t="s">
        <v>11</v>
      </c>
      <c r="E10" s="126">
        <v>1.28</v>
      </c>
      <c r="F10" s="127">
        <f>B3*B10*C10*E10</f>
        <v>0.35703283816197279</v>
      </c>
      <c r="G10" s="113"/>
    </row>
    <row r="11" spans="1:7" s="103" customFormat="1" ht="15.75" customHeight="1" thickBot="1">
      <c r="A11" s="114" t="s">
        <v>23</v>
      </c>
      <c r="B11" s="115"/>
      <c r="C11" s="114"/>
      <c r="D11" s="114"/>
      <c r="E11" s="114"/>
      <c r="F11" s="131">
        <f>SUM(F5:F10)</f>
        <v>0.47088998611682492</v>
      </c>
      <c r="G11" s="116"/>
    </row>
    <row r="12" spans="1:7" s="103" customFormat="1" ht="15.75" customHeight="1" thickTop="1" thickBot="1">
      <c r="A12" s="105" t="s">
        <v>199</v>
      </c>
      <c r="B12" s="221">
        <f>26/35.274/7</f>
        <v>0.10529811516373856</v>
      </c>
      <c r="C12" s="222"/>
      <c r="D12" s="222"/>
      <c r="E12" s="222"/>
      <c r="F12" s="222"/>
      <c r="G12" s="223"/>
    </row>
    <row r="13" spans="1:7" s="103" customFormat="1" ht="15.75" customHeight="1" thickBot="1">
      <c r="A13" s="106" t="s">
        <v>2</v>
      </c>
      <c r="B13" s="107" t="s">
        <v>3</v>
      </c>
      <c r="C13" s="106" t="s">
        <v>4</v>
      </c>
      <c r="D13" s="106" t="s">
        <v>133</v>
      </c>
      <c r="E13" s="106" t="s">
        <v>6</v>
      </c>
      <c r="F13" s="107" t="s">
        <v>134</v>
      </c>
      <c r="G13" s="107" t="s">
        <v>8</v>
      </c>
    </row>
    <row r="14" spans="1:7" s="103" customFormat="1" ht="15.75" customHeight="1">
      <c r="A14" s="124" t="s">
        <v>25</v>
      </c>
      <c r="B14" s="125">
        <v>0.15953207965910274</v>
      </c>
      <c r="C14" s="127">
        <v>0.12469794964937388</v>
      </c>
      <c r="D14" s="126">
        <v>3.754</v>
      </c>
      <c r="E14" s="117"/>
      <c r="F14" s="126">
        <f>B12*B14*C14*D14</f>
        <v>7.8636143221786949E-3</v>
      </c>
      <c r="G14" s="111"/>
    </row>
    <row r="15" spans="1:7" s="103" customFormat="1" ht="15.75" customHeight="1">
      <c r="A15" s="126" t="s">
        <v>10</v>
      </c>
      <c r="B15" s="127">
        <v>0.40463385260674017</v>
      </c>
      <c r="C15" s="126">
        <v>3.1966666666666668</v>
      </c>
      <c r="D15" s="126" t="s">
        <v>11</v>
      </c>
      <c r="E15" s="126">
        <v>1.17</v>
      </c>
      <c r="F15" s="127">
        <f>B12*B15*C15*E15</f>
        <v>0.15935512143908581</v>
      </c>
      <c r="G15" s="113"/>
    </row>
    <row r="16" spans="1:7" s="103" customFormat="1" ht="15.75" customHeight="1">
      <c r="A16" s="126" t="s">
        <v>12</v>
      </c>
      <c r="B16" s="127">
        <v>0.18556018523661152</v>
      </c>
      <c r="C16" s="126">
        <v>5.56</v>
      </c>
      <c r="D16" s="126" t="s">
        <v>11</v>
      </c>
      <c r="E16" s="126">
        <v>1.335</v>
      </c>
      <c r="F16" s="127">
        <f>B12*B16*C16*E16</f>
        <v>0.14503120389914501</v>
      </c>
      <c r="G16" s="113"/>
    </row>
    <row r="17" spans="1:7" s="103" customFormat="1" ht="15.75" customHeight="1">
      <c r="A17" s="126" t="s">
        <v>13</v>
      </c>
      <c r="B17" s="127">
        <v>3.024802371883946E-3</v>
      </c>
      <c r="C17" s="126">
        <v>34.744999999999997</v>
      </c>
      <c r="D17" s="126" t="s">
        <v>11</v>
      </c>
      <c r="E17" s="126">
        <v>1.1499999999999999</v>
      </c>
      <c r="F17" s="127">
        <f>B12*B17*C17*E17</f>
        <v>1.272646415608469E-2</v>
      </c>
      <c r="G17" s="113"/>
    </row>
    <row r="18" spans="1:7" s="103" customFormat="1" ht="15.75" customHeight="1">
      <c r="A18" s="126" t="s">
        <v>14</v>
      </c>
      <c r="B18" s="127">
        <v>0.23679405416426827</v>
      </c>
      <c r="C18" s="126">
        <v>32.845999999999997</v>
      </c>
      <c r="D18" s="126" t="s">
        <v>11</v>
      </c>
      <c r="E18" s="126">
        <v>1.2549999999999999</v>
      </c>
      <c r="F18" s="127">
        <f>B12*B18*C18*E18</f>
        <v>1.0278212796373123</v>
      </c>
      <c r="G18" s="113"/>
    </row>
    <row r="19" spans="1:7" s="103" customFormat="1" ht="15.75" customHeight="1">
      <c r="A19" s="126" t="s">
        <v>15</v>
      </c>
      <c r="B19" s="127">
        <v>3.5394843649994762E-3</v>
      </c>
      <c r="C19" s="126">
        <v>3.1966666666666668</v>
      </c>
      <c r="D19" s="126" t="s">
        <v>11</v>
      </c>
      <c r="E19" s="126">
        <v>1.17</v>
      </c>
      <c r="F19" s="127">
        <f>B12*B19*C19*E19</f>
        <v>1.3939391308527447E-3</v>
      </c>
      <c r="G19" s="113"/>
    </row>
    <row r="20" spans="1:7" s="103" customFormat="1" ht="15.75" customHeight="1">
      <c r="A20" s="126" t="s">
        <v>16</v>
      </c>
      <c r="B20" s="127">
        <v>1.6231646714189249E-3</v>
      </c>
      <c r="C20" s="126">
        <v>5.56</v>
      </c>
      <c r="D20" s="126" t="s">
        <v>11</v>
      </c>
      <c r="E20" s="126">
        <v>1.335</v>
      </c>
      <c r="F20" s="127">
        <f>B12*B20*C20*E20</f>
        <v>1.2686424413851029E-3</v>
      </c>
      <c r="G20" s="113"/>
    </row>
    <row r="21" spans="1:7" s="103" customFormat="1" ht="15.75" customHeight="1">
      <c r="A21" s="126" t="s">
        <v>17</v>
      </c>
      <c r="B21" s="127">
        <v>2.6459083029075797E-5</v>
      </c>
      <c r="C21" s="126">
        <v>34.744999999999997</v>
      </c>
      <c r="D21" s="126" t="s">
        <v>11</v>
      </c>
      <c r="E21" s="126">
        <v>1.1499999999999999</v>
      </c>
      <c r="F21" s="127">
        <f>B12*B21*C21*E21</f>
        <v>1.1132316441641607E-4</v>
      </c>
      <c r="G21" s="113"/>
    </row>
    <row r="22" spans="1:7" s="103" customFormat="1" ht="15.75" customHeight="1">
      <c r="A22" s="126" t="s">
        <v>18</v>
      </c>
      <c r="B22" s="127">
        <v>2.0713265759645578E-3</v>
      </c>
      <c r="C22" s="126">
        <v>32.845999999999997</v>
      </c>
      <c r="D22" s="126" t="s">
        <v>11</v>
      </c>
      <c r="E22" s="126">
        <v>1.2549999999999999</v>
      </c>
      <c r="F22" s="127">
        <f>B12*B22*C22*E22</f>
        <v>8.9907389751339405E-3</v>
      </c>
      <c r="G22" s="113"/>
    </row>
    <row r="23" spans="1:7" s="103" customFormat="1" ht="15.75" customHeight="1">
      <c r="A23" s="126" t="s">
        <v>19</v>
      </c>
      <c r="B23" s="127">
        <v>1.5573731205997697E-3</v>
      </c>
      <c r="C23" s="126">
        <v>3.1966666666666668</v>
      </c>
      <c r="D23" s="126" t="s">
        <v>11</v>
      </c>
      <c r="E23" s="126">
        <v>1.17</v>
      </c>
      <c r="F23" s="127">
        <f>B12*B23*C23*E23</f>
        <v>6.1333321757520783E-4</v>
      </c>
      <c r="G23" s="113"/>
    </row>
    <row r="24" spans="1:7" s="103" customFormat="1" ht="15.75" customHeight="1">
      <c r="A24" s="126" t="s">
        <v>20</v>
      </c>
      <c r="B24" s="127">
        <v>7.1419245542432694E-4</v>
      </c>
      <c r="C24" s="126">
        <v>5.56</v>
      </c>
      <c r="D24" s="126" t="s">
        <v>11</v>
      </c>
      <c r="E24" s="126">
        <v>1.335</v>
      </c>
      <c r="F24" s="127">
        <f>B12*B24*C24*E24</f>
        <v>5.5820267420944526E-4</v>
      </c>
      <c r="G24" s="113"/>
    </row>
    <row r="25" spans="1:7" s="103" customFormat="1" ht="15.75" customHeight="1">
      <c r="A25" s="126" t="s">
        <v>21</v>
      </c>
      <c r="B25" s="127">
        <v>1.1641996532793353E-5</v>
      </c>
      <c r="C25" s="126">
        <v>34.744999999999997</v>
      </c>
      <c r="D25" s="126" t="s">
        <v>11</v>
      </c>
      <c r="E25" s="126">
        <v>1.1499999999999999</v>
      </c>
      <c r="F25" s="127">
        <f>B12*B25*C25*E25</f>
        <v>4.8982192343223088E-5</v>
      </c>
      <c r="G25" s="113"/>
    </row>
    <row r="26" spans="1:7" s="103" customFormat="1" ht="15.75" customHeight="1">
      <c r="A26" s="126" t="s">
        <v>22</v>
      </c>
      <c r="B26" s="127">
        <v>9.1138369342440555E-4</v>
      </c>
      <c r="C26" s="126">
        <v>32.845999999999997</v>
      </c>
      <c r="D26" s="126" t="s">
        <v>11</v>
      </c>
      <c r="E26" s="126">
        <v>1.2549999999999999</v>
      </c>
      <c r="F26" s="127">
        <f>B12*B26*C26*E26</f>
        <v>3.9559251490589335E-3</v>
      </c>
      <c r="G26" s="113"/>
    </row>
    <row r="27" spans="1:7" s="103" customFormat="1" ht="15.75" customHeight="1" thickBot="1">
      <c r="A27" s="114" t="s">
        <v>23</v>
      </c>
      <c r="B27" s="115"/>
      <c r="C27" s="114"/>
      <c r="D27" s="114"/>
      <c r="E27" s="114"/>
      <c r="F27" s="132">
        <f>SUM(F14:F26)</f>
        <v>1.3697387703987816</v>
      </c>
      <c r="G27" s="115"/>
    </row>
    <row r="28" spans="1:7" ht="15" customHeight="1" thickTop="1" thickBot="1">
      <c r="A28" s="105" t="s">
        <v>200</v>
      </c>
      <c r="B28" s="221">
        <f>5/35.274/7</f>
        <v>2.0249637531488184E-2</v>
      </c>
      <c r="C28" s="222"/>
      <c r="D28" s="222"/>
      <c r="E28" s="222"/>
      <c r="F28" s="222"/>
      <c r="G28" s="223"/>
    </row>
    <row r="29" spans="1:7" ht="13.5" customHeight="1" thickBot="1">
      <c r="A29" s="106" t="s">
        <v>2</v>
      </c>
      <c r="B29" s="107" t="s">
        <v>3</v>
      </c>
      <c r="C29" s="106" t="s">
        <v>4</v>
      </c>
      <c r="D29" s="106" t="s">
        <v>133</v>
      </c>
      <c r="E29" s="106" t="s">
        <v>6</v>
      </c>
      <c r="F29" s="107" t="s">
        <v>134</v>
      </c>
      <c r="G29" s="118" t="s">
        <v>8</v>
      </c>
    </row>
    <row r="30" spans="1:7" ht="15" customHeight="1">
      <c r="A30" s="124" t="s">
        <v>117</v>
      </c>
      <c r="B30" s="127">
        <v>2.153639547473157E-2</v>
      </c>
      <c r="C30" s="126">
        <v>0.374</v>
      </c>
      <c r="D30" s="126"/>
      <c r="E30" s="117"/>
      <c r="F30" s="125">
        <f>B28*B30*C30</f>
        <v>1.6310297158468818E-4</v>
      </c>
      <c r="G30" s="113"/>
    </row>
    <row r="31" spans="1:7" ht="14.25" customHeight="1">
      <c r="A31" s="126" t="s">
        <v>118</v>
      </c>
      <c r="B31" s="127">
        <v>2.05045711394739E-2</v>
      </c>
      <c r="C31" s="126">
        <v>2.1149090909090908</v>
      </c>
      <c r="D31" s="117"/>
      <c r="E31" s="126"/>
      <c r="F31" s="127">
        <f>B28*B31*C31</f>
        <v>8.7813168558115487E-4</v>
      </c>
      <c r="G31" s="113"/>
    </row>
    <row r="32" spans="1:7" ht="13.5" customHeight="1">
      <c r="A32" s="126" t="s">
        <v>58</v>
      </c>
      <c r="B32" s="127">
        <v>9.9749134366031731E-4</v>
      </c>
      <c r="C32" s="126">
        <v>1.1539999999999999</v>
      </c>
      <c r="D32" s="124" t="s">
        <v>11</v>
      </c>
      <c r="E32" s="126">
        <v>0.38535645472061658</v>
      </c>
      <c r="F32" s="127">
        <f>B28*B32*C32*E32</f>
        <v>8.9824505684030812E-6</v>
      </c>
      <c r="G32" s="113"/>
    </row>
    <row r="33" spans="1:7" ht="18.75" customHeight="1">
      <c r="A33" s="126" t="s">
        <v>119</v>
      </c>
      <c r="B33" s="127">
        <v>3.1548786909795972E-3</v>
      </c>
      <c r="C33" s="126">
        <v>0.84799999999999998</v>
      </c>
      <c r="D33" s="117"/>
      <c r="E33" s="117"/>
      <c r="F33" s="127">
        <f>B28*B33*C33</f>
        <v>5.4174607156033539E-5</v>
      </c>
      <c r="G33" s="113"/>
    </row>
    <row r="34" spans="1:7" ht="15" customHeight="1">
      <c r="A34" s="119" t="s">
        <v>23</v>
      </c>
      <c r="B34" s="129"/>
      <c r="C34" s="128"/>
      <c r="D34" s="119"/>
      <c r="E34" s="119"/>
      <c r="F34" s="133">
        <f>SUM(F30:F33)</f>
        <v>1.1043917148902797E-3</v>
      </c>
      <c r="G34" s="113"/>
    </row>
    <row r="35" spans="1:7" ht="13.5" customHeight="1" thickBot="1">
      <c r="A35" s="120" t="s">
        <v>33</v>
      </c>
      <c r="B35" s="130"/>
      <c r="C35" s="130"/>
      <c r="D35" s="130"/>
      <c r="E35" s="130"/>
      <c r="F35" s="121">
        <f>SUM(F11,F27,F34)</f>
        <v>1.8417331482304968</v>
      </c>
      <c r="G35" s="130">
        <f>F35/F117</f>
        <v>0.4805110147120476</v>
      </c>
    </row>
    <row r="36" spans="1:7" ht="15" thickBot="1">
      <c r="A36" s="180" t="s">
        <v>189</v>
      </c>
      <c r="B36" s="181"/>
      <c r="C36" s="181"/>
      <c r="D36" s="181"/>
      <c r="E36" s="181"/>
      <c r="F36" s="181"/>
      <c r="G36" s="182"/>
    </row>
    <row r="37" spans="1:7" ht="29.4" thickBot="1">
      <c r="A37" s="52" t="s">
        <v>144</v>
      </c>
      <c r="B37" s="186">
        <v>3</v>
      </c>
      <c r="C37" s="187"/>
      <c r="D37" s="187"/>
      <c r="E37" s="187"/>
      <c r="F37" s="187"/>
      <c r="G37" s="188"/>
    </row>
    <row r="38" spans="1:7" ht="72.599999999999994" thickBot="1">
      <c r="A38" s="7" t="s">
        <v>130</v>
      </c>
      <c r="B38" s="8" t="s">
        <v>131</v>
      </c>
      <c r="C38" s="7" t="s">
        <v>4</v>
      </c>
      <c r="D38" s="7" t="s">
        <v>133</v>
      </c>
      <c r="E38" s="7" t="s">
        <v>6</v>
      </c>
      <c r="F38" s="8" t="s">
        <v>134</v>
      </c>
      <c r="G38" s="8" t="s">
        <v>8</v>
      </c>
    </row>
    <row r="39" spans="1:7">
      <c r="A39" s="9" t="s">
        <v>82</v>
      </c>
      <c r="B39" s="9">
        <v>0.82208852599914062</v>
      </c>
      <c r="C39" s="9">
        <v>1.3233105925925925</v>
      </c>
      <c r="D39" s="9" t="s">
        <v>140</v>
      </c>
      <c r="E39" s="9">
        <v>0.245</v>
      </c>
      <c r="F39" s="9">
        <f>B37*B39*C39*E39</f>
        <v>0.79959066406006785</v>
      </c>
      <c r="G39" s="9"/>
    </row>
    <row r="40" spans="1:7">
      <c r="A40" s="12" t="s">
        <v>80</v>
      </c>
      <c r="B40" s="12">
        <v>0.16233347657928665</v>
      </c>
      <c r="C40" s="12">
        <v>8.4202700000000004</v>
      </c>
      <c r="D40" s="12" t="s">
        <v>140</v>
      </c>
      <c r="E40" s="12">
        <v>6.9000000000000006E-2</v>
      </c>
      <c r="F40" s="12">
        <f>B37*B40*C40*E40</f>
        <v>0.28294658248710791</v>
      </c>
      <c r="G40" s="12"/>
    </row>
    <row r="41" spans="1:7">
      <c r="A41" s="12" t="s">
        <v>83</v>
      </c>
      <c r="B41" s="12">
        <v>1.4825956166738291E-2</v>
      </c>
      <c r="C41" s="12">
        <v>14.077772261623325</v>
      </c>
      <c r="D41" s="12" t="s">
        <v>140</v>
      </c>
      <c r="E41" s="12">
        <v>2.5000000000000001E-2</v>
      </c>
      <c r="F41" s="12">
        <f>B37*B41*C41*E41</f>
        <v>1.5653732585711368E-2</v>
      </c>
      <c r="G41" s="12"/>
    </row>
    <row r="42" spans="1:7">
      <c r="A42" s="12" t="s">
        <v>84</v>
      </c>
      <c r="B42" s="12">
        <v>7.5204125483455109E-4</v>
      </c>
      <c r="C42" s="12">
        <v>10.734301349487785</v>
      </c>
      <c r="D42" s="12" t="s">
        <v>140</v>
      </c>
      <c r="E42" s="12">
        <v>2.5000000000000001E-2</v>
      </c>
      <c r="F42" s="12">
        <f>B37*B42*C42*E42</f>
        <v>6.0544780924807562E-4</v>
      </c>
      <c r="G42" s="12"/>
    </row>
    <row r="43" spans="1:7" ht="15" thickBot="1">
      <c r="A43" s="13" t="s">
        <v>85</v>
      </c>
      <c r="B43" s="12"/>
      <c r="C43" s="12"/>
      <c r="D43" s="12"/>
      <c r="E43" s="12"/>
      <c r="F43" s="45">
        <f>SUM(F39:F42)</f>
        <v>1.0987964269421353</v>
      </c>
      <c r="G43" s="12">
        <f>F43/F117</f>
        <v>0.28667767997726207</v>
      </c>
    </row>
    <row r="44" spans="1:7" ht="16.95" customHeight="1" thickBot="1">
      <c r="A44" s="180" t="s">
        <v>183</v>
      </c>
      <c r="B44" s="181"/>
      <c r="C44" s="181"/>
      <c r="D44" s="181"/>
      <c r="E44" s="181"/>
      <c r="F44" s="181"/>
      <c r="G44" s="182"/>
    </row>
    <row r="45" spans="1:7" ht="29.4" thickBot="1">
      <c r="A45" s="52" t="s">
        <v>34</v>
      </c>
      <c r="B45" s="186">
        <v>0.17</v>
      </c>
      <c r="C45" s="187"/>
      <c r="D45" s="187"/>
      <c r="E45" s="187"/>
      <c r="F45" s="187"/>
      <c r="G45" s="188"/>
    </row>
    <row r="46" spans="1:7" ht="74.25" customHeight="1" thickBot="1">
      <c r="A46" s="7" t="s">
        <v>2</v>
      </c>
      <c r="B46" s="8" t="s">
        <v>3</v>
      </c>
      <c r="C46" s="7" t="s">
        <v>4</v>
      </c>
      <c r="D46" s="44" t="s">
        <v>133</v>
      </c>
      <c r="E46" s="44" t="s">
        <v>6</v>
      </c>
      <c r="F46" s="43" t="s">
        <v>134</v>
      </c>
      <c r="G46" s="8" t="s">
        <v>8</v>
      </c>
    </row>
    <row r="47" spans="1:7">
      <c r="A47" s="9" t="s">
        <v>35</v>
      </c>
      <c r="B47" s="9">
        <v>3.7680047387270775E-3</v>
      </c>
      <c r="C47" s="9">
        <v>0.39300000000000002</v>
      </c>
      <c r="D47" s="9" t="s">
        <v>135</v>
      </c>
      <c r="E47" s="9">
        <v>0.34965034965034963</v>
      </c>
      <c r="F47" s="9">
        <f>B45*B47*C47*E47</f>
        <v>8.8021117690334288E-5</v>
      </c>
      <c r="G47" s="9"/>
    </row>
    <row r="48" spans="1:7">
      <c r="A48" s="12" t="s">
        <v>36</v>
      </c>
      <c r="B48" s="12">
        <v>0.11594598525682508</v>
      </c>
      <c r="C48" s="12">
        <v>0.55000000000000004</v>
      </c>
      <c r="D48" s="9" t="s">
        <v>135</v>
      </c>
      <c r="E48" s="12">
        <v>0.29667146320768484</v>
      </c>
      <c r="F48" s="12">
        <f>B45*B48*C48*E48</f>
        <v>3.2162003867751022E-3</v>
      </c>
      <c r="G48" s="12"/>
    </row>
    <row r="49" spans="1:7">
      <c r="A49" s="12" t="s">
        <v>38</v>
      </c>
      <c r="B49" s="12">
        <v>5.5579387380398776E-2</v>
      </c>
      <c r="C49" s="12">
        <v>0.47399999999999998</v>
      </c>
      <c r="D49" s="9" t="s">
        <v>135</v>
      </c>
      <c r="E49" s="12">
        <v>0.18726591760299627</v>
      </c>
      <c r="F49" s="12">
        <f>B45*B49*C49*E49</f>
        <v>8.3868671069523102E-4</v>
      </c>
      <c r="G49" s="12"/>
    </row>
    <row r="50" spans="1:7">
      <c r="A50" s="12" t="s">
        <v>39</v>
      </c>
      <c r="B50" s="12">
        <v>5.4385746718410406E-2</v>
      </c>
      <c r="C50" s="12">
        <v>1.8580000000000001</v>
      </c>
      <c r="D50" s="9" t="s">
        <v>135</v>
      </c>
      <c r="E50" s="12">
        <v>0.33530417677236202</v>
      </c>
      <c r="F50" s="12">
        <f>B45*B50*C50*E50</f>
        <v>5.7599496904506874E-3</v>
      </c>
      <c r="G50" s="12"/>
    </row>
    <row r="51" spans="1:7">
      <c r="A51" s="12" t="s">
        <v>40</v>
      </c>
      <c r="B51" s="12">
        <v>2.5576320277240828E-3</v>
      </c>
      <c r="C51" s="12">
        <v>0.38500000000000001</v>
      </c>
      <c r="D51" s="9" t="s">
        <v>135</v>
      </c>
      <c r="E51" s="12">
        <v>0.29667146320768484</v>
      </c>
      <c r="F51" s="12">
        <f>B45*B51*C51*E51</f>
        <v>4.9661917736968489E-5</v>
      </c>
      <c r="G51" s="12"/>
    </row>
    <row r="52" spans="1:7">
      <c r="A52" s="12" t="s">
        <v>41</v>
      </c>
      <c r="B52" s="12">
        <v>0.76189016292536293</v>
      </c>
      <c r="C52" s="12">
        <v>0.34699999999999998</v>
      </c>
      <c r="D52" s="9" t="s">
        <v>135</v>
      </c>
      <c r="E52" s="12">
        <v>0.29667146320768484</v>
      </c>
      <c r="F52" s="12">
        <f>B45*B52*C52*E52</f>
        <v>1.3333572786183533E-2</v>
      </c>
      <c r="G52" s="12"/>
    </row>
    <row r="53" spans="1:7">
      <c r="A53" s="12" t="s">
        <v>42</v>
      </c>
      <c r="B53" s="12">
        <v>5.8730809525515976E-3</v>
      </c>
      <c r="C53" s="12">
        <v>0.75775000000000003</v>
      </c>
      <c r="D53" s="9" t="s">
        <v>135</v>
      </c>
      <c r="E53" s="12">
        <v>0.29667146320768484</v>
      </c>
      <c r="F53" s="12">
        <f>B45*B53*C53*E53</f>
        <v>2.2444845851290511E-4</v>
      </c>
      <c r="G53" s="12"/>
    </row>
    <row r="54" spans="1:7" ht="15" thickBot="1">
      <c r="A54" s="29" t="s">
        <v>187</v>
      </c>
      <c r="B54" s="30"/>
      <c r="C54" s="30"/>
      <c r="D54" s="30"/>
      <c r="E54" s="30"/>
      <c r="F54" s="31">
        <f>SUM(F47:F53)</f>
        <v>2.3510541068044764E-2</v>
      </c>
      <c r="G54" s="30">
        <f>F54/F117</f>
        <v>6.1339363717753991E-3</v>
      </c>
    </row>
    <row r="55" spans="1:7" ht="16.95" customHeight="1" thickBot="1">
      <c r="A55" s="180" t="s">
        <v>184</v>
      </c>
      <c r="B55" s="181"/>
      <c r="C55" s="181"/>
      <c r="D55" s="181"/>
      <c r="E55" s="181"/>
      <c r="F55" s="181"/>
      <c r="G55" s="182"/>
    </row>
    <row r="56" spans="1:7" ht="28.95" customHeight="1" thickBot="1">
      <c r="A56" s="52" t="s">
        <v>124</v>
      </c>
      <c r="B56" s="212">
        <v>2</v>
      </c>
      <c r="C56" s="213"/>
      <c r="D56" s="213"/>
      <c r="E56" s="213"/>
      <c r="F56" s="213"/>
      <c r="G56" s="214"/>
    </row>
    <row r="57" spans="1:7" ht="35.25" customHeight="1" thickBot="1">
      <c r="A57" s="8" t="s">
        <v>136</v>
      </c>
      <c r="B57" s="8" t="s">
        <v>137</v>
      </c>
      <c r="C57" s="8" t="s">
        <v>138</v>
      </c>
      <c r="D57" s="44" t="s">
        <v>133</v>
      </c>
      <c r="E57" s="43" t="s">
        <v>6</v>
      </c>
      <c r="F57" s="43" t="s">
        <v>139</v>
      </c>
      <c r="G57" s="8" t="s">
        <v>8</v>
      </c>
    </row>
    <row r="58" spans="1:7">
      <c r="A58" s="9" t="s">
        <v>44</v>
      </c>
      <c r="B58" s="9">
        <v>0.17805442964678633</v>
      </c>
      <c r="C58" s="9">
        <v>0.22800000000000001</v>
      </c>
      <c r="D58" s="9" t="s">
        <v>140</v>
      </c>
      <c r="E58" s="9">
        <v>0.11</v>
      </c>
      <c r="F58" s="9">
        <f>B56*B58*C58*E58</f>
        <v>8.9312101910828025E-3</v>
      </c>
      <c r="G58" s="9"/>
    </row>
    <row r="59" spans="1:7">
      <c r="A59" s="12" t="s">
        <v>45</v>
      </c>
      <c r="B59" s="12">
        <v>0.11320208453966417</v>
      </c>
      <c r="C59" s="12">
        <v>0.374</v>
      </c>
      <c r="D59" s="9" t="s">
        <v>140</v>
      </c>
      <c r="E59" s="12">
        <v>0.15</v>
      </c>
      <c r="F59" s="12">
        <f>B56*B59*C59*E59</f>
        <v>1.270127388535032E-2</v>
      </c>
      <c r="G59" s="12"/>
    </row>
    <row r="60" spans="1:7">
      <c r="A60" s="12" t="s">
        <v>46</v>
      </c>
      <c r="B60" s="12">
        <v>1.5441034549314805E-3</v>
      </c>
      <c r="C60" s="12">
        <v>0.43766666666666665</v>
      </c>
      <c r="D60" s="9" t="s">
        <v>140</v>
      </c>
      <c r="E60" s="12">
        <v>0.185</v>
      </c>
      <c r="F60" s="12">
        <f>B56*B60*C60*E60</f>
        <v>2.500469664800875E-4</v>
      </c>
      <c r="G60" s="12"/>
    </row>
    <row r="61" spans="1:7">
      <c r="A61" s="12" t="s">
        <v>47</v>
      </c>
      <c r="B61" s="12">
        <v>1.3510905230650456E-3</v>
      </c>
      <c r="C61" s="12">
        <v>2.024</v>
      </c>
      <c r="D61" s="9" t="s">
        <v>140</v>
      </c>
      <c r="E61" s="12">
        <v>7.4999999999999997E-2</v>
      </c>
      <c r="F61" s="12">
        <f>B56*B61*C61*E61</f>
        <v>4.1019108280254782E-4</v>
      </c>
      <c r="G61" s="12"/>
    </row>
    <row r="62" spans="1:7">
      <c r="A62" s="12" t="s">
        <v>48</v>
      </c>
      <c r="B62" s="12">
        <v>1.6502605674580197E-2</v>
      </c>
      <c r="C62" s="12">
        <v>1.21</v>
      </c>
      <c r="D62" s="9" t="s">
        <v>140</v>
      </c>
      <c r="E62" s="12">
        <v>0.21</v>
      </c>
      <c r="F62" s="12">
        <f>B56*B62*C62*E62</f>
        <v>8.3866242038216562E-3</v>
      </c>
      <c r="G62" s="12"/>
    </row>
    <row r="63" spans="1:7">
      <c r="A63" s="12" t="s">
        <v>49</v>
      </c>
      <c r="B63" s="12">
        <v>8.4732677089364994E-2</v>
      </c>
      <c r="C63" s="12">
        <v>0.47799999999999998</v>
      </c>
      <c r="D63" s="9" t="s">
        <v>140</v>
      </c>
      <c r="E63" s="12">
        <v>0.12</v>
      </c>
      <c r="F63" s="12">
        <f>B56*B63*C63*E63</f>
        <v>9.7205327156919524E-3</v>
      </c>
      <c r="G63" s="12"/>
    </row>
    <row r="64" spans="1:7">
      <c r="A64" s="12" t="s">
        <v>141</v>
      </c>
      <c r="B64" s="12">
        <v>9.0619571511291269E-2</v>
      </c>
      <c r="C64" s="12">
        <v>0.51700000000000002</v>
      </c>
      <c r="D64" s="9" t="s">
        <v>140</v>
      </c>
      <c r="E64" s="12">
        <v>0.21</v>
      </c>
      <c r="F64" s="12">
        <f>B56*B64*C64*E64</f>
        <v>1.9677133757961787E-2</v>
      </c>
      <c r="G64" s="12"/>
    </row>
    <row r="65" spans="1:7" ht="28.8">
      <c r="A65" s="33" t="s">
        <v>51</v>
      </c>
      <c r="B65" s="12">
        <v>0.23093997297818955</v>
      </c>
      <c r="C65" s="12">
        <v>0.34699999999999998</v>
      </c>
      <c r="D65" s="9" t="s">
        <v>140</v>
      </c>
      <c r="E65" s="12">
        <v>0.185</v>
      </c>
      <c r="F65" s="12">
        <f>B56*B65*C65*E65</f>
        <v>2.9650383130669755E-2</v>
      </c>
      <c r="G65" s="12"/>
    </row>
    <row r="66" spans="1:7">
      <c r="A66" s="12" t="s">
        <v>52</v>
      </c>
      <c r="B66" s="12">
        <v>6.1281605867593132E-2</v>
      </c>
      <c r="C66" s="12">
        <v>0.91400000000000003</v>
      </c>
      <c r="D66" s="9" t="s">
        <v>140</v>
      </c>
      <c r="E66" s="12">
        <v>0.16500000000000001</v>
      </c>
      <c r="F66" s="12">
        <f>B56*B66*C66*E66</f>
        <v>1.8483757961783441E-2</v>
      </c>
      <c r="G66" s="12"/>
    </row>
    <row r="67" spans="1:7">
      <c r="A67" s="12" t="s">
        <v>53</v>
      </c>
      <c r="B67" s="12">
        <v>0.22177185871453389</v>
      </c>
      <c r="C67" s="12">
        <v>0.65203333333333346</v>
      </c>
      <c r="D67" s="9" t="s">
        <v>140</v>
      </c>
      <c r="E67" s="12">
        <v>0.19600000000000001</v>
      </c>
      <c r="F67" s="12">
        <f>B56*B67*C67*E67</f>
        <v>5.6684236556649316E-2</v>
      </c>
      <c r="G67" s="12"/>
    </row>
    <row r="68" spans="1:7" ht="15" thickBot="1">
      <c r="A68" s="29" t="s">
        <v>188</v>
      </c>
      <c r="B68" s="30"/>
      <c r="C68" s="30"/>
      <c r="D68" s="30"/>
      <c r="E68" s="30"/>
      <c r="F68" s="31">
        <f>SUM(F58:F67)</f>
        <v>0.16489539045229365</v>
      </c>
      <c r="G68" s="30">
        <f>F68/F117</f>
        <v>4.30214613141418E-2</v>
      </c>
    </row>
    <row r="69" spans="1:7" ht="16.95" customHeight="1" thickBot="1">
      <c r="A69" s="180" t="s">
        <v>185</v>
      </c>
      <c r="B69" s="195"/>
      <c r="C69" s="195"/>
      <c r="D69" s="195"/>
      <c r="E69" s="195"/>
      <c r="F69" s="195"/>
      <c r="G69" s="196"/>
    </row>
    <row r="70" spans="1:7" ht="45" customHeight="1" thickBot="1">
      <c r="A70" s="134" t="s">
        <v>142</v>
      </c>
      <c r="B70" s="209">
        <v>2.5</v>
      </c>
      <c r="C70" s="210"/>
      <c r="D70" s="210"/>
      <c r="E70" s="210"/>
      <c r="F70" s="210"/>
      <c r="G70" s="211"/>
    </row>
    <row r="71" spans="1:7" ht="16.2" thickBot="1">
      <c r="A71" s="134" t="s">
        <v>201</v>
      </c>
      <c r="B71" s="209">
        <f>1.5/7</f>
        <v>0.21428571428571427</v>
      </c>
      <c r="C71" s="210"/>
      <c r="D71" s="210"/>
      <c r="E71" s="210"/>
      <c r="F71" s="210"/>
      <c r="G71" s="211"/>
    </row>
    <row r="72" spans="1:7" ht="72.599999999999994" thickBot="1">
      <c r="A72" s="106" t="s">
        <v>2</v>
      </c>
      <c r="B72" s="107" t="s">
        <v>3</v>
      </c>
      <c r="C72" s="106" t="s">
        <v>4</v>
      </c>
      <c r="D72" s="106" t="s">
        <v>133</v>
      </c>
      <c r="E72" s="106" t="s">
        <v>6</v>
      </c>
      <c r="F72" s="107" t="s">
        <v>134</v>
      </c>
      <c r="G72" s="107" t="s">
        <v>8</v>
      </c>
    </row>
    <row r="73" spans="1:7" s="103" customFormat="1" ht="16.2" thickBot="1">
      <c r="A73" s="135" t="s">
        <v>202</v>
      </c>
      <c r="B73" s="116"/>
      <c r="C73" s="135">
        <v>0.22093143666666668</v>
      </c>
      <c r="D73" s="135" t="s">
        <v>140</v>
      </c>
      <c r="E73" s="135">
        <v>7.0000000000000007E-2</v>
      </c>
      <c r="F73" s="131">
        <f>B71*C73*E73</f>
        <v>3.3139715500000002E-3</v>
      </c>
      <c r="G73" s="116"/>
    </row>
    <row r="74" spans="1:7" s="103" customFormat="1" ht="30" thickTop="1" thickBot="1">
      <c r="A74" s="136" t="s">
        <v>203</v>
      </c>
      <c r="B74" s="137">
        <f>5.5/7</f>
        <v>0.7857142857142857</v>
      </c>
      <c r="C74" s="137"/>
      <c r="D74" s="137"/>
      <c r="E74" s="137"/>
      <c r="F74" s="137"/>
      <c r="G74" s="137"/>
    </row>
    <row r="75" spans="1:7" s="103" customFormat="1" ht="72.599999999999994" thickBot="1">
      <c r="A75" s="106" t="s">
        <v>2</v>
      </c>
      <c r="B75" s="107" t="s">
        <v>3</v>
      </c>
      <c r="C75" s="106" t="s">
        <v>4</v>
      </c>
      <c r="D75" s="106" t="s">
        <v>133</v>
      </c>
      <c r="E75" s="106" t="s">
        <v>6</v>
      </c>
      <c r="F75" s="107" t="s">
        <v>134</v>
      </c>
      <c r="G75" s="107" t="s">
        <v>8</v>
      </c>
    </row>
    <row r="76" spans="1:7" s="103" customFormat="1" ht="15.6">
      <c r="A76" s="108" t="s">
        <v>61</v>
      </c>
      <c r="B76" s="109">
        <v>0.9295566502463054</v>
      </c>
      <c r="C76" s="108">
        <v>0.47</v>
      </c>
      <c r="D76" s="108" t="s">
        <v>140</v>
      </c>
      <c r="E76" s="108">
        <v>0.17</v>
      </c>
      <c r="F76" s="109">
        <f>B74*B76*C76*E76</f>
        <v>5.8356238564391281E-2</v>
      </c>
      <c r="G76" s="111"/>
    </row>
    <row r="77" spans="1:7" s="103" customFormat="1" ht="15.6">
      <c r="A77" s="110" t="s">
        <v>100</v>
      </c>
      <c r="B77" s="112">
        <v>6.8719211822660095E-2</v>
      </c>
      <c r="C77" s="110">
        <v>0.30199999999999999</v>
      </c>
      <c r="D77" s="108" t="s">
        <v>140</v>
      </c>
      <c r="E77" s="110">
        <v>0.13</v>
      </c>
      <c r="F77" s="112">
        <f>B74*B77*C77*E77</f>
        <v>2.1197913441238564E-3</v>
      </c>
      <c r="G77" s="113"/>
    </row>
    <row r="78" spans="1:7" s="103" customFormat="1" ht="15.6">
      <c r="A78" s="110" t="s">
        <v>123</v>
      </c>
      <c r="B78" s="112">
        <v>1.724137931034483E-3</v>
      </c>
      <c r="C78" s="110">
        <v>1.0209999999999999</v>
      </c>
      <c r="D78" s="108" t="s">
        <v>140</v>
      </c>
      <c r="E78" s="110">
        <v>0.13</v>
      </c>
      <c r="F78" s="112">
        <f>B74*B78*C78*E78</f>
        <v>1.7980665024630541E-4</v>
      </c>
      <c r="G78" s="113"/>
    </row>
    <row r="79" spans="1:7" s="103" customFormat="1" ht="15" thickBot="1">
      <c r="A79" s="114" t="s">
        <v>23</v>
      </c>
      <c r="B79" s="115"/>
      <c r="C79" s="114"/>
      <c r="D79" s="114"/>
      <c r="E79" s="114"/>
      <c r="F79" s="132">
        <f>SUM(F76:F78)</f>
        <v>6.0655836558761445E-2</v>
      </c>
      <c r="G79" s="115"/>
    </row>
    <row r="80" spans="1:7" s="103" customFormat="1" ht="30" thickTop="1" thickBot="1">
      <c r="A80" s="138" t="s">
        <v>204</v>
      </c>
      <c r="B80" s="224">
        <f>1.5/7</f>
        <v>0.21428571428571427</v>
      </c>
      <c r="C80" s="224"/>
      <c r="D80" s="224"/>
      <c r="E80" s="224"/>
      <c r="F80" s="224"/>
      <c r="G80" s="224"/>
    </row>
    <row r="81" spans="1:7" s="103" customFormat="1" ht="72.599999999999994" thickBot="1">
      <c r="A81" s="139" t="s">
        <v>2</v>
      </c>
      <c r="B81" s="140" t="s">
        <v>3</v>
      </c>
      <c r="C81" s="141" t="s">
        <v>4</v>
      </c>
      <c r="D81" s="141" t="s">
        <v>133</v>
      </c>
      <c r="E81" s="141" t="s">
        <v>6</v>
      </c>
      <c r="F81" s="140" t="s">
        <v>134</v>
      </c>
      <c r="G81" s="140" t="s">
        <v>8</v>
      </c>
    </row>
    <row r="82" spans="1:7" s="103" customFormat="1" ht="15.6">
      <c r="A82" s="108" t="s">
        <v>55</v>
      </c>
      <c r="B82" s="109">
        <v>0.93008425696461972</v>
      </c>
      <c r="C82" s="108">
        <v>0.308</v>
      </c>
      <c r="D82" s="108" t="s">
        <v>11</v>
      </c>
      <c r="E82" s="108">
        <v>0.38844105721218408</v>
      </c>
      <c r="F82" s="109">
        <f>B80*B82*C82*E82</f>
        <v>2.3844672196735205E-2</v>
      </c>
      <c r="G82" s="111"/>
    </row>
    <row r="83" spans="1:7" s="103" customFormat="1" ht="15.6">
      <c r="A83" s="110" t="s">
        <v>57</v>
      </c>
      <c r="B83" s="112">
        <v>6.9915743035380271E-2</v>
      </c>
      <c r="C83" s="110">
        <v>1.2118571428571427</v>
      </c>
      <c r="D83" s="108" t="s">
        <v>11</v>
      </c>
      <c r="E83" s="110">
        <v>0.34767265230879446</v>
      </c>
      <c r="F83" s="112">
        <f>B80*B83*C83*E83</f>
        <v>6.3123366735521741E-3</v>
      </c>
      <c r="G83" s="113"/>
    </row>
    <row r="84" spans="1:7" s="103" customFormat="1" ht="15" thickBot="1">
      <c r="A84" s="114" t="s">
        <v>23</v>
      </c>
      <c r="B84" s="115"/>
      <c r="C84" s="114"/>
      <c r="D84" s="114"/>
      <c r="E84" s="114"/>
      <c r="F84" s="132">
        <f>SUM(F82:F83)</f>
        <v>3.0157008870287379E-2</v>
      </c>
      <c r="G84" s="115"/>
    </row>
    <row r="85" spans="1:7" s="103" customFormat="1" ht="15.6" thickTop="1" thickBot="1">
      <c r="A85" s="138" t="s">
        <v>205</v>
      </c>
      <c r="B85" s="142">
        <f>5/7</f>
        <v>0.7142857142857143</v>
      </c>
      <c r="C85" s="142"/>
      <c r="D85" s="142"/>
      <c r="E85" s="142"/>
      <c r="F85" s="142"/>
      <c r="G85" s="142"/>
    </row>
    <row r="86" spans="1:7" s="103" customFormat="1" ht="72.599999999999994" thickBot="1">
      <c r="A86" s="143" t="s">
        <v>2</v>
      </c>
      <c r="B86" s="144" t="s">
        <v>3</v>
      </c>
      <c r="C86" s="145" t="s">
        <v>4</v>
      </c>
      <c r="D86" s="145" t="s">
        <v>133</v>
      </c>
      <c r="E86" s="145" t="s">
        <v>6</v>
      </c>
      <c r="F86" s="144" t="s">
        <v>134</v>
      </c>
      <c r="G86" s="144" t="s">
        <v>8</v>
      </c>
    </row>
    <row r="87" spans="1:7" s="103" customFormat="1" ht="15.6">
      <c r="A87" s="108" t="s">
        <v>98</v>
      </c>
      <c r="B87" s="109">
        <v>2.5257081003066933E-3</v>
      </c>
      <c r="C87" s="108">
        <v>7.9000000000000001E-2</v>
      </c>
      <c r="D87" s="108" t="s">
        <v>140</v>
      </c>
      <c r="E87" s="108">
        <v>0.13</v>
      </c>
      <c r="F87" s="109">
        <f>B85*B87*C87*E87</f>
        <v>1.8527872992964103E-5</v>
      </c>
      <c r="G87" s="111"/>
    </row>
    <row r="88" spans="1:7" s="103" customFormat="1" ht="15.6">
      <c r="A88" s="110" t="s">
        <v>60</v>
      </c>
      <c r="B88" s="112">
        <v>1.6417102651993507E-2</v>
      </c>
      <c r="C88" s="108">
        <v>2.048</v>
      </c>
      <c r="D88" s="108" t="s">
        <v>140</v>
      </c>
      <c r="E88" s="110">
        <v>0.15</v>
      </c>
      <c r="F88" s="112">
        <f>B85*B88*C88*E88</f>
        <v>3.6023813819231467E-3</v>
      </c>
      <c r="G88" s="113"/>
    </row>
    <row r="89" spans="1:7" s="103" customFormat="1" ht="15.6">
      <c r="A89" s="110" t="s">
        <v>99</v>
      </c>
      <c r="B89" s="112">
        <v>0.93595525888508035</v>
      </c>
      <c r="C89" s="110">
        <v>0.217</v>
      </c>
      <c r="D89" s="108" t="s">
        <v>140</v>
      </c>
      <c r="E89" s="110">
        <v>0.15</v>
      </c>
      <c r="F89" s="112">
        <f>B85*B89*C89*E89</f>
        <v>2.1760959769078117E-2</v>
      </c>
      <c r="G89" s="113"/>
    </row>
    <row r="90" spans="1:7" s="103" customFormat="1" ht="15.6">
      <c r="A90" s="110" t="s">
        <v>127</v>
      </c>
      <c r="B90" s="112">
        <v>2.2370557459859282E-2</v>
      </c>
      <c r="C90" s="110">
        <v>0.30175000000000002</v>
      </c>
      <c r="D90" s="108" t="s">
        <v>140</v>
      </c>
      <c r="E90" s="110">
        <v>0.13800000000000001</v>
      </c>
      <c r="F90" s="112">
        <f>B85*B90*C90*E90</f>
        <v>6.6538826318909318E-4</v>
      </c>
      <c r="G90" s="113"/>
    </row>
    <row r="91" spans="1:7" s="103" customFormat="1" ht="15.6">
      <c r="A91" s="110" t="s">
        <v>56</v>
      </c>
      <c r="B91" s="112">
        <v>2.2731372902760238E-2</v>
      </c>
      <c r="C91">
        <v>0.61699999999999999</v>
      </c>
      <c r="D91" s="108" t="s">
        <v>11</v>
      </c>
      <c r="E91" s="110">
        <v>0.95238095238095233</v>
      </c>
      <c r="F91" s="112">
        <f>B85*B91*C91*E91</f>
        <v>9.5409912115667125E-3</v>
      </c>
      <c r="G91" s="113"/>
    </row>
    <row r="92" spans="1:7" ht="15" thickBot="1">
      <c r="A92" s="114" t="s">
        <v>23</v>
      </c>
      <c r="B92" s="115"/>
      <c r="C92" s="114"/>
      <c r="D92" s="114"/>
      <c r="E92" s="114"/>
      <c r="F92" s="132">
        <f>SUM(F87:F91)</f>
        <v>3.5588248498750037E-2</v>
      </c>
      <c r="G92" s="115"/>
    </row>
    <row r="93" spans="1:7" ht="15.6" thickTop="1" thickBot="1">
      <c r="A93" s="138" t="s">
        <v>206</v>
      </c>
      <c r="B93" s="215">
        <f>4/7</f>
        <v>0.5714285714285714</v>
      </c>
      <c r="C93" s="216"/>
      <c r="D93" s="216"/>
      <c r="E93" s="216"/>
      <c r="F93" s="216"/>
      <c r="G93" s="217"/>
    </row>
    <row r="94" spans="1:7" ht="72.599999999999994" thickBot="1">
      <c r="A94" s="139" t="s">
        <v>2</v>
      </c>
      <c r="B94" s="140" t="s">
        <v>3</v>
      </c>
      <c r="C94" s="141" t="s">
        <v>4</v>
      </c>
      <c r="D94" s="141" t="s">
        <v>133</v>
      </c>
      <c r="E94" s="141" t="s">
        <v>6</v>
      </c>
      <c r="F94" s="140" t="s">
        <v>134</v>
      </c>
      <c r="G94" s="140" t="s">
        <v>8</v>
      </c>
    </row>
    <row r="95" spans="1:7" ht="15.6">
      <c r="A95" s="108" t="s">
        <v>59</v>
      </c>
      <c r="B95" s="108">
        <v>0.12542639727105748</v>
      </c>
      <c r="C95" s="108">
        <v>0.26900000000000002</v>
      </c>
      <c r="D95" s="108" t="s">
        <v>140</v>
      </c>
      <c r="E95" s="108">
        <v>0.16</v>
      </c>
      <c r="F95" s="108">
        <f>B93*B95*C95*E95</f>
        <v>3.0847726505978936E-3</v>
      </c>
      <c r="G95" s="108"/>
    </row>
    <row r="96" spans="1:7" ht="15.6">
      <c r="A96" s="110" t="s">
        <v>62</v>
      </c>
      <c r="B96" s="110">
        <v>0.87457360272894247</v>
      </c>
      <c r="C96" s="110">
        <v>0.45593939393939392</v>
      </c>
      <c r="D96" s="108" t="s">
        <v>140</v>
      </c>
      <c r="E96" s="110">
        <v>0.104</v>
      </c>
      <c r="F96" s="110">
        <f>B93*B96*C96*E96</f>
        <v>2.3697294898226934E-2</v>
      </c>
      <c r="G96" s="110"/>
    </row>
    <row r="97" spans="1:7" ht="16.2" thickBot="1">
      <c r="A97" s="164" t="s">
        <v>23</v>
      </c>
      <c r="B97" s="146"/>
      <c r="C97" s="146"/>
      <c r="D97" s="146"/>
      <c r="E97" s="146"/>
      <c r="F97" s="147">
        <f>SUM(F95:F96)</f>
        <v>2.6782067548824829E-2</v>
      </c>
      <c r="G97" s="146"/>
    </row>
    <row r="98" spans="1:7" ht="16.8" thickTop="1" thickBot="1">
      <c r="A98" s="148" t="s">
        <v>65</v>
      </c>
      <c r="B98" s="149"/>
      <c r="C98" s="149"/>
      <c r="D98" s="149"/>
      <c r="E98" s="149"/>
      <c r="F98" s="150">
        <f>F73+F79+F84+F92+F97</f>
        <v>0.15649713302662371</v>
      </c>
      <c r="G98" s="149">
        <f>F98/F117</f>
        <v>4.0830343018150417E-2</v>
      </c>
    </row>
    <row r="99" spans="1:7" ht="16.95" customHeight="1" thickBot="1">
      <c r="A99" s="180" t="s">
        <v>186</v>
      </c>
      <c r="B99" s="181"/>
      <c r="C99" s="181"/>
      <c r="D99" s="181"/>
      <c r="E99" s="181"/>
      <c r="F99" s="181"/>
      <c r="G99" s="182"/>
    </row>
    <row r="100" spans="1:7" ht="29.4" thickBot="1">
      <c r="A100" s="52" t="s">
        <v>143</v>
      </c>
      <c r="B100" s="186">
        <v>2.7E-2</v>
      </c>
      <c r="C100" s="187"/>
      <c r="D100" s="187"/>
      <c r="E100" s="187"/>
      <c r="F100" s="187"/>
      <c r="G100" s="188"/>
    </row>
    <row r="101" spans="1:7" ht="72.599999999999994" thickBot="1">
      <c r="A101" s="7" t="s">
        <v>2</v>
      </c>
      <c r="B101" s="8" t="s">
        <v>3</v>
      </c>
      <c r="C101" s="7" t="s">
        <v>4</v>
      </c>
      <c r="D101" s="7" t="s">
        <v>133</v>
      </c>
      <c r="E101" s="7" t="s">
        <v>6</v>
      </c>
      <c r="F101" s="8" t="s">
        <v>134</v>
      </c>
      <c r="G101" s="8" t="s">
        <v>8</v>
      </c>
    </row>
    <row r="102" spans="1:7">
      <c r="A102" s="9" t="s">
        <v>67</v>
      </c>
      <c r="B102" s="9">
        <v>9.9767209843698041E-3</v>
      </c>
      <c r="C102" s="9">
        <v>2.7290000000000001</v>
      </c>
      <c r="D102" s="9"/>
      <c r="E102" s="9"/>
      <c r="F102" s="9">
        <f>B100*B102*C102</f>
        <v>7.3511473229132028E-4</v>
      </c>
      <c r="G102" s="9"/>
    </row>
    <row r="103" spans="1:7">
      <c r="A103" s="12" t="s">
        <v>102</v>
      </c>
      <c r="B103" s="12">
        <v>2.6937146657798471E-2</v>
      </c>
      <c r="C103" s="12">
        <v>2.14</v>
      </c>
      <c r="D103" s="12"/>
      <c r="E103" s="12"/>
      <c r="F103" s="12">
        <f>B100*B103*C103</f>
        <v>1.5564283338875956E-3</v>
      </c>
      <c r="G103" s="12"/>
    </row>
    <row r="104" spans="1:7">
      <c r="A104" s="12" t="s">
        <v>68</v>
      </c>
      <c r="B104" s="12">
        <v>7.6488194213501833E-3</v>
      </c>
      <c r="C104" s="12">
        <v>4.6559999999999997</v>
      </c>
      <c r="D104" s="12"/>
      <c r="E104" s="12"/>
      <c r="F104" s="12">
        <f>B100*B104*C104</f>
        <v>9.6154838709677423E-4</v>
      </c>
      <c r="G104" s="12"/>
    </row>
    <row r="105" spans="1:7">
      <c r="A105" s="12" t="s">
        <v>69</v>
      </c>
      <c r="B105" s="12">
        <v>7.2497505819753907E-2</v>
      </c>
      <c r="C105" s="12">
        <v>1.1990000000000001</v>
      </c>
      <c r="D105" s="12"/>
      <c r="E105" s="12"/>
      <c r="F105" s="12">
        <f>B100*B105*C105</f>
        <v>2.3469617559028931E-3</v>
      </c>
      <c r="G105" s="12"/>
    </row>
    <row r="106" spans="1:7">
      <c r="A106" s="12" t="s">
        <v>70</v>
      </c>
      <c r="B106" s="12">
        <v>3.0262720319255074E-2</v>
      </c>
      <c r="C106" s="12">
        <v>3.206</v>
      </c>
      <c r="D106" s="12"/>
      <c r="E106" s="12"/>
      <c r="F106" s="12">
        <f>B100*B106*C106</f>
        <v>2.6196015962753577E-3</v>
      </c>
      <c r="G106" s="12"/>
    </row>
    <row r="107" spans="1:7">
      <c r="A107" s="12" t="s">
        <v>72</v>
      </c>
      <c r="B107" s="12">
        <v>6.4183571666112396E-2</v>
      </c>
      <c r="C107" s="12">
        <v>2.2749999999999999</v>
      </c>
      <c r="D107" s="12"/>
      <c r="E107" s="12"/>
      <c r="F107" s="12">
        <f>B100*B107*C107</f>
        <v>3.9424758895909538E-3</v>
      </c>
      <c r="G107" s="12"/>
    </row>
    <row r="108" spans="1:7">
      <c r="A108" s="12" t="s">
        <v>74</v>
      </c>
      <c r="B108" s="12">
        <v>0.77452610575324243</v>
      </c>
      <c r="C108" s="12">
        <v>0.80700000000000005</v>
      </c>
      <c r="D108" s="12"/>
      <c r="E108" s="12"/>
      <c r="F108" s="12">
        <f>B100*B108*C108</f>
        <v>1.68761493182574E-2</v>
      </c>
      <c r="G108" s="12"/>
    </row>
    <row r="109" spans="1:7">
      <c r="A109" s="12" t="s">
        <v>75</v>
      </c>
      <c r="B109" s="12">
        <v>9.3116062520784849E-3</v>
      </c>
      <c r="C109" s="12">
        <v>2.6459999999999999</v>
      </c>
      <c r="D109" s="12"/>
      <c r="E109" s="12"/>
      <c r="F109" s="12">
        <f>B100*B109*C109</f>
        <v>6.6523977386099111E-4</v>
      </c>
      <c r="G109" s="12"/>
    </row>
    <row r="110" spans="1:7">
      <c r="A110" s="12" t="s">
        <v>76</v>
      </c>
      <c r="B110" s="12">
        <v>4.6558031260392424E-3</v>
      </c>
      <c r="C110" s="12">
        <v>2.313333333333333</v>
      </c>
      <c r="D110" s="12"/>
      <c r="E110" s="12"/>
      <c r="F110" s="12">
        <f>B100*B110*C110</f>
        <v>2.9080146325241102E-4</v>
      </c>
      <c r="G110" s="12"/>
    </row>
    <row r="111" spans="1:7" ht="15" thickBot="1">
      <c r="A111" s="29" t="s">
        <v>161</v>
      </c>
      <c r="B111" s="30"/>
      <c r="C111" s="30"/>
      <c r="D111" s="30"/>
      <c r="E111" s="30"/>
      <c r="F111" s="31">
        <f>SUM(F102:F110)</f>
        <v>2.9994321250415699E-2</v>
      </c>
      <c r="G111" s="30">
        <f>F111/F117</f>
        <v>7.8255646066227019E-3</v>
      </c>
    </row>
    <row r="112" spans="1:7" s="103" customFormat="1" ht="15" thickBot="1">
      <c r="A112" s="206" t="s">
        <v>207</v>
      </c>
      <c r="B112" s="207"/>
      <c r="C112" s="207"/>
      <c r="D112" s="207"/>
      <c r="E112" s="207"/>
      <c r="F112" s="207"/>
      <c r="G112" s="208"/>
    </row>
    <row r="113" spans="1:7" s="103" customFormat="1" ht="16.2" thickBot="1">
      <c r="A113" s="134" t="s">
        <v>208</v>
      </c>
      <c r="B113" s="209">
        <v>270</v>
      </c>
      <c r="C113" s="210"/>
      <c r="D113" s="210"/>
      <c r="E113" s="210"/>
      <c r="F113" s="210"/>
      <c r="G113" s="211"/>
    </row>
    <row r="114" spans="1:7" s="103" customFormat="1" ht="58.2" thickBot="1">
      <c r="A114" s="151" t="s">
        <v>209</v>
      </c>
      <c r="B114" s="151" t="s">
        <v>210</v>
      </c>
      <c r="C114" s="151" t="s">
        <v>211</v>
      </c>
      <c r="D114" s="151"/>
      <c r="E114" s="151"/>
      <c r="F114" s="151" t="s">
        <v>212</v>
      </c>
      <c r="G114" s="151" t="s">
        <v>8</v>
      </c>
    </row>
    <row r="115" spans="1:7" s="103" customFormat="1" ht="15.6">
      <c r="A115" s="152">
        <v>1730</v>
      </c>
      <c r="B115" s="153">
        <f>F35+F43+F54+F68+F98+F111</f>
        <v>3.3154269609700102</v>
      </c>
      <c r="C115" s="152">
        <f>B115/A115</f>
        <v>1.9164317693468268E-3</v>
      </c>
      <c r="D115" s="152"/>
      <c r="E115" s="154"/>
      <c r="F115" s="155">
        <f>B113*C115</f>
        <v>0.51743657772364327</v>
      </c>
      <c r="G115" s="153">
        <f>F115/F117</f>
        <v>0.13500000000000001</v>
      </c>
    </row>
    <row r="116" spans="1:7" s="103" customFormat="1" ht="15" thickBot="1">
      <c r="A116" s="206" t="s">
        <v>23</v>
      </c>
      <c r="B116" s="207"/>
      <c r="C116" s="207"/>
      <c r="D116" s="207"/>
      <c r="E116" s="207"/>
      <c r="F116" s="207"/>
      <c r="G116" s="208"/>
    </row>
    <row r="117" spans="1:7">
      <c r="A117" s="13" t="s">
        <v>145</v>
      </c>
      <c r="B117" s="12"/>
      <c r="C117" s="12"/>
      <c r="D117" s="12"/>
      <c r="E117" s="12"/>
      <c r="F117" s="77">
        <f>SUM(F35,F43,F54,F68,F98,F111,F115)</f>
        <v>3.8328635386936534</v>
      </c>
      <c r="G117" s="12"/>
    </row>
  </sheetData>
  <mergeCells count="20">
    <mergeCell ref="A2:G2"/>
    <mergeCell ref="A69:G69"/>
    <mergeCell ref="B70:G70"/>
    <mergeCell ref="A99:G99"/>
    <mergeCell ref="B3:G3"/>
    <mergeCell ref="B12:G12"/>
    <mergeCell ref="B28:G28"/>
    <mergeCell ref="B71:G71"/>
    <mergeCell ref="B80:G80"/>
    <mergeCell ref="A36:G36"/>
    <mergeCell ref="B37:G37"/>
    <mergeCell ref="A44:G44"/>
    <mergeCell ref="A112:G112"/>
    <mergeCell ref="B113:G113"/>
    <mergeCell ref="A116:G116"/>
    <mergeCell ref="B45:G45"/>
    <mergeCell ref="A55:G55"/>
    <mergeCell ref="B56:G56"/>
    <mergeCell ref="B100:G100"/>
    <mergeCell ref="B93:G93"/>
  </mergeCells>
  <pageMargins left="0.7" right="0.7" top="0.75" bottom="0.75" header="0.3" footer="0.3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88EF-2E17-A247-A3A4-9A10B8BFD452}">
  <dimension ref="A1:G103"/>
  <sheetViews>
    <sheetView topLeftCell="A86" workbookViewId="0">
      <selection activeCell="A82" sqref="A82"/>
    </sheetView>
  </sheetViews>
  <sheetFormatPr defaultColWidth="8.796875" defaultRowHeight="14.4"/>
  <cols>
    <col min="1" max="1" width="23.296875" style="4" customWidth="1"/>
    <col min="2" max="2" width="13.796875" style="4" customWidth="1"/>
    <col min="3" max="3" width="21" style="4" customWidth="1"/>
    <col min="4" max="4" width="19.296875" style="4" customWidth="1"/>
    <col min="5" max="5" width="16.5" style="4" customWidth="1"/>
    <col min="6" max="6" width="18.69921875" style="4" customWidth="1"/>
    <col min="7" max="7" width="18.5" style="4" customWidth="1"/>
    <col min="8" max="16384" width="8.796875" style="4"/>
  </cols>
  <sheetData>
    <row r="1" spans="1:7" s="103" customFormat="1" ht="15" thickBot="1">
      <c r="A1" s="40" t="s">
        <v>0</v>
      </c>
    </row>
    <row r="2" spans="1:7" s="103" customFormat="1" ht="15" thickBot="1">
      <c r="A2" s="225" t="s">
        <v>182</v>
      </c>
      <c r="B2" s="226"/>
      <c r="C2" s="226"/>
      <c r="D2" s="226"/>
      <c r="E2" s="226"/>
      <c r="F2" s="226"/>
      <c r="G2" s="227"/>
    </row>
    <row r="3" spans="1:7" s="103" customFormat="1" ht="16.2" thickBot="1">
      <c r="A3" s="105" t="s">
        <v>215</v>
      </c>
      <c r="B3" s="149">
        <f>3*28.3495/1000/7</f>
        <v>1.2149785714285712E-2</v>
      </c>
      <c r="C3" s="149"/>
      <c r="D3" s="149"/>
      <c r="E3" s="149"/>
      <c r="F3" s="149"/>
      <c r="G3" s="149"/>
    </row>
    <row r="4" spans="1:7" s="103" customFormat="1" ht="72">
      <c r="A4" s="157" t="s">
        <v>2</v>
      </c>
      <c r="B4" s="158" t="s">
        <v>3</v>
      </c>
      <c r="C4" s="157" t="s">
        <v>4</v>
      </c>
      <c r="D4" s="157" t="s">
        <v>133</v>
      </c>
      <c r="E4" s="157" t="s">
        <v>6</v>
      </c>
      <c r="F4" s="158" t="s">
        <v>134</v>
      </c>
      <c r="G4" s="158" t="s">
        <v>8</v>
      </c>
    </row>
    <row r="5" spans="1:7" s="103" customFormat="1" ht="16.2" thickBot="1">
      <c r="A5" s="159" t="s">
        <v>25</v>
      </c>
      <c r="B5" s="160">
        <v>1</v>
      </c>
      <c r="C5" s="160">
        <v>0.12469794964937388</v>
      </c>
      <c r="D5" s="161">
        <v>3.754</v>
      </c>
      <c r="E5" s="114"/>
      <c r="F5" s="132">
        <f>B3*C5*D5</f>
        <v>5.6875103406590589E-3</v>
      </c>
      <c r="G5" s="115"/>
    </row>
    <row r="6" spans="1:7" s="103" customFormat="1" ht="16.8" thickTop="1" thickBot="1">
      <c r="A6" s="105" t="s">
        <v>216</v>
      </c>
      <c r="B6" s="228">
        <f>6*28.3495/1000/7</f>
        <v>2.4299571428571424E-2</v>
      </c>
      <c r="C6" s="229"/>
      <c r="D6" s="229"/>
      <c r="E6" s="229"/>
      <c r="F6" s="229"/>
      <c r="G6" s="230"/>
    </row>
    <row r="7" spans="1:7" s="103" customFormat="1" ht="72.599999999999994" thickBot="1">
      <c r="A7" s="162" t="s">
        <v>2</v>
      </c>
      <c r="B7" s="163" t="s">
        <v>3</v>
      </c>
      <c r="C7" s="162" t="s">
        <v>4</v>
      </c>
      <c r="D7" s="162" t="s">
        <v>133</v>
      </c>
      <c r="E7" s="162" t="s">
        <v>6</v>
      </c>
      <c r="F7" s="163" t="s">
        <v>134</v>
      </c>
      <c r="G7" s="163" t="s">
        <v>8</v>
      </c>
    </row>
    <row r="8" spans="1:7" s="103" customFormat="1" ht="15.6">
      <c r="A8" s="108" t="s">
        <v>55</v>
      </c>
      <c r="B8" s="109">
        <v>0.80238745038596226</v>
      </c>
      <c r="C8" s="108">
        <v>0.308</v>
      </c>
      <c r="D8" s="108" t="s">
        <v>11</v>
      </c>
      <c r="E8" s="108">
        <v>0.38844105721218408</v>
      </c>
      <c r="F8" s="109">
        <f>B6*B8*C8*E8</f>
        <v>2.3326983680420047E-3</v>
      </c>
      <c r="G8" s="111"/>
    </row>
    <row r="9" spans="1:7" s="103" customFormat="1" ht="15.6">
      <c r="A9" s="110" t="s">
        <v>56</v>
      </c>
      <c r="B9" s="109">
        <v>0.13729595530990163</v>
      </c>
      <c r="C9">
        <v>0.61699999999999999</v>
      </c>
      <c r="D9" s="108" t="s">
        <v>11</v>
      </c>
      <c r="E9" s="110">
        <v>0.95238095238095233</v>
      </c>
      <c r="F9" s="109">
        <f>B6*B9*C9*E9</f>
        <v>1.9604339834129146E-3</v>
      </c>
      <c r="G9" s="111"/>
    </row>
    <row r="10" spans="1:7" s="103" customFormat="1" ht="15.6">
      <c r="A10" s="110" t="s">
        <v>57</v>
      </c>
      <c r="B10" s="109">
        <v>6.0316594304136141E-2</v>
      </c>
      <c r="C10" s="110">
        <v>1.2118571428571427</v>
      </c>
      <c r="D10" s="108" t="s">
        <v>11</v>
      </c>
      <c r="E10" s="110">
        <v>0.34767265230879446</v>
      </c>
      <c r="F10" s="109">
        <f>B6*B10*C10*E10</f>
        <v>6.1752903690338672E-4</v>
      </c>
      <c r="G10" s="111"/>
    </row>
    <row r="11" spans="1:7" s="103" customFormat="1" ht="16.2" thickBot="1">
      <c r="A11" s="164" t="s">
        <v>23</v>
      </c>
      <c r="B11" s="160"/>
      <c r="C11" s="161"/>
      <c r="D11" s="114"/>
      <c r="E11" s="114"/>
      <c r="F11" s="132">
        <f>SUM(F8:F10)</f>
        <v>4.9106613883583058E-3</v>
      </c>
      <c r="G11" s="115"/>
    </row>
    <row r="12" spans="1:7" s="103" customFormat="1" ht="16.8" thickTop="1" thickBot="1">
      <c r="A12" s="105" t="s">
        <v>217</v>
      </c>
      <c r="B12" s="228">
        <f>8*28.3495/1000/7</f>
        <v>3.2399428571428572E-2</v>
      </c>
      <c r="C12" s="229"/>
      <c r="D12" s="229"/>
      <c r="E12" s="229"/>
      <c r="F12" s="229"/>
      <c r="G12" s="230"/>
    </row>
    <row r="13" spans="1:7" s="103" customFormat="1" ht="72.599999999999994" thickBot="1">
      <c r="A13" s="162" t="s">
        <v>2</v>
      </c>
      <c r="B13" s="163" t="s">
        <v>3</v>
      </c>
      <c r="C13" s="162" t="s">
        <v>4</v>
      </c>
      <c r="D13" s="162" t="s">
        <v>133</v>
      </c>
      <c r="E13" s="162" t="s">
        <v>6</v>
      </c>
      <c r="F13" s="163" t="s">
        <v>134</v>
      </c>
      <c r="G13" s="163" t="s">
        <v>8</v>
      </c>
    </row>
    <row r="14" spans="1:7" s="103" customFormat="1" ht="15.6">
      <c r="A14" s="110" t="s">
        <v>117</v>
      </c>
      <c r="B14" s="112">
        <v>0.47651272654172083</v>
      </c>
      <c r="C14" s="110">
        <v>0.374</v>
      </c>
      <c r="D14" s="110"/>
      <c r="E14" s="117"/>
      <c r="F14" s="112">
        <f>B12*B14*C14</f>
        <v>5.77408877756497E-3</v>
      </c>
      <c r="G14" s="113"/>
    </row>
    <row r="15" spans="1:7" s="103" customFormat="1" ht="15.6">
      <c r="A15" s="110" t="s">
        <v>118</v>
      </c>
      <c r="B15" s="112">
        <v>0.45368265602771074</v>
      </c>
      <c r="C15" s="110">
        <v>2.1149090909090908</v>
      </c>
      <c r="D15" s="110"/>
      <c r="E15" s="110"/>
      <c r="F15" s="112">
        <f>B12*B15*C15</f>
        <v>3.1087173100985733E-2</v>
      </c>
      <c r="G15" s="113"/>
    </row>
    <row r="16" spans="1:7" s="103" customFormat="1" ht="15.6">
      <c r="A16" s="110" t="s">
        <v>119</v>
      </c>
      <c r="B16" s="112">
        <v>6.9804617430568455E-2</v>
      </c>
      <c r="C16" s="110">
        <v>0.84799999999999998</v>
      </c>
      <c r="D16" s="110"/>
      <c r="E16" s="110"/>
      <c r="F16" s="112">
        <f>B12*B16*C16</f>
        <v>1.9178619995051651E-3</v>
      </c>
      <c r="G16" s="113"/>
    </row>
    <row r="17" spans="1:7" s="103" customFormat="1" ht="16.2" thickBot="1">
      <c r="A17" s="114" t="s">
        <v>23</v>
      </c>
      <c r="B17" s="160"/>
      <c r="C17" s="161"/>
      <c r="D17" s="135"/>
      <c r="E17" s="135"/>
      <c r="F17" s="132">
        <f>SUM(F14:F16)</f>
        <v>3.877912387805587E-2</v>
      </c>
      <c r="G17" s="115"/>
    </row>
    <row r="18" spans="1:7" s="103" customFormat="1" ht="16.8" thickTop="1" thickBot="1">
      <c r="A18" s="105" t="s">
        <v>218</v>
      </c>
      <c r="B18" s="228">
        <f>7*28.3495/1000/7</f>
        <v>2.83495E-2</v>
      </c>
      <c r="C18" s="229"/>
      <c r="D18" s="229"/>
      <c r="E18" s="229"/>
      <c r="F18" s="229"/>
      <c r="G18" s="230"/>
    </row>
    <row r="19" spans="1:7" s="103" customFormat="1" ht="72.599999999999994" thickBot="1">
      <c r="A19" s="162" t="s">
        <v>2</v>
      </c>
      <c r="B19" s="163" t="s">
        <v>3</v>
      </c>
      <c r="C19" s="162" t="s">
        <v>4</v>
      </c>
      <c r="D19" s="162" t="s">
        <v>133</v>
      </c>
      <c r="E19" s="162" t="s">
        <v>6</v>
      </c>
      <c r="F19" s="163" t="s">
        <v>134</v>
      </c>
      <c r="G19" s="163" t="s">
        <v>8</v>
      </c>
    </row>
    <row r="20" spans="1:7" s="103" customFormat="1" ht="16.2" thickBot="1">
      <c r="A20" s="165" t="s">
        <v>58</v>
      </c>
      <c r="B20" s="166">
        <v>1</v>
      </c>
      <c r="C20" s="165">
        <v>1.1539999999999999</v>
      </c>
      <c r="D20" s="165" t="s">
        <v>11</v>
      </c>
      <c r="E20" s="165">
        <v>0.38535645472061658</v>
      </c>
      <c r="F20" s="167">
        <f>B18*C20*E20</f>
        <v>1.2607060886319845E-2</v>
      </c>
      <c r="G20" s="168"/>
    </row>
    <row r="21" spans="1:7" s="103" customFormat="1" ht="16.8" thickTop="1" thickBot="1">
      <c r="A21" s="148" t="s">
        <v>33</v>
      </c>
      <c r="B21" s="149"/>
      <c r="C21" s="149"/>
      <c r="D21" s="149"/>
      <c r="E21" s="149"/>
      <c r="F21" s="150">
        <f>SUM(F5,F11,F17,F20)</f>
        <v>6.1984356493393081E-2</v>
      </c>
      <c r="G21" s="149">
        <f>F21/F103</f>
        <v>3.4465949458454062E-2</v>
      </c>
    </row>
    <row r="22" spans="1:7" ht="16.95" customHeight="1" thickBot="1">
      <c r="A22" s="180" t="s">
        <v>189</v>
      </c>
      <c r="B22" s="181"/>
      <c r="C22" s="181"/>
      <c r="D22" s="181"/>
      <c r="E22" s="181"/>
      <c r="F22" s="181"/>
      <c r="G22" s="182"/>
    </row>
    <row r="23" spans="1:7" ht="29.4" thickBot="1">
      <c r="A23" s="52" t="s">
        <v>144</v>
      </c>
      <c r="B23" s="186">
        <v>3</v>
      </c>
      <c r="C23" s="187"/>
      <c r="D23" s="187"/>
      <c r="E23" s="187"/>
      <c r="F23" s="187"/>
      <c r="G23" s="188"/>
    </row>
    <row r="24" spans="1:7" ht="72.599999999999994" thickBot="1">
      <c r="A24" s="7" t="s">
        <v>130</v>
      </c>
      <c r="B24" s="8" t="s">
        <v>131</v>
      </c>
      <c r="C24" s="7" t="s">
        <v>4</v>
      </c>
      <c r="D24" s="7" t="s">
        <v>133</v>
      </c>
      <c r="E24" s="7" t="s">
        <v>6</v>
      </c>
      <c r="F24" s="8" t="s">
        <v>134</v>
      </c>
      <c r="G24" s="8" t="s">
        <v>8</v>
      </c>
    </row>
    <row r="25" spans="1:7">
      <c r="A25" s="9" t="s">
        <v>82</v>
      </c>
      <c r="B25" s="9">
        <v>0.82208852599914062</v>
      </c>
      <c r="C25" s="9">
        <v>1.3233105925925925</v>
      </c>
      <c r="D25" s="9" t="s">
        <v>140</v>
      </c>
      <c r="E25" s="9">
        <v>0.245</v>
      </c>
      <c r="F25" s="9">
        <f>B23*B25*C25*E25</f>
        <v>0.79959066406006785</v>
      </c>
      <c r="G25" s="9"/>
    </row>
    <row r="26" spans="1:7">
      <c r="A26" s="12" t="s">
        <v>80</v>
      </c>
      <c r="B26" s="12">
        <v>0.16233347657928665</v>
      </c>
      <c r="C26" s="12">
        <v>8.4202700000000004</v>
      </c>
      <c r="D26" s="12" t="s">
        <v>140</v>
      </c>
      <c r="E26" s="12">
        <v>6.9000000000000006E-2</v>
      </c>
      <c r="F26" s="12">
        <f>B23*B26*C26*E26</f>
        <v>0.28294658248710791</v>
      </c>
      <c r="G26" s="12"/>
    </row>
    <row r="27" spans="1:7">
      <c r="A27" s="12" t="s">
        <v>83</v>
      </c>
      <c r="B27" s="12">
        <v>1.4825956166738291E-2</v>
      </c>
      <c r="C27" s="12">
        <v>14.077772261623325</v>
      </c>
      <c r="D27" s="12" t="s">
        <v>140</v>
      </c>
      <c r="E27" s="12">
        <v>2.5000000000000001E-2</v>
      </c>
      <c r="F27" s="12">
        <f>B23*B27*C27*E27</f>
        <v>1.5653732585711368E-2</v>
      </c>
      <c r="G27" s="12"/>
    </row>
    <row r="28" spans="1:7">
      <c r="A28" s="12" t="s">
        <v>84</v>
      </c>
      <c r="B28" s="12">
        <v>7.5204125483455109E-4</v>
      </c>
      <c r="C28" s="12">
        <v>10.734301349487785</v>
      </c>
      <c r="D28" s="12" t="s">
        <v>140</v>
      </c>
      <c r="E28" s="12">
        <v>2.5000000000000001E-2</v>
      </c>
      <c r="F28" s="12">
        <f>B23*B28*C28*E28</f>
        <v>6.0544780924807562E-4</v>
      </c>
      <c r="G28" s="12"/>
    </row>
    <row r="29" spans="1:7" ht="15" thickBot="1">
      <c r="A29" s="13" t="s">
        <v>85</v>
      </c>
      <c r="B29" s="12"/>
      <c r="C29" s="12"/>
      <c r="D29" s="12"/>
      <c r="E29" s="12"/>
      <c r="F29" s="45">
        <f>SUM(F25:F28)</f>
        <v>1.0987964269421353</v>
      </c>
      <c r="G29" s="12">
        <f>F29/F103</f>
        <v>0.61097774113625303</v>
      </c>
    </row>
    <row r="30" spans="1:7" ht="16.95" customHeight="1" thickBot="1">
      <c r="A30" s="180" t="s">
        <v>183</v>
      </c>
      <c r="B30" s="181"/>
      <c r="C30" s="181"/>
      <c r="D30" s="181"/>
      <c r="E30" s="181"/>
      <c r="F30" s="181"/>
      <c r="G30" s="182"/>
    </row>
    <row r="31" spans="1:7" ht="29.4" thickBot="1">
      <c r="A31" s="52" t="s">
        <v>34</v>
      </c>
      <c r="B31" s="186">
        <v>0.18426999999999999</v>
      </c>
      <c r="C31" s="187"/>
      <c r="D31" s="187"/>
      <c r="E31" s="187"/>
      <c r="F31" s="187"/>
      <c r="G31" s="188"/>
    </row>
    <row r="32" spans="1:7" ht="74.25" customHeight="1" thickBot="1">
      <c r="A32" s="7" t="s">
        <v>2</v>
      </c>
      <c r="B32" s="8" t="s">
        <v>3</v>
      </c>
      <c r="C32" s="7" t="s">
        <v>4</v>
      </c>
      <c r="D32" s="44" t="s">
        <v>133</v>
      </c>
      <c r="E32" s="44" t="s">
        <v>6</v>
      </c>
      <c r="F32" s="43" t="s">
        <v>134</v>
      </c>
      <c r="G32" s="8" t="s">
        <v>8</v>
      </c>
    </row>
    <row r="33" spans="1:7">
      <c r="A33" s="9" t="s">
        <v>35</v>
      </c>
      <c r="B33" s="9">
        <v>3.7680047387270775E-3</v>
      </c>
      <c r="C33" s="9">
        <v>0.39300000000000002</v>
      </c>
      <c r="D33" s="9" t="s">
        <v>135</v>
      </c>
      <c r="E33" s="9">
        <v>0.34965034965034963</v>
      </c>
      <c r="F33" s="9">
        <f>B31*B33*C33*E33</f>
        <v>9.540971386351704E-5</v>
      </c>
      <c r="G33" s="9"/>
    </row>
    <row r="34" spans="1:7">
      <c r="A34" s="12" t="s">
        <v>36</v>
      </c>
      <c r="B34" s="12">
        <v>0.11594598525682508</v>
      </c>
      <c r="C34" s="12">
        <v>0.55000000000000004</v>
      </c>
      <c r="D34" s="9" t="s">
        <v>135</v>
      </c>
      <c r="E34" s="12">
        <v>0.29667146320768484</v>
      </c>
      <c r="F34" s="12">
        <f>B31*B34*C34*E34</f>
        <v>3.4861720310061651E-3</v>
      </c>
      <c r="G34" s="12"/>
    </row>
    <row r="35" spans="1:7">
      <c r="A35" s="12" t="s">
        <v>38</v>
      </c>
      <c r="B35" s="12">
        <v>5.5579387380398776E-2</v>
      </c>
      <c r="C35" s="12">
        <v>0.47399999999999998</v>
      </c>
      <c r="D35" s="9" t="s">
        <v>135</v>
      </c>
      <c r="E35" s="12">
        <v>0.18726591760299627</v>
      </c>
      <c r="F35" s="12">
        <f>B31*B35*C35*E35</f>
        <v>9.0908705988123652E-4</v>
      </c>
      <c r="G35" s="12"/>
    </row>
    <row r="36" spans="1:7">
      <c r="A36" s="12" t="s">
        <v>39</v>
      </c>
      <c r="B36" s="12">
        <v>5.4385746718410406E-2</v>
      </c>
      <c r="C36" s="12">
        <v>1.8580000000000001</v>
      </c>
      <c r="D36" s="9" t="s">
        <v>135</v>
      </c>
      <c r="E36" s="12">
        <v>0.33530417677236202</v>
      </c>
      <c r="F36" s="12">
        <f>B31*B36*C36*E36</f>
        <v>6.2434466438785171E-3</v>
      </c>
      <c r="G36" s="12"/>
    </row>
    <row r="37" spans="1:7">
      <c r="A37" s="12" t="s">
        <v>40</v>
      </c>
      <c r="B37" s="12">
        <v>2.5576320277240828E-3</v>
      </c>
      <c r="C37" s="12">
        <v>0.38500000000000001</v>
      </c>
      <c r="D37" s="9" t="s">
        <v>135</v>
      </c>
      <c r="E37" s="12">
        <v>0.29667146320768484</v>
      </c>
      <c r="F37" s="12">
        <f>B31*B37*C37*E37</f>
        <v>5.3830597537595194E-5</v>
      </c>
      <c r="G37" s="12"/>
    </row>
    <row r="38" spans="1:7">
      <c r="A38" s="12" t="s">
        <v>41</v>
      </c>
      <c r="B38" s="12">
        <v>0.76189016292536293</v>
      </c>
      <c r="C38" s="12">
        <v>0.34699999999999998</v>
      </c>
      <c r="D38" s="9" t="s">
        <v>135</v>
      </c>
      <c r="E38" s="12">
        <v>0.29667146320768484</v>
      </c>
      <c r="F38" s="12">
        <f>B31*B38*C38*E38</f>
        <v>1.4452808572411997E-2</v>
      </c>
      <c r="G38" s="12"/>
    </row>
    <row r="39" spans="1:7">
      <c r="A39" s="12" t="s">
        <v>42</v>
      </c>
      <c r="B39" s="12">
        <v>5.8730809525515976E-3</v>
      </c>
      <c r="C39" s="12">
        <v>0.75775000000000003</v>
      </c>
      <c r="D39" s="9" t="s">
        <v>135</v>
      </c>
      <c r="E39" s="12">
        <v>0.29667146320768484</v>
      </c>
      <c r="F39" s="12">
        <f>B31*B39*C39*E39</f>
        <v>2.4328892617748831E-4</v>
      </c>
      <c r="G39" s="12"/>
    </row>
    <row r="40" spans="1:7" ht="15" thickBot="1">
      <c r="A40" s="29" t="s">
        <v>187</v>
      </c>
      <c r="B40" s="30"/>
      <c r="C40" s="30"/>
      <c r="D40" s="30"/>
      <c r="E40" s="30"/>
      <c r="F40" s="31">
        <f>SUM(F33:F39)</f>
        <v>2.5484043544756512E-2</v>
      </c>
      <c r="G40" s="30">
        <f>F40/F103</f>
        <v>1.4170216591733785E-2</v>
      </c>
    </row>
    <row r="41" spans="1:7" ht="16.95" customHeight="1" thickBot="1">
      <c r="A41" s="180" t="s">
        <v>184</v>
      </c>
      <c r="B41" s="181"/>
      <c r="C41" s="181"/>
      <c r="D41" s="181"/>
      <c r="E41" s="181"/>
      <c r="F41" s="181"/>
      <c r="G41" s="182"/>
    </row>
    <row r="42" spans="1:7" ht="45" customHeight="1" thickBot="1">
      <c r="A42" s="52" t="s">
        <v>124</v>
      </c>
      <c r="B42" s="186">
        <v>2</v>
      </c>
      <c r="C42" s="187"/>
      <c r="D42" s="187"/>
      <c r="E42" s="187"/>
      <c r="F42" s="187"/>
      <c r="G42" s="188"/>
    </row>
    <row r="43" spans="1:7" ht="35.25" customHeight="1" thickBot="1">
      <c r="A43" s="8" t="s">
        <v>136</v>
      </c>
      <c r="B43" s="8" t="s">
        <v>137</v>
      </c>
      <c r="C43" s="8" t="s">
        <v>138</v>
      </c>
      <c r="D43" s="44" t="s">
        <v>133</v>
      </c>
      <c r="E43" s="43" t="s">
        <v>6</v>
      </c>
      <c r="F43" s="43" t="s">
        <v>139</v>
      </c>
      <c r="G43" s="8" t="s">
        <v>8</v>
      </c>
    </row>
    <row r="44" spans="1:7">
      <c r="A44" s="9" t="s">
        <v>44</v>
      </c>
      <c r="B44" s="9">
        <v>0.17805442964678633</v>
      </c>
      <c r="C44" s="9">
        <v>0.22800000000000001</v>
      </c>
      <c r="D44" s="9" t="s">
        <v>140</v>
      </c>
      <c r="E44" s="9">
        <v>0.11</v>
      </c>
      <c r="F44" s="9">
        <f>B42*B44*C44*E44</f>
        <v>8.9312101910828025E-3</v>
      </c>
      <c r="G44" s="9"/>
    </row>
    <row r="45" spans="1:7">
      <c r="A45" s="12" t="s">
        <v>45</v>
      </c>
      <c r="B45" s="12">
        <v>0.11320208453966417</v>
      </c>
      <c r="C45" s="12">
        <v>0.374</v>
      </c>
      <c r="D45" s="9" t="s">
        <v>140</v>
      </c>
      <c r="E45" s="12">
        <v>0.15</v>
      </c>
      <c r="F45" s="12">
        <f>B42*B45*C45*E45</f>
        <v>1.270127388535032E-2</v>
      </c>
      <c r="G45" s="12"/>
    </row>
    <row r="46" spans="1:7">
      <c r="A46" s="12" t="s">
        <v>46</v>
      </c>
      <c r="B46" s="12">
        <v>1.5441034549314805E-3</v>
      </c>
      <c r="C46" s="12">
        <v>0.43766666666666665</v>
      </c>
      <c r="D46" s="9" t="s">
        <v>140</v>
      </c>
      <c r="E46" s="12">
        <v>0.185</v>
      </c>
      <c r="F46" s="12">
        <f>B42*B46*C46*E46</f>
        <v>2.500469664800875E-4</v>
      </c>
      <c r="G46" s="12"/>
    </row>
    <row r="47" spans="1:7">
      <c r="A47" s="12" t="s">
        <v>47</v>
      </c>
      <c r="B47" s="12">
        <v>1.3510905230650456E-3</v>
      </c>
      <c r="C47" s="12">
        <v>2.024</v>
      </c>
      <c r="D47" s="9" t="s">
        <v>140</v>
      </c>
      <c r="E47" s="12">
        <v>7.4999999999999997E-2</v>
      </c>
      <c r="F47" s="12">
        <f>B42*B47*C47*E47</f>
        <v>4.1019108280254782E-4</v>
      </c>
      <c r="G47" s="12"/>
    </row>
    <row r="48" spans="1:7">
      <c r="A48" s="12" t="s">
        <v>48</v>
      </c>
      <c r="B48" s="12">
        <v>1.6502605674580197E-2</v>
      </c>
      <c r="C48" s="12">
        <v>1.21</v>
      </c>
      <c r="D48" s="9" t="s">
        <v>140</v>
      </c>
      <c r="E48" s="12">
        <v>0.21</v>
      </c>
      <c r="F48" s="12">
        <f>B42*B48*C48*E48</f>
        <v>8.3866242038216562E-3</v>
      </c>
      <c r="G48" s="12"/>
    </row>
    <row r="49" spans="1:7">
      <c r="A49" s="12" t="s">
        <v>49</v>
      </c>
      <c r="B49" s="12">
        <v>8.4732677089364994E-2</v>
      </c>
      <c r="C49" s="12">
        <v>0.47799999999999998</v>
      </c>
      <c r="D49" s="9" t="s">
        <v>140</v>
      </c>
      <c r="E49" s="12">
        <v>0.12</v>
      </c>
      <c r="F49" s="12">
        <f>B42*B49*C49*E49</f>
        <v>9.7205327156919524E-3</v>
      </c>
      <c r="G49" s="12"/>
    </row>
    <row r="50" spans="1:7">
      <c r="A50" s="12" t="s">
        <v>141</v>
      </c>
      <c r="B50" s="12">
        <v>9.0619571511291269E-2</v>
      </c>
      <c r="C50" s="12">
        <v>0.51700000000000002</v>
      </c>
      <c r="D50" s="9" t="s">
        <v>140</v>
      </c>
      <c r="E50" s="12">
        <v>0.21</v>
      </c>
      <c r="F50" s="12">
        <f>B42*B50*C50*E50</f>
        <v>1.9677133757961787E-2</v>
      </c>
      <c r="G50" s="12"/>
    </row>
    <row r="51" spans="1:7" ht="28.8">
      <c r="A51" s="33" t="s">
        <v>51</v>
      </c>
      <c r="B51" s="12">
        <v>0.23093997297818955</v>
      </c>
      <c r="C51" s="12">
        <v>0.34699999999999998</v>
      </c>
      <c r="D51" s="9" t="s">
        <v>140</v>
      </c>
      <c r="E51" s="12">
        <v>0.185</v>
      </c>
      <c r="F51" s="12">
        <f>B42*B51*C51*E51</f>
        <v>2.9650383130669755E-2</v>
      </c>
      <c r="G51" s="12"/>
    </row>
    <row r="52" spans="1:7">
      <c r="A52" s="12" t="s">
        <v>52</v>
      </c>
      <c r="B52" s="12">
        <v>6.1281605867593132E-2</v>
      </c>
      <c r="C52" s="12">
        <v>0.91400000000000003</v>
      </c>
      <c r="D52" s="9" t="s">
        <v>140</v>
      </c>
      <c r="E52" s="12">
        <v>0.16500000000000001</v>
      </c>
      <c r="F52" s="12">
        <f>B42*B52*C52*E52</f>
        <v>1.8483757961783441E-2</v>
      </c>
      <c r="G52" s="12"/>
    </row>
    <row r="53" spans="1:7">
      <c r="A53" s="12" t="s">
        <v>53</v>
      </c>
      <c r="B53" s="12">
        <v>0.22177185871453389</v>
      </c>
      <c r="C53" s="12">
        <v>0.65203333333333346</v>
      </c>
      <c r="D53" s="9" t="s">
        <v>140</v>
      </c>
      <c r="E53" s="12">
        <v>0.19600000000000001</v>
      </c>
      <c r="F53" s="12">
        <f>B42*B53*C53*E53</f>
        <v>5.6684236556649316E-2</v>
      </c>
      <c r="G53" s="12"/>
    </row>
    <row r="54" spans="1:7" ht="15" thickBot="1">
      <c r="A54" s="29" t="s">
        <v>188</v>
      </c>
      <c r="B54" s="30"/>
      <c r="C54" s="30"/>
      <c r="D54" s="30"/>
      <c r="E54" s="30"/>
      <c r="F54" s="31">
        <f>SUM(F44:F53)</f>
        <v>0.16489539045229365</v>
      </c>
      <c r="G54" s="30">
        <f>F54/F103</f>
        <v>9.1688879497629078E-2</v>
      </c>
    </row>
    <row r="55" spans="1:7" ht="16.95" customHeight="1" thickBot="1">
      <c r="A55" s="180" t="s">
        <v>185</v>
      </c>
      <c r="B55" s="195"/>
      <c r="C55" s="195"/>
      <c r="D55" s="195"/>
      <c r="E55" s="195"/>
      <c r="F55" s="195"/>
      <c r="G55" s="196"/>
    </row>
    <row r="56" spans="1:7" ht="45" customHeight="1" thickBot="1">
      <c r="A56" s="134" t="s">
        <v>142</v>
      </c>
      <c r="B56" s="209">
        <v>2.5</v>
      </c>
      <c r="C56" s="210"/>
      <c r="D56" s="210"/>
      <c r="E56" s="210"/>
      <c r="F56" s="210"/>
      <c r="G56" s="211"/>
    </row>
    <row r="57" spans="1:7" ht="16.2" thickBot="1">
      <c r="A57" s="134" t="s">
        <v>201</v>
      </c>
      <c r="B57" s="209">
        <f>1.5/7</f>
        <v>0.21428571428571427</v>
      </c>
      <c r="C57" s="210"/>
      <c r="D57" s="210"/>
      <c r="E57" s="210"/>
      <c r="F57" s="210"/>
      <c r="G57" s="211"/>
    </row>
    <row r="58" spans="1:7" ht="72.599999999999994" thickBot="1">
      <c r="A58" s="106" t="s">
        <v>2</v>
      </c>
      <c r="B58" s="107" t="s">
        <v>3</v>
      </c>
      <c r="C58" s="106" t="s">
        <v>4</v>
      </c>
      <c r="D58" s="106" t="s">
        <v>133</v>
      </c>
      <c r="E58" s="106" t="s">
        <v>6</v>
      </c>
      <c r="F58" s="107" t="s">
        <v>134</v>
      </c>
      <c r="G58" s="107" t="s">
        <v>8</v>
      </c>
    </row>
    <row r="59" spans="1:7" s="103" customFormat="1" ht="16.2" thickBot="1">
      <c r="A59" s="135" t="s">
        <v>202</v>
      </c>
      <c r="B59" s="116"/>
      <c r="C59" s="135">
        <v>0.22093143666666668</v>
      </c>
      <c r="D59" s="135" t="s">
        <v>140</v>
      </c>
      <c r="E59" s="135">
        <v>7.0000000000000007E-2</v>
      </c>
      <c r="F59" s="131">
        <f>B57*C59*E59</f>
        <v>3.3139715500000002E-3</v>
      </c>
      <c r="G59" s="116"/>
    </row>
    <row r="60" spans="1:7" s="103" customFormat="1" ht="31.2" thickTop="1" thickBot="1">
      <c r="A60" s="136" t="s">
        <v>214</v>
      </c>
      <c r="B60" s="137">
        <f>5.5/7</f>
        <v>0.7857142857142857</v>
      </c>
      <c r="C60" s="137"/>
      <c r="D60" s="137"/>
      <c r="E60" s="137"/>
      <c r="F60" s="137"/>
      <c r="G60" s="137"/>
    </row>
    <row r="61" spans="1:7" s="103" customFormat="1" ht="72.599999999999994" thickBot="1">
      <c r="A61" s="106" t="s">
        <v>2</v>
      </c>
      <c r="B61" s="107" t="s">
        <v>3</v>
      </c>
      <c r="C61" s="106" t="s">
        <v>4</v>
      </c>
      <c r="D61" s="106" t="s">
        <v>133</v>
      </c>
      <c r="E61" s="106" t="s">
        <v>6</v>
      </c>
      <c r="F61" s="107" t="s">
        <v>134</v>
      </c>
      <c r="G61" s="107" t="s">
        <v>8</v>
      </c>
    </row>
    <row r="62" spans="1:7" s="103" customFormat="1" ht="15.6">
      <c r="A62" s="108" t="s">
        <v>61</v>
      </c>
      <c r="B62" s="109">
        <v>0.9295566502463054</v>
      </c>
      <c r="C62" s="108">
        <v>0.47</v>
      </c>
      <c r="D62" s="108" t="s">
        <v>140</v>
      </c>
      <c r="E62" s="108">
        <v>0.17</v>
      </c>
      <c r="F62" s="109">
        <f>B60*B62*C62*E62</f>
        <v>5.8356238564391281E-2</v>
      </c>
      <c r="G62" s="111"/>
    </row>
    <row r="63" spans="1:7" s="103" customFormat="1" ht="15.6">
      <c r="A63" s="110" t="s">
        <v>100</v>
      </c>
      <c r="B63" s="112">
        <v>6.8719211822660095E-2</v>
      </c>
      <c r="C63" s="110">
        <v>0.30199999999999999</v>
      </c>
      <c r="D63" s="108" t="s">
        <v>140</v>
      </c>
      <c r="E63" s="110">
        <v>0.13</v>
      </c>
      <c r="F63" s="112">
        <f>B60*B63*C63*E63</f>
        <v>2.1197913441238564E-3</v>
      </c>
      <c r="G63" s="113"/>
    </row>
    <row r="64" spans="1:7" s="103" customFormat="1" ht="15.6">
      <c r="A64" s="110" t="s">
        <v>123</v>
      </c>
      <c r="B64" s="112">
        <v>1.724137931034483E-3</v>
      </c>
      <c r="C64" s="110">
        <v>1.0209999999999999</v>
      </c>
      <c r="D64" s="108" t="s">
        <v>140</v>
      </c>
      <c r="E64" s="110">
        <v>0.13</v>
      </c>
      <c r="F64" s="112">
        <f>B60*B64*C64*E64</f>
        <v>1.7980665024630541E-4</v>
      </c>
      <c r="G64" s="113"/>
    </row>
    <row r="65" spans="1:7" s="103" customFormat="1" ht="15" thickBot="1">
      <c r="A65" s="114" t="s">
        <v>23</v>
      </c>
      <c r="B65" s="115"/>
      <c r="C65" s="114"/>
      <c r="D65" s="114"/>
      <c r="E65" s="114"/>
      <c r="F65" s="132">
        <f>SUM(F62:F64)</f>
        <v>6.0655836558761445E-2</v>
      </c>
      <c r="G65" s="115"/>
    </row>
    <row r="66" spans="1:7" s="103" customFormat="1" ht="30" thickTop="1" thickBot="1">
      <c r="A66" s="138" t="s">
        <v>204</v>
      </c>
      <c r="B66" s="224">
        <f>1.5/7</f>
        <v>0.21428571428571427</v>
      </c>
      <c r="C66" s="224"/>
      <c r="D66" s="224"/>
      <c r="E66" s="224"/>
      <c r="F66" s="224"/>
      <c r="G66" s="224"/>
    </row>
    <row r="67" spans="1:7" ht="72.599999999999994" thickBot="1">
      <c r="A67" s="139" t="s">
        <v>2</v>
      </c>
      <c r="B67" s="140" t="s">
        <v>3</v>
      </c>
      <c r="C67" s="141" t="s">
        <v>4</v>
      </c>
      <c r="D67" s="141" t="s">
        <v>133</v>
      </c>
      <c r="E67" s="141" t="s">
        <v>6</v>
      </c>
      <c r="F67" s="140" t="s">
        <v>134</v>
      </c>
      <c r="G67" s="140" t="s">
        <v>8</v>
      </c>
    </row>
    <row r="68" spans="1:7" ht="15.6">
      <c r="A68" s="108" t="s">
        <v>55</v>
      </c>
      <c r="B68" s="109">
        <v>0.93008425696461972</v>
      </c>
      <c r="C68" s="108">
        <v>0.308</v>
      </c>
      <c r="D68" s="108" t="s">
        <v>11</v>
      </c>
      <c r="E68" s="108">
        <v>0.38844105721218408</v>
      </c>
      <c r="F68" s="109">
        <f>B66*B68*C68*E68</f>
        <v>2.3844672196735205E-2</v>
      </c>
      <c r="G68" s="111"/>
    </row>
    <row r="69" spans="1:7" ht="15.6">
      <c r="A69" s="110" t="s">
        <v>57</v>
      </c>
      <c r="B69" s="112">
        <v>6.9915743035380271E-2</v>
      </c>
      <c r="C69" s="110">
        <v>1.2118571428571427</v>
      </c>
      <c r="D69" s="108" t="s">
        <v>11</v>
      </c>
      <c r="E69" s="110">
        <v>0.34767265230879446</v>
      </c>
      <c r="F69" s="112">
        <f>B66*B69*C69*E69</f>
        <v>6.3123366735521741E-3</v>
      </c>
      <c r="G69" s="113"/>
    </row>
    <row r="70" spans="1:7" ht="15" thickBot="1">
      <c r="A70" s="114" t="s">
        <v>23</v>
      </c>
      <c r="B70" s="115"/>
      <c r="C70" s="114"/>
      <c r="D70" s="114"/>
      <c r="E70" s="114"/>
      <c r="F70" s="132">
        <f>SUM(F68:F69)</f>
        <v>3.0157008870287379E-2</v>
      </c>
      <c r="G70" s="115"/>
    </row>
    <row r="71" spans="1:7" ht="15.6" thickTop="1" thickBot="1">
      <c r="A71" s="138" t="s">
        <v>205</v>
      </c>
      <c r="B71" s="142">
        <f>5/7</f>
        <v>0.7142857142857143</v>
      </c>
      <c r="C71" s="142"/>
      <c r="D71" s="142"/>
      <c r="E71" s="142"/>
      <c r="F71" s="142"/>
      <c r="G71" s="142"/>
    </row>
    <row r="72" spans="1:7" ht="72.599999999999994" thickBot="1">
      <c r="A72" s="143" t="s">
        <v>2</v>
      </c>
      <c r="B72" s="144" t="s">
        <v>3</v>
      </c>
      <c r="C72" s="145" t="s">
        <v>4</v>
      </c>
      <c r="D72" s="145" t="s">
        <v>133</v>
      </c>
      <c r="E72" s="145" t="s">
        <v>6</v>
      </c>
      <c r="F72" s="144" t="s">
        <v>134</v>
      </c>
      <c r="G72" s="144" t="s">
        <v>8</v>
      </c>
    </row>
    <row r="73" spans="1:7" ht="15.6">
      <c r="A73" s="108" t="s">
        <v>98</v>
      </c>
      <c r="B73" s="109">
        <v>2.5257081003066933E-3</v>
      </c>
      <c r="C73" s="108">
        <v>7.9000000000000001E-2</v>
      </c>
      <c r="D73" s="108" t="s">
        <v>140</v>
      </c>
      <c r="E73" s="108">
        <v>0.13</v>
      </c>
      <c r="F73" s="109">
        <f>B71*B73*C73*E73</f>
        <v>1.8527872992964103E-5</v>
      </c>
      <c r="G73" s="111"/>
    </row>
    <row r="74" spans="1:7" ht="15.6">
      <c r="A74" s="110" t="s">
        <v>60</v>
      </c>
      <c r="B74" s="112">
        <v>1.6417102651993507E-2</v>
      </c>
      <c r="C74" s="108">
        <v>2.048</v>
      </c>
      <c r="D74" s="108" t="s">
        <v>140</v>
      </c>
      <c r="E74" s="110">
        <v>0.15</v>
      </c>
      <c r="F74" s="112">
        <f>B71*B74*C74*E74</f>
        <v>3.6023813819231467E-3</v>
      </c>
      <c r="G74" s="113"/>
    </row>
    <row r="75" spans="1:7" ht="15.6">
      <c r="A75" s="110" t="s">
        <v>99</v>
      </c>
      <c r="B75" s="112">
        <v>0.93595525888508035</v>
      </c>
      <c r="C75" s="110">
        <v>0.217</v>
      </c>
      <c r="D75" s="108" t="s">
        <v>140</v>
      </c>
      <c r="E75" s="110">
        <v>0.15</v>
      </c>
      <c r="F75" s="112">
        <f>B71*B75*C75*E75</f>
        <v>2.1760959769078117E-2</v>
      </c>
      <c r="G75" s="113"/>
    </row>
    <row r="76" spans="1:7" ht="15.6">
      <c r="A76" s="110" t="s">
        <v>127</v>
      </c>
      <c r="B76" s="112">
        <v>2.2370557459859282E-2</v>
      </c>
      <c r="C76" s="110">
        <v>0.30175000000000002</v>
      </c>
      <c r="D76" s="108" t="s">
        <v>140</v>
      </c>
      <c r="E76" s="110">
        <v>0.13800000000000001</v>
      </c>
      <c r="F76" s="112">
        <f>B71*B76*C76*E76</f>
        <v>6.6538826318909318E-4</v>
      </c>
      <c r="G76" s="113"/>
    </row>
    <row r="77" spans="1:7" ht="15.6">
      <c r="A77" s="110" t="s">
        <v>56</v>
      </c>
      <c r="B77" s="112">
        <v>2.2731372902760238E-2</v>
      </c>
      <c r="C77">
        <v>0.61699999999999999</v>
      </c>
      <c r="D77" s="108" t="s">
        <v>11</v>
      </c>
      <c r="E77" s="110">
        <v>0.95238095238095233</v>
      </c>
      <c r="F77" s="112">
        <f>B71*B77*C77*E77</f>
        <v>9.5409912115667125E-3</v>
      </c>
      <c r="G77" s="113"/>
    </row>
    <row r="78" spans="1:7" ht="15" thickBot="1">
      <c r="A78" s="114" t="s">
        <v>23</v>
      </c>
      <c r="B78" s="115"/>
      <c r="C78" s="114"/>
      <c r="D78" s="114"/>
      <c r="E78" s="114"/>
      <c r="F78" s="132">
        <f>SUM(F73:F77)</f>
        <v>3.5588248498750037E-2</v>
      </c>
      <c r="G78" s="115"/>
    </row>
    <row r="79" spans="1:7" ht="15.6" thickTop="1" thickBot="1">
      <c r="A79" s="138" t="s">
        <v>206</v>
      </c>
      <c r="B79" s="215">
        <f>4/7</f>
        <v>0.5714285714285714</v>
      </c>
      <c r="C79" s="216"/>
      <c r="D79" s="216"/>
      <c r="E79" s="216"/>
      <c r="F79" s="216"/>
      <c r="G79" s="217"/>
    </row>
    <row r="80" spans="1:7" ht="72.599999999999994" thickBot="1">
      <c r="A80" s="139" t="s">
        <v>2</v>
      </c>
      <c r="B80" s="140" t="s">
        <v>3</v>
      </c>
      <c r="C80" s="141" t="s">
        <v>4</v>
      </c>
      <c r="D80" s="141" t="s">
        <v>133</v>
      </c>
      <c r="E80" s="141" t="s">
        <v>6</v>
      </c>
      <c r="F80" s="140" t="s">
        <v>134</v>
      </c>
      <c r="G80" s="140" t="s">
        <v>8</v>
      </c>
    </row>
    <row r="81" spans="1:7" ht="15.6">
      <c r="A81" s="108" t="s">
        <v>59</v>
      </c>
      <c r="B81" s="108">
        <v>0.12542639727105748</v>
      </c>
      <c r="C81" s="108">
        <v>0.26900000000000002</v>
      </c>
      <c r="D81" s="108" t="s">
        <v>140</v>
      </c>
      <c r="E81" s="108">
        <v>0.16</v>
      </c>
      <c r="F81" s="108">
        <f>B79*B81*C81*E81</f>
        <v>3.0847726505978936E-3</v>
      </c>
      <c r="G81" s="108"/>
    </row>
    <row r="82" spans="1:7" ht="15.6">
      <c r="A82" s="110" t="s">
        <v>62</v>
      </c>
      <c r="B82" s="110">
        <v>0.87457360272894247</v>
      </c>
      <c r="C82" s="110">
        <v>0.45593939393939392</v>
      </c>
      <c r="D82" s="108" t="s">
        <v>140</v>
      </c>
      <c r="E82" s="110">
        <v>0.104</v>
      </c>
      <c r="F82" s="110">
        <f>B79*B82*C82*E82</f>
        <v>2.3697294898226934E-2</v>
      </c>
      <c r="G82" s="110"/>
    </row>
    <row r="83" spans="1:7" ht="16.2" thickBot="1">
      <c r="A83" s="164" t="s">
        <v>23</v>
      </c>
      <c r="B83" s="146"/>
      <c r="C83" s="146"/>
      <c r="D83" s="146"/>
      <c r="E83" s="146"/>
      <c r="F83" s="147">
        <f>SUM(F81:F82)</f>
        <v>2.6782067548824829E-2</v>
      </c>
      <c r="G83" s="146"/>
    </row>
    <row r="84" spans="1:7" ht="16.8" thickTop="1" thickBot="1">
      <c r="A84" s="148" t="s">
        <v>65</v>
      </c>
      <c r="B84" s="149"/>
      <c r="C84" s="149"/>
      <c r="D84" s="149"/>
      <c r="E84" s="149"/>
      <c r="F84" s="150">
        <f>F59+F65+F70+F78+F83</f>
        <v>0.15649713302662371</v>
      </c>
      <c r="G84" s="176">
        <f>F84/104</f>
        <v>1.5047801252559972E-3</v>
      </c>
    </row>
    <row r="85" spans="1:7" ht="16.95" customHeight="1" thickBot="1">
      <c r="A85" s="180" t="s">
        <v>186</v>
      </c>
      <c r="B85" s="181"/>
      <c r="C85" s="181"/>
      <c r="D85" s="181"/>
      <c r="E85" s="181"/>
      <c r="F85" s="181"/>
      <c r="G85" s="182"/>
    </row>
    <row r="86" spans="1:7" ht="29.4" thickBot="1">
      <c r="A86" s="52" t="s">
        <v>143</v>
      </c>
      <c r="B86" s="186">
        <v>2.7E-2</v>
      </c>
      <c r="C86" s="187"/>
      <c r="D86" s="187"/>
      <c r="E86" s="187"/>
      <c r="F86" s="187"/>
      <c r="G86" s="188"/>
    </row>
    <row r="87" spans="1:7" ht="72.599999999999994" thickBot="1">
      <c r="A87" s="7" t="s">
        <v>2</v>
      </c>
      <c r="B87" s="8" t="s">
        <v>3</v>
      </c>
      <c r="C87" s="7" t="s">
        <v>4</v>
      </c>
      <c r="D87" s="7" t="s">
        <v>133</v>
      </c>
      <c r="E87" s="7" t="s">
        <v>6</v>
      </c>
      <c r="F87" s="8" t="s">
        <v>134</v>
      </c>
      <c r="G87" s="8" t="s">
        <v>8</v>
      </c>
    </row>
    <row r="88" spans="1:7">
      <c r="A88" s="9" t="s">
        <v>67</v>
      </c>
      <c r="B88" s="9">
        <v>9.9767209843698041E-3</v>
      </c>
      <c r="C88" s="9">
        <v>2.7290000000000001</v>
      </c>
      <c r="D88" s="9"/>
      <c r="E88" s="9"/>
      <c r="F88" s="9">
        <f>B86*B88*C88</f>
        <v>7.3511473229132028E-4</v>
      </c>
      <c r="G88" s="9"/>
    </row>
    <row r="89" spans="1:7">
      <c r="A89" s="12" t="s">
        <v>102</v>
      </c>
      <c r="B89" s="12">
        <v>2.6937146657798471E-2</v>
      </c>
      <c r="C89" s="12">
        <v>2.14</v>
      </c>
      <c r="D89" s="12"/>
      <c r="E89" s="12"/>
      <c r="F89" s="12">
        <f>B86*B89*C89</f>
        <v>1.5564283338875956E-3</v>
      </c>
      <c r="G89" s="12"/>
    </row>
    <row r="90" spans="1:7">
      <c r="A90" s="12" t="s">
        <v>68</v>
      </c>
      <c r="B90" s="12">
        <v>7.6488194213501833E-3</v>
      </c>
      <c r="C90" s="12">
        <v>4.6559999999999997</v>
      </c>
      <c r="D90" s="12"/>
      <c r="E90" s="12"/>
      <c r="F90" s="12">
        <f>B86*B90*C90</f>
        <v>9.6154838709677423E-4</v>
      </c>
      <c r="G90" s="12"/>
    </row>
    <row r="91" spans="1:7">
      <c r="A91" s="12" t="s">
        <v>69</v>
      </c>
      <c r="B91" s="12">
        <v>7.2497505819753907E-2</v>
      </c>
      <c r="C91" s="12">
        <v>1.1990000000000001</v>
      </c>
      <c r="D91" s="12"/>
      <c r="E91" s="12"/>
      <c r="F91" s="12">
        <f>B86*B91*C91</f>
        <v>2.3469617559028931E-3</v>
      </c>
      <c r="G91" s="12"/>
    </row>
    <row r="92" spans="1:7">
      <c r="A92" s="12" t="s">
        <v>70</v>
      </c>
      <c r="B92" s="12">
        <v>3.0262720319255074E-2</v>
      </c>
      <c r="C92" s="12">
        <v>3.206</v>
      </c>
      <c r="D92" s="12"/>
      <c r="E92" s="12"/>
      <c r="F92" s="12">
        <f>B86*B92*C92</f>
        <v>2.6196015962753577E-3</v>
      </c>
      <c r="G92" s="12"/>
    </row>
    <row r="93" spans="1:7">
      <c r="A93" s="12" t="s">
        <v>72</v>
      </c>
      <c r="B93" s="12">
        <v>6.4183571666112396E-2</v>
      </c>
      <c r="C93" s="12">
        <v>2.2749999999999999</v>
      </c>
      <c r="D93" s="12"/>
      <c r="E93" s="12"/>
      <c r="F93" s="12">
        <f>B86*B93*C93</f>
        <v>3.9424758895909538E-3</v>
      </c>
      <c r="G93" s="12"/>
    </row>
    <row r="94" spans="1:7">
      <c r="A94" s="12" t="s">
        <v>74</v>
      </c>
      <c r="B94" s="12">
        <v>0.77452610575324243</v>
      </c>
      <c r="C94" s="12">
        <v>0.80700000000000005</v>
      </c>
      <c r="D94" s="12"/>
      <c r="E94" s="12"/>
      <c r="F94" s="12">
        <f>B86*B94*C94</f>
        <v>1.68761493182574E-2</v>
      </c>
      <c r="G94" s="12"/>
    </row>
    <row r="95" spans="1:7">
      <c r="A95" s="12" t="s">
        <v>75</v>
      </c>
      <c r="B95" s="12">
        <v>9.3116062520784849E-3</v>
      </c>
      <c r="C95" s="12">
        <v>2.6459999999999999</v>
      </c>
      <c r="D95" s="12"/>
      <c r="E95" s="12"/>
      <c r="F95" s="12">
        <f>B86*B95*C95</f>
        <v>6.6523977386099111E-4</v>
      </c>
      <c r="G95" s="12"/>
    </row>
    <row r="96" spans="1:7">
      <c r="A96" s="12" t="s">
        <v>76</v>
      </c>
      <c r="B96" s="12">
        <v>4.6558031260392424E-3</v>
      </c>
      <c r="C96" s="12">
        <v>2.313333333333333</v>
      </c>
      <c r="D96" s="12"/>
      <c r="E96" s="12"/>
      <c r="F96" s="12">
        <f>B86*B96*C96</f>
        <v>2.9080146325241102E-4</v>
      </c>
      <c r="G96" s="12"/>
    </row>
    <row r="97" spans="1:7" ht="15" thickBot="1">
      <c r="A97" s="29" t="s">
        <v>161</v>
      </c>
      <c r="B97" s="30"/>
      <c r="C97" s="30"/>
      <c r="D97" s="30"/>
      <c r="E97" s="30"/>
      <c r="F97" s="31">
        <f>SUM(F88:F96)</f>
        <v>2.9994321250415699E-2</v>
      </c>
      <c r="G97" s="30">
        <f>F97/F103</f>
        <v>1.6678123622492606E-2</v>
      </c>
    </row>
    <row r="98" spans="1:7" ht="15" thickBot="1">
      <c r="A98" s="206" t="s">
        <v>207</v>
      </c>
      <c r="B98" s="207"/>
      <c r="C98" s="207"/>
      <c r="D98" s="207"/>
      <c r="E98" s="207"/>
      <c r="F98" s="207"/>
      <c r="G98" s="208"/>
    </row>
    <row r="99" spans="1:7" ht="16.2" thickBot="1">
      <c r="A99" s="134" t="s">
        <v>208</v>
      </c>
      <c r="B99" s="209">
        <v>290</v>
      </c>
      <c r="C99" s="210"/>
      <c r="D99" s="210"/>
      <c r="E99" s="210"/>
      <c r="F99" s="210"/>
      <c r="G99" s="211"/>
    </row>
    <row r="100" spans="1:7" ht="58.2" thickBot="1">
      <c r="A100" s="151" t="s">
        <v>209</v>
      </c>
      <c r="B100" s="151" t="s">
        <v>210</v>
      </c>
      <c r="C100" s="151" t="s">
        <v>211</v>
      </c>
      <c r="D100" s="151"/>
      <c r="E100" s="151"/>
      <c r="F100" s="151" t="s">
        <v>212</v>
      </c>
      <c r="G100" s="151" t="s">
        <v>8</v>
      </c>
    </row>
    <row r="101" spans="1:7" ht="15.6">
      <c r="A101" s="152">
        <v>1710</v>
      </c>
      <c r="B101" s="153">
        <f>SUM(F21,F29,F40,F54,F84,F97)</f>
        <v>1.5376516717096178</v>
      </c>
      <c r="C101" s="152">
        <f>B101/A101</f>
        <v>8.9921150392375312E-4</v>
      </c>
      <c r="D101" s="152"/>
      <c r="E101" s="154"/>
      <c r="F101" s="169">
        <f>B99*C101</f>
        <v>0.26077133613788839</v>
      </c>
      <c r="G101" s="177">
        <f>F101/F103</f>
        <v>0.14499999999999999</v>
      </c>
    </row>
    <row r="102" spans="1:7" ht="15" thickBot="1">
      <c r="A102" s="206" t="s">
        <v>23</v>
      </c>
      <c r="B102" s="207"/>
      <c r="C102" s="207"/>
      <c r="D102" s="207"/>
      <c r="E102" s="207"/>
      <c r="F102" s="207"/>
      <c r="G102" s="208"/>
    </row>
    <row r="103" spans="1:7" ht="15.6">
      <c r="A103" s="117" t="s">
        <v>213</v>
      </c>
      <c r="B103" s="110"/>
      <c r="C103" s="110"/>
      <c r="D103" s="110"/>
      <c r="E103" s="110"/>
      <c r="F103" s="156">
        <f>SUM(F21,F29,F40,F54,F84,F97,F101)</f>
        <v>1.7984230078475063</v>
      </c>
      <c r="G103" s="110"/>
    </row>
  </sheetData>
  <mergeCells count="20">
    <mergeCell ref="B99:G99"/>
    <mergeCell ref="A102:G102"/>
    <mergeCell ref="A85:G85"/>
    <mergeCell ref="B86:G86"/>
    <mergeCell ref="A22:G22"/>
    <mergeCell ref="B23:G23"/>
    <mergeCell ref="A98:G98"/>
    <mergeCell ref="A41:G41"/>
    <mergeCell ref="A30:G30"/>
    <mergeCell ref="B57:G57"/>
    <mergeCell ref="B66:G66"/>
    <mergeCell ref="B79:G79"/>
    <mergeCell ref="A2:G2"/>
    <mergeCell ref="B31:G31"/>
    <mergeCell ref="B42:G42"/>
    <mergeCell ref="A55:G55"/>
    <mergeCell ref="B56:G56"/>
    <mergeCell ref="B6:G6"/>
    <mergeCell ref="B12:G12"/>
    <mergeCell ref="B18:G18"/>
  </mergeCells>
  <pageMargins left="0.7" right="0.7" top="0.75" bottom="0.75" header="0.3" footer="0.3"/>
  <pageSetup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035B-E487-714A-B542-4AFD10F07F63}">
  <dimension ref="A1:I85"/>
  <sheetViews>
    <sheetView topLeftCell="A62" workbookViewId="0">
      <selection activeCell="G13" sqref="G13"/>
    </sheetView>
  </sheetViews>
  <sheetFormatPr defaultColWidth="11.5" defaultRowHeight="14.4"/>
  <cols>
    <col min="1" max="1" width="28" style="4" customWidth="1"/>
    <col min="2" max="2" width="19.19921875" style="4" customWidth="1"/>
    <col min="3" max="3" width="21.5" style="4" customWidth="1"/>
    <col min="4" max="4" width="19.5" style="4" customWidth="1"/>
    <col min="5" max="5" width="20.296875" style="4" customWidth="1"/>
    <col min="6" max="6" width="20.5" style="4" customWidth="1"/>
    <col min="7" max="7" width="11.5" style="4"/>
    <col min="8" max="8" width="16.296875" style="4" customWidth="1"/>
    <col min="9" max="16384" width="11.5" style="4"/>
  </cols>
  <sheetData>
    <row r="1" spans="1:9" ht="15" thickBot="1">
      <c r="A1" s="1" t="s">
        <v>0</v>
      </c>
      <c r="B1" s="2"/>
      <c r="C1" s="2"/>
      <c r="D1" s="2"/>
      <c r="E1" s="2"/>
      <c r="F1" s="3"/>
      <c r="G1" s="2"/>
      <c r="H1" s="2"/>
      <c r="I1" s="2"/>
    </row>
    <row r="2" spans="1:9" ht="16.95" customHeight="1" thickBot="1">
      <c r="A2" s="192" t="s">
        <v>182</v>
      </c>
      <c r="B2" s="231"/>
      <c r="C2" s="231"/>
      <c r="D2" s="231"/>
      <c r="E2" s="231"/>
      <c r="F2" s="231"/>
      <c r="G2" s="231"/>
      <c r="H2" s="231"/>
      <c r="I2" s="232"/>
    </row>
    <row r="3" spans="1:9" ht="43.8" thickBot="1">
      <c r="A3" s="5" t="s">
        <v>152</v>
      </c>
      <c r="B3" s="186">
        <v>0.1</v>
      </c>
      <c r="C3" s="187"/>
      <c r="D3" s="187"/>
      <c r="E3" s="187"/>
      <c r="F3" s="187"/>
      <c r="G3" s="187"/>
      <c r="H3" s="187"/>
      <c r="I3" s="188"/>
    </row>
    <row r="4" spans="1:9" ht="72.599999999999994" thickBot="1">
      <c r="A4" s="7" t="s">
        <v>2</v>
      </c>
      <c r="B4" s="43" t="s">
        <v>3</v>
      </c>
      <c r="C4" s="44" t="s">
        <v>4</v>
      </c>
      <c r="D4" s="44" t="s">
        <v>5</v>
      </c>
      <c r="E4" s="44" t="s">
        <v>6</v>
      </c>
      <c r="F4" s="43" t="s">
        <v>91</v>
      </c>
      <c r="G4" s="43" t="s">
        <v>8</v>
      </c>
      <c r="H4" s="175" t="s">
        <v>92</v>
      </c>
      <c r="I4" s="8" t="s">
        <v>220</v>
      </c>
    </row>
    <row r="5" spans="1:9">
      <c r="A5" s="9" t="s">
        <v>25</v>
      </c>
      <c r="B5" s="9">
        <v>0.18203676459384191</v>
      </c>
      <c r="C5" s="9">
        <v>3.754</v>
      </c>
      <c r="D5" s="10"/>
      <c r="E5" s="10"/>
      <c r="F5" s="9">
        <f>B3*B5*C5</f>
        <v>6.8336601428528251E-2</v>
      </c>
      <c r="G5" s="9"/>
      <c r="H5" s="9"/>
      <c r="I5" s="9"/>
    </row>
    <row r="6" spans="1:9">
      <c r="A6" s="12" t="s">
        <v>27</v>
      </c>
      <c r="B6" s="12">
        <v>1.3160800693476533E-2</v>
      </c>
      <c r="C6" s="12">
        <v>4.8252668759459452</v>
      </c>
      <c r="D6" s="75" t="s">
        <v>11</v>
      </c>
      <c r="E6" s="75">
        <v>1.2749999999999999</v>
      </c>
      <c r="F6" s="12">
        <f>B3*B6*C6*E6</f>
        <v>8.0968078950127385E-3</v>
      </c>
      <c r="G6" s="12"/>
      <c r="H6" s="12"/>
      <c r="I6" s="12"/>
    </row>
    <row r="7" spans="1:9">
      <c r="A7" s="12" t="s">
        <v>28</v>
      </c>
      <c r="B7" s="12">
        <v>1.1817617676504093E-2</v>
      </c>
      <c r="C7" s="12">
        <v>4.8285502525925947</v>
      </c>
      <c r="D7" s="75" t="s">
        <v>11</v>
      </c>
      <c r="E7" s="75">
        <v>1.25</v>
      </c>
      <c r="F7" s="12">
        <f>B3*B7*C7*E7</f>
        <v>7.1327451021158195E-3</v>
      </c>
      <c r="G7" s="12"/>
      <c r="H7" s="12"/>
      <c r="I7" s="12"/>
    </row>
    <row r="8" spans="1:9">
      <c r="A8" s="12" t="s">
        <v>120</v>
      </c>
      <c r="B8" s="12">
        <v>1.2948829397132517E-3</v>
      </c>
      <c r="C8" s="12">
        <v>3.6740210518316871</v>
      </c>
      <c r="D8" s="75" t="s">
        <v>11</v>
      </c>
      <c r="E8" s="75">
        <v>1.2549999999999999</v>
      </c>
      <c r="F8" s="12">
        <f>B3*B8*C8*E8</f>
        <v>5.9705711111060565E-4</v>
      </c>
      <c r="G8" s="12"/>
      <c r="H8" s="12"/>
      <c r="I8" s="12"/>
    </row>
    <row r="9" spans="1:9">
      <c r="A9" s="12" t="s">
        <v>30</v>
      </c>
      <c r="B9" s="12">
        <v>1.7552857627224076E-2</v>
      </c>
      <c r="C9" s="12">
        <v>1.368246026956522</v>
      </c>
      <c r="D9" s="75" t="s">
        <v>11</v>
      </c>
      <c r="E9" s="75">
        <v>1.2549999999999999</v>
      </c>
      <c r="F9" s="12">
        <f>B3*B9*C9*E9</f>
        <v>3.0140867776279447E-3</v>
      </c>
      <c r="G9" s="12"/>
      <c r="H9" s="12"/>
      <c r="I9" s="12"/>
    </row>
    <row r="10" spans="1:9">
      <c r="A10" s="12" t="s">
        <v>121</v>
      </c>
      <c r="B10" s="12">
        <v>2.1667707857868411E-3</v>
      </c>
      <c r="C10" s="12">
        <v>3.1429999999999998</v>
      </c>
      <c r="D10" s="75" t="s">
        <v>11</v>
      </c>
      <c r="E10" s="75">
        <v>1.25</v>
      </c>
      <c r="F10" s="12">
        <f>B3*B10*C10*E10</f>
        <v>8.5127007246600509E-4</v>
      </c>
      <c r="G10" s="12"/>
      <c r="H10" s="12"/>
      <c r="I10" s="12"/>
    </row>
    <row r="11" spans="1:9">
      <c r="A11" s="12" t="s">
        <v>32</v>
      </c>
      <c r="B11" s="12">
        <v>1.1090690983283939E-3</v>
      </c>
      <c r="C11" s="12">
        <v>30.658000000000001</v>
      </c>
      <c r="D11" s="75" t="s">
        <v>11</v>
      </c>
      <c r="E11" s="75">
        <v>1.28</v>
      </c>
      <c r="F11" s="12">
        <f>B3*B11*C11*E11</f>
        <v>4.3522355733186437E-3</v>
      </c>
      <c r="G11" s="12"/>
      <c r="H11" s="12"/>
      <c r="I11" s="12"/>
    </row>
    <row r="12" spans="1:9">
      <c r="A12" s="12" t="s">
        <v>10</v>
      </c>
      <c r="B12" s="12">
        <v>0.28120364668547732</v>
      </c>
      <c r="C12" s="12">
        <v>3.1966666666666668</v>
      </c>
      <c r="D12" s="75" t="s">
        <v>11</v>
      </c>
      <c r="E12" s="75">
        <v>1.17</v>
      </c>
      <c r="F12" s="12">
        <f>B3*B12*C12*E12</f>
        <v>0.10517297589683537</v>
      </c>
      <c r="G12" s="12"/>
      <c r="H12" s="12"/>
      <c r="I12" s="12"/>
    </row>
    <row r="13" spans="1:9">
      <c r="A13" s="12" t="s">
        <v>12</v>
      </c>
      <c r="B13" s="12">
        <v>0.14314035367322175</v>
      </c>
      <c r="C13" s="12">
        <v>5.56</v>
      </c>
      <c r="D13" s="75" t="s">
        <v>11</v>
      </c>
      <c r="E13" s="75">
        <v>1.335</v>
      </c>
      <c r="F13" s="12">
        <f>B3*B13*C13*E13</f>
        <v>0.10624735891748556</v>
      </c>
      <c r="G13" s="12"/>
      <c r="H13" s="12"/>
      <c r="I13" s="12"/>
    </row>
    <row r="14" spans="1:9">
      <c r="A14" s="12" t="s">
        <v>13</v>
      </c>
      <c r="B14" s="12">
        <v>7.3299603367709368E-2</v>
      </c>
      <c r="C14" s="12">
        <v>34.744999999999997</v>
      </c>
      <c r="D14" s="75" t="s">
        <v>11</v>
      </c>
      <c r="E14" s="75">
        <v>1.1499999999999999</v>
      </c>
      <c r="F14" s="12">
        <f>B3*B14*C14*E14</f>
        <v>0.29288139268627206</v>
      </c>
      <c r="G14" s="12"/>
      <c r="H14" s="12"/>
      <c r="I14" s="12"/>
    </row>
    <row r="15" spans="1:9">
      <c r="A15" s="12" t="s">
        <v>14</v>
      </c>
      <c r="B15" s="12">
        <v>0.24074031987502209</v>
      </c>
      <c r="C15" s="12">
        <v>32.845999999999997</v>
      </c>
      <c r="D15" s="75" t="s">
        <v>11</v>
      </c>
      <c r="E15" s="75">
        <v>1.2549999999999999</v>
      </c>
      <c r="F15" s="12">
        <f>B3*B15*C15*E15</f>
        <v>0.99237324660017934</v>
      </c>
      <c r="G15" s="12"/>
      <c r="H15" s="12"/>
      <c r="I15" s="12"/>
    </row>
    <row r="16" spans="1:9">
      <c r="A16" s="12" t="s">
        <v>15</v>
      </c>
      <c r="B16" s="12">
        <v>2.3427895092639618E-3</v>
      </c>
      <c r="C16" s="12">
        <v>3.1966666666666668</v>
      </c>
      <c r="D16" s="75" t="s">
        <v>11</v>
      </c>
      <c r="E16" s="75">
        <v>1.17</v>
      </c>
      <c r="F16" s="12">
        <f>B3*B16*C16*E16</f>
        <v>8.7622670435981442E-4</v>
      </c>
      <c r="G16" s="12"/>
      <c r="H16" s="12"/>
      <c r="I16" s="12"/>
    </row>
    <row r="17" spans="1:9">
      <c r="A17" s="12" t="s">
        <v>16</v>
      </c>
      <c r="B17" s="12">
        <v>1.1925439904164519E-3</v>
      </c>
      <c r="C17" s="12">
        <v>5.56</v>
      </c>
      <c r="D17" s="75" t="s">
        <v>11</v>
      </c>
      <c r="E17" s="75">
        <v>1.335</v>
      </c>
      <c r="F17" s="12">
        <f>B3*B17*C17*E17</f>
        <v>8.8517770232651543E-4</v>
      </c>
      <c r="G17" s="12"/>
      <c r="H17" s="12"/>
      <c r="I17" s="12"/>
    </row>
    <row r="18" spans="1:9">
      <c r="A18" s="12" t="s">
        <v>17</v>
      </c>
      <c r="B18" s="12">
        <v>6.1068035150750252E-4</v>
      </c>
      <c r="C18" s="12">
        <v>34.744999999999997</v>
      </c>
      <c r="D18" s="75" t="s">
        <v>11</v>
      </c>
      <c r="E18" s="75">
        <v>1.1499999999999999</v>
      </c>
      <c r="F18" s="12">
        <f>B3*B18*C18*E18</f>
        <v>2.4400802135097397E-3</v>
      </c>
      <c r="G18" s="12"/>
      <c r="H18" s="12"/>
      <c r="I18" s="12"/>
    </row>
    <row r="19" spans="1:9">
      <c r="A19" s="12" t="s">
        <v>18</v>
      </c>
      <c r="B19" s="12">
        <v>2.0056777446093481E-3</v>
      </c>
      <c r="C19" s="12">
        <v>32.845999999999997</v>
      </c>
      <c r="D19" s="75" t="s">
        <v>11</v>
      </c>
      <c r="E19" s="75">
        <v>1.2549999999999999</v>
      </c>
      <c r="F19" s="12">
        <f>B3*B19*C19*E19</f>
        <v>8.267750645529549E-3</v>
      </c>
      <c r="G19" s="12"/>
      <c r="H19" s="12"/>
      <c r="I19" s="12"/>
    </row>
    <row r="20" spans="1:9">
      <c r="A20" s="12" t="s">
        <v>19</v>
      </c>
      <c r="B20" s="12">
        <v>1.0025760988173718E-2</v>
      </c>
      <c r="C20" s="12">
        <v>3.1966666666666668</v>
      </c>
      <c r="D20" s="75" t="s">
        <v>11</v>
      </c>
      <c r="E20" s="75">
        <v>1.17</v>
      </c>
      <c r="F20" s="12">
        <f>B3*B20*C20*E20</f>
        <v>3.7497348671868525E-3</v>
      </c>
      <c r="G20" s="12"/>
      <c r="H20" s="12"/>
      <c r="I20" s="12"/>
    </row>
    <row r="21" spans="1:9">
      <c r="A21" s="12" t="s">
        <v>20</v>
      </c>
      <c r="B21" s="12">
        <v>5.1033867825174637E-3</v>
      </c>
      <c r="C21" s="12">
        <v>5.56</v>
      </c>
      <c r="D21" s="75" t="s">
        <v>11</v>
      </c>
      <c r="E21" s="75">
        <v>1.335</v>
      </c>
      <c r="F21" s="12">
        <f>B3*B21*C21*E21</f>
        <v>3.788039873191412E-3</v>
      </c>
      <c r="G21" s="12"/>
      <c r="H21" s="12"/>
      <c r="I21" s="12"/>
    </row>
    <row r="22" spans="1:9">
      <c r="A22" s="12" t="s">
        <v>21</v>
      </c>
      <c r="B22" s="12">
        <v>2.6133526807159304E-3</v>
      </c>
      <c r="C22" s="12">
        <v>34.744999999999997</v>
      </c>
      <c r="D22" s="75" t="s">
        <v>11</v>
      </c>
      <c r="E22" s="75">
        <v>1.1499999999999999</v>
      </c>
      <c r="F22" s="12">
        <f>B3*B22*C22*E22</f>
        <v>1.0442107972519623E-2</v>
      </c>
      <c r="G22" s="12"/>
      <c r="H22" s="12"/>
      <c r="I22" s="12"/>
    </row>
    <row r="23" spans="1:9">
      <c r="A23" s="12" t="s">
        <v>22</v>
      </c>
      <c r="B23" s="12">
        <v>8.583120936490005E-3</v>
      </c>
      <c r="C23" s="12">
        <v>32.845999999999997</v>
      </c>
      <c r="D23" s="75" t="s">
        <v>11</v>
      </c>
      <c r="E23" s="75">
        <v>1.2549999999999999</v>
      </c>
      <c r="F23" s="12">
        <f>B3*B23*C23*E23</f>
        <v>3.5381109380133807E-2</v>
      </c>
      <c r="G23" s="12"/>
      <c r="H23" s="12"/>
      <c r="I23" s="12"/>
    </row>
    <row r="24" spans="1:9" ht="15" thickBot="1">
      <c r="A24" s="29" t="s">
        <v>33</v>
      </c>
      <c r="B24" s="30"/>
      <c r="C24" s="30"/>
      <c r="D24" s="30"/>
      <c r="E24" s="30"/>
      <c r="F24" s="31">
        <f>SUM(F5:F23)</f>
        <v>1.6548860054197094</v>
      </c>
      <c r="G24" s="30">
        <f>F24/F84</f>
        <v>0.62112737118052475</v>
      </c>
      <c r="H24" s="30">
        <f>F24/F85</f>
        <v>0.62747054753123743</v>
      </c>
      <c r="I24" s="31">
        <v>1.5044418231088268</v>
      </c>
    </row>
    <row r="25" spans="1:9" ht="16.95" customHeight="1" thickBot="1">
      <c r="A25" s="180" t="s">
        <v>189</v>
      </c>
      <c r="B25" s="181"/>
      <c r="C25" s="181"/>
      <c r="D25" s="181"/>
      <c r="E25" s="181"/>
      <c r="F25" s="181"/>
      <c r="G25" s="181"/>
      <c r="H25" s="181"/>
      <c r="I25" s="182"/>
    </row>
    <row r="26" spans="1:9" ht="29.4" thickBot="1">
      <c r="A26" s="5" t="s">
        <v>156</v>
      </c>
      <c r="B26" s="186">
        <v>500</v>
      </c>
      <c r="C26" s="187"/>
      <c r="D26" s="187"/>
      <c r="E26" s="187"/>
      <c r="F26" s="187"/>
      <c r="G26" s="187"/>
      <c r="H26" s="188"/>
      <c r="I26" s="9"/>
    </row>
    <row r="27" spans="1:9" ht="72.599999999999994" thickBot="1">
      <c r="A27" s="7" t="s">
        <v>130</v>
      </c>
      <c r="B27" s="8" t="s">
        <v>131</v>
      </c>
      <c r="C27" s="7" t="s">
        <v>4</v>
      </c>
      <c r="D27" s="7" t="s">
        <v>5</v>
      </c>
      <c r="E27" s="7" t="s">
        <v>6</v>
      </c>
      <c r="F27" s="8" t="s">
        <v>91</v>
      </c>
      <c r="G27" s="8" t="s">
        <v>8</v>
      </c>
      <c r="H27" s="53" t="s">
        <v>92</v>
      </c>
      <c r="I27" s="8" t="s">
        <v>220</v>
      </c>
    </row>
    <row r="28" spans="1:9">
      <c r="A28" s="9" t="s">
        <v>82</v>
      </c>
      <c r="B28" s="9">
        <v>0.92654777206512429</v>
      </c>
      <c r="C28" s="9">
        <v>1.3233105925925925</v>
      </c>
      <c r="D28" s="9" t="s">
        <v>105</v>
      </c>
      <c r="E28" s="9">
        <f>(0.00422675*0.245)</f>
        <v>1.0355537499999999E-3</v>
      </c>
      <c r="F28" s="9">
        <f>B26*B28*C28*E28</f>
        <v>0.63485165342098226</v>
      </c>
      <c r="G28" s="9"/>
      <c r="H28" s="12"/>
      <c r="I28" s="12"/>
    </row>
    <row r="29" spans="1:9">
      <c r="A29" s="12" t="s">
        <v>80</v>
      </c>
      <c r="B29" s="12">
        <v>5.3288346186803767E-2</v>
      </c>
      <c r="C29" s="12">
        <v>8.4202700000000004</v>
      </c>
      <c r="D29" s="9" t="s">
        <v>105</v>
      </c>
      <c r="E29" s="12">
        <f>(0.00422675*0.069)</f>
        <v>2.9164574999999997E-4</v>
      </c>
      <c r="F29" s="12">
        <f>B26*B29*C29*E29</f>
        <v>6.5431053972679329E-2</v>
      </c>
      <c r="G29" s="12"/>
      <c r="H29" s="12"/>
      <c r="I29" s="12"/>
    </row>
    <row r="30" spans="1:9">
      <c r="A30" s="12" t="s">
        <v>83</v>
      </c>
      <c r="B30" s="12">
        <v>1.8209083119108827E-3</v>
      </c>
      <c r="C30" s="12">
        <v>14.077772261623325</v>
      </c>
      <c r="D30" s="9" t="s">
        <v>105</v>
      </c>
      <c r="E30" s="12">
        <f>(0.00422675*0.025)</f>
        <v>1.0566874999999999E-4</v>
      </c>
      <c r="F30" s="12">
        <f>B26*B30*C30*E30</f>
        <v>1.3543739374677036E-3</v>
      </c>
      <c r="G30" s="12"/>
      <c r="H30" s="12"/>
      <c r="I30" s="12"/>
    </row>
    <row r="31" spans="1:9">
      <c r="A31" s="12" t="s">
        <v>84</v>
      </c>
      <c r="B31" s="12">
        <v>1.8342973436161095E-2</v>
      </c>
      <c r="C31" s="12">
        <v>10.734301349487785</v>
      </c>
      <c r="D31" s="9" t="s">
        <v>105</v>
      </c>
      <c r="E31" s="12">
        <f>(0.00422675*0.025)</f>
        <v>1.0566874999999999E-4</v>
      </c>
      <c r="F31" s="12">
        <f>B26*B31*C31*E31</f>
        <v>1.0403035841376468E-2</v>
      </c>
      <c r="G31" s="12"/>
      <c r="H31" s="12"/>
      <c r="I31" s="12"/>
    </row>
    <row r="32" spans="1:9" ht="15" thickBot="1">
      <c r="A32" s="29" t="s">
        <v>85</v>
      </c>
      <c r="B32" s="30"/>
      <c r="C32" s="30"/>
      <c r="D32" s="30"/>
      <c r="E32" s="30"/>
      <c r="F32" s="31">
        <f>SUM(F28:F31)</f>
        <v>0.71204011717250582</v>
      </c>
      <c r="G32" s="30">
        <f>F32/F84</f>
        <v>0.26724958982432401</v>
      </c>
      <c r="H32" s="30">
        <f>F32/F85</f>
        <v>0.26997883885852669</v>
      </c>
      <c r="I32" s="31">
        <v>0.64730919742955073</v>
      </c>
    </row>
    <row r="33" spans="1:9" ht="16.95" customHeight="1" thickBot="1">
      <c r="A33" s="180" t="s">
        <v>183</v>
      </c>
      <c r="B33" s="181"/>
      <c r="C33" s="181"/>
      <c r="D33" s="181"/>
      <c r="E33" s="181"/>
      <c r="F33" s="181"/>
      <c r="G33" s="181"/>
      <c r="H33" s="181"/>
      <c r="I33" s="182"/>
    </row>
    <row r="34" spans="1:9" ht="29.4" thickBot="1">
      <c r="A34" s="5" t="s">
        <v>153</v>
      </c>
      <c r="B34" s="233">
        <v>0.25</v>
      </c>
      <c r="C34" s="234"/>
      <c r="D34" s="234"/>
      <c r="E34" s="234"/>
      <c r="F34" s="234"/>
      <c r="G34" s="234"/>
      <c r="H34" s="235"/>
      <c r="I34" s="9"/>
    </row>
    <row r="35" spans="1:9" ht="72.599999999999994" thickBot="1">
      <c r="A35" s="7" t="s">
        <v>2</v>
      </c>
      <c r="B35" s="8" t="s">
        <v>3</v>
      </c>
      <c r="C35" s="7" t="s">
        <v>4</v>
      </c>
      <c r="D35" s="7" t="s">
        <v>5</v>
      </c>
      <c r="E35" s="7" t="s">
        <v>6</v>
      </c>
      <c r="F35" s="8" t="s">
        <v>91</v>
      </c>
      <c r="G35" s="8" t="s">
        <v>8</v>
      </c>
      <c r="H35" s="53" t="s">
        <v>92</v>
      </c>
      <c r="I35" s="8" t="s">
        <v>220</v>
      </c>
    </row>
    <row r="36" spans="1:9">
      <c r="A36" s="9" t="s">
        <v>55</v>
      </c>
      <c r="B36" s="9">
        <v>5.2231767012223367E-3</v>
      </c>
      <c r="C36" s="9">
        <v>0.308</v>
      </c>
      <c r="D36" s="9" t="s">
        <v>11</v>
      </c>
      <c r="E36" s="12">
        <v>0.38844105721218408</v>
      </c>
      <c r="F36" s="9">
        <f>B34*B36*C36*E36</f>
        <v>1.5622501354682167E-4</v>
      </c>
      <c r="G36" s="9"/>
      <c r="H36" s="12"/>
      <c r="I36" s="12"/>
    </row>
    <row r="37" spans="1:9">
      <c r="A37" s="12" t="s">
        <v>57</v>
      </c>
      <c r="B37" s="12">
        <v>8.0763829395731363E-3</v>
      </c>
      <c r="C37" s="12">
        <v>1.2118571428571427</v>
      </c>
      <c r="D37" s="12" t="s">
        <v>11</v>
      </c>
      <c r="E37" s="12">
        <v>0.34767265230879446</v>
      </c>
      <c r="F37" s="12">
        <f>B34*B37*C37*E37</f>
        <v>8.5070477225051059E-4</v>
      </c>
      <c r="G37" s="12"/>
      <c r="H37" s="12"/>
      <c r="I37" s="12"/>
    </row>
    <row r="38" spans="1:9">
      <c r="A38" s="12" t="s">
        <v>58</v>
      </c>
      <c r="B38" s="12">
        <v>4.7958654827358032E-5</v>
      </c>
      <c r="C38" s="12">
        <v>1.1539999999999999</v>
      </c>
      <c r="D38" s="12" t="s">
        <v>11</v>
      </c>
      <c r="E38" s="12">
        <v>0.38535645472061658</v>
      </c>
      <c r="F38" s="12">
        <f>B34*B38*C38*E38</f>
        <v>5.3318196214615773E-6</v>
      </c>
      <c r="G38" s="12"/>
      <c r="H38" s="12"/>
      <c r="I38" s="12"/>
    </row>
    <row r="39" spans="1:9">
      <c r="A39" s="12" t="s">
        <v>35</v>
      </c>
      <c r="B39" s="12">
        <v>5.4441851788220143E-3</v>
      </c>
      <c r="C39" s="12">
        <v>0.39300000000000002</v>
      </c>
      <c r="D39" s="12" t="s">
        <v>11</v>
      </c>
      <c r="E39" s="12">
        <v>0.34965034965034963</v>
      </c>
      <c r="F39" s="12">
        <f>B34*B39*C39*E39</f>
        <v>1.8702489294379824E-4</v>
      </c>
      <c r="G39" s="12"/>
      <c r="H39" s="12"/>
      <c r="I39" s="12"/>
    </row>
    <row r="40" spans="1:9">
      <c r="A40" s="12" t="s">
        <v>36</v>
      </c>
      <c r="B40" s="12">
        <v>0.17672995318596404</v>
      </c>
      <c r="C40" s="12">
        <v>0.55000000000000004</v>
      </c>
      <c r="D40" s="12" t="s">
        <v>11</v>
      </c>
      <c r="E40" s="12">
        <v>0.29667146320768484</v>
      </c>
      <c r="F40" s="12">
        <f>B34*B40*C40*E40</f>
        <v>7.2092258980920206E-3</v>
      </c>
      <c r="G40" s="12"/>
      <c r="H40" s="12"/>
      <c r="I40" s="12"/>
    </row>
    <row r="41" spans="1:9">
      <c r="A41" s="12" t="s">
        <v>38</v>
      </c>
      <c r="B41" s="12">
        <v>1.9737897246866428E-3</v>
      </c>
      <c r="C41" s="12">
        <v>0.47399999999999998</v>
      </c>
      <c r="D41" s="12" t="s">
        <v>11</v>
      </c>
      <c r="E41" s="12">
        <v>0.18726591760299627</v>
      </c>
      <c r="F41" s="12">
        <f>B34*B41*C41*E41</f>
        <v>4.3800389957933932E-5</v>
      </c>
      <c r="G41" s="12"/>
      <c r="H41" s="12"/>
      <c r="I41" s="12"/>
    </row>
    <row r="42" spans="1:9">
      <c r="A42" s="12" t="s">
        <v>39</v>
      </c>
      <c r="B42" s="12">
        <v>6.376006133116964E-2</v>
      </c>
      <c r="C42" s="12">
        <v>1.8580000000000001</v>
      </c>
      <c r="D42" s="12" t="s">
        <v>11</v>
      </c>
      <c r="E42" s="12">
        <v>0.33530417677236202</v>
      </c>
      <c r="F42" s="12">
        <f>B34*B42*C42*E42</f>
        <v>9.9305524097176631E-3</v>
      </c>
      <c r="G42" s="12"/>
      <c r="H42" s="12"/>
      <c r="I42" s="12"/>
    </row>
    <row r="43" spans="1:9">
      <c r="A43" s="12" t="s">
        <v>40</v>
      </c>
      <c r="B43" s="12">
        <v>6.643983202479851E-5</v>
      </c>
      <c r="C43" s="12">
        <v>0.38500000000000001</v>
      </c>
      <c r="D43" s="12" t="s">
        <v>11</v>
      </c>
      <c r="E43" s="12">
        <v>0.29667146320768484</v>
      </c>
      <c r="F43" s="12">
        <f>B34*B43*C43*E43</f>
        <v>1.8971647100242157E-6</v>
      </c>
      <c r="G43" s="12"/>
      <c r="H43" s="12"/>
      <c r="I43" s="12"/>
    </row>
    <row r="44" spans="1:9">
      <c r="A44" s="12" t="s">
        <v>41</v>
      </c>
      <c r="B44" s="12">
        <v>0.72625380386307259</v>
      </c>
      <c r="C44" s="12">
        <v>0.34699999999999998</v>
      </c>
      <c r="D44" s="12" t="s">
        <v>11</v>
      </c>
      <c r="E44" s="12">
        <v>0.29667146320768484</v>
      </c>
      <c r="F44" s="12">
        <f>B34*B44*C44*E44</f>
        <v>1.8691049048078757E-2</v>
      </c>
      <c r="G44" s="12"/>
      <c r="H44" s="12"/>
      <c r="I44" s="12"/>
    </row>
    <row r="45" spans="1:9">
      <c r="A45" s="12" t="s">
        <v>42</v>
      </c>
      <c r="B45" s="12">
        <v>1.2424248588637322E-2</v>
      </c>
      <c r="C45" s="12">
        <v>0.75775000000000003</v>
      </c>
      <c r="D45" s="12" t="s">
        <v>11</v>
      </c>
      <c r="E45" s="12">
        <v>0.29667146320768484</v>
      </c>
      <c r="F45" s="12">
        <f>B34*B45*C45*E45</f>
        <v>6.9825147152441261E-4</v>
      </c>
      <c r="G45" s="12"/>
      <c r="H45" s="12"/>
      <c r="I45" s="12"/>
    </row>
    <row r="46" spans="1:9" ht="15" thickBot="1">
      <c r="A46" s="29" t="s">
        <v>187</v>
      </c>
      <c r="B46" s="30"/>
      <c r="C46" s="30"/>
      <c r="D46" s="30"/>
      <c r="E46" s="30"/>
      <c r="F46" s="31">
        <f>SUM(F36:F45)</f>
        <v>3.7774062880443403E-2</v>
      </c>
      <c r="G46" s="30">
        <f>F46/F84</f>
        <v>1.4177716349584533E-2</v>
      </c>
      <c r="H46" s="12">
        <f>F46/F85</f>
        <v>1.4322504293617446E-2</v>
      </c>
      <c r="I46" s="31">
        <v>3.4340057164039456E-2</v>
      </c>
    </row>
    <row r="47" spans="1:9" ht="16.95" customHeight="1" thickBot="1">
      <c r="A47" s="180" t="s">
        <v>191</v>
      </c>
      <c r="B47" s="181"/>
      <c r="C47" s="181"/>
      <c r="D47" s="181"/>
      <c r="E47" s="181"/>
      <c r="F47" s="181"/>
      <c r="G47" s="181"/>
      <c r="H47" s="181"/>
      <c r="I47" s="182"/>
    </row>
    <row r="48" spans="1:9" ht="29.4" thickBot="1">
      <c r="A48" s="5" t="s">
        <v>154</v>
      </c>
      <c r="B48" s="186">
        <v>0.5</v>
      </c>
      <c r="C48" s="187"/>
      <c r="D48" s="187"/>
      <c r="E48" s="187"/>
      <c r="F48" s="187"/>
      <c r="G48" s="187"/>
      <c r="H48" s="188"/>
      <c r="I48" s="9"/>
    </row>
    <row r="49" spans="1:9" ht="72.599999999999994" thickBot="1">
      <c r="A49" s="7" t="s">
        <v>2</v>
      </c>
      <c r="B49" s="8" t="s">
        <v>3</v>
      </c>
      <c r="C49" s="7" t="s">
        <v>4</v>
      </c>
      <c r="D49" s="7" t="s">
        <v>5</v>
      </c>
      <c r="E49" s="7" t="s">
        <v>6</v>
      </c>
      <c r="F49" s="8" t="s">
        <v>91</v>
      </c>
      <c r="G49" s="8" t="s">
        <v>8</v>
      </c>
      <c r="H49" s="53" t="s">
        <v>92</v>
      </c>
      <c r="I49" s="8" t="s">
        <v>220</v>
      </c>
    </row>
    <row r="50" spans="1:9">
      <c r="A50" s="12" t="s">
        <v>56</v>
      </c>
      <c r="B50" s="12">
        <v>4.0439368271490243E-3</v>
      </c>
      <c r="C50" s="12">
        <v>1.33</v>
      </c>
      <c r="D50" s="12"/>
      <c r="E50" s="12"/>
      <c r="F50" s="12">
        <f>B48*B50*C50</f>
        <v>2.6892179900541015E-3</v>
      </c>
      <c r="G50" s="12"/>
      <c r="H50" s="12"/>
      <c r="I50" s="12"/>
    </row>
    <row r="51" spans="1:9">
      <c r="A51" s="9" t="s">
        <v>44</v>
      </c>
      <c r="B51" s="9">
        <v>6.6998196622766265E-2</v>
      </c>
      <c r="C51" s="9">
        <v>0.22800000000000001</v>
      </c>
      <c r="D51" s="9"/>
      <c r="E51" s="9"/>
      <c r="F51" s="9">
        <f>B48*B51*C51</f>
        <v>7.6377944149953548E-3</v>
      </c>
      <c r="G51" s="9"/>
      <c r="H51" s="12"/>
      <c r="I51" s="12"/>
    </row>
    <row r="52" spans="1:9">
      <c r="A52" s="12" t="s">
        <v>45</v>
      </c>
      <c r="B52" s="12">
        <v>6.0659052407235362E-2</v>
      </c>
      <c r="C52" s="12">
        <v>0.374</v>
      </c>
      <c r="D52" s="12"/>
      <c r="E52" s="12"/>
      <c r="F52" s="12">
        <f>B48*B52*C52</f>
        <v>1.1343242800153013E-2</v>
      </c>
      <c r="G52" s="12"/>
      <c r="H52" s="12"/>
      <c r="I52" s="12"/>
    </row>
    <row r="53" spans="1:9">
      <c r="A53" s="12" t="s">
        <v>47</v>
      </c>
      <c r="B53" s="12">
        <v>1.0929558992294661E-4</v>
      </c>
      <c r="C53" s="12">
        <v>2.024</v>
      </c>
      <c r="D53" s="12"/>
      <c r="E53" s="12"/>
      <c r="F53" s="12">
        <f>B48*B53*C53</f>
        <v>1.1060713700202197E-4</v>
      </c>
      <c r="G53" s="12"/>
      <c r="H53" s="12"/>
      <c r="I53" s="12"/>
    </row>
    <row r="54" spans="1:9">
      <c r="A54" s="12" t="s">
        <v>48</v>
      </c>
      <c r="B54" s="12">
        <v>4.3718235969178645E-3</v>
      </c>
      <c r="C54" s="12">
        <v>1.21</v>
      </c>
      <c r="D54" s="12"/>
      <c r="E54" s="12"/>
      <c r="F54" s="12">
        <f>B48*B54*C54</f>
        <v>2.644953276135308E-3</v>
      </c>
      <c r="G54" s="12"/>
      <c r="H54" s="12"/>
      <c r="I54" s="12"/>
    </row>
    <row r="55" spans="1:9">
      <c r="A55" s="12" t="s">
        <v>49</v>
      </c>
      <c r="B55" s="12">
        <v>8.798294988797202E-3</v>
      </c>
      <c r="C55" s="12">
        <v>0.47799999999999998</v>
      </c>
      <c r="D55" s="12"/>
      <c r="E55" s="12"/>
      <c r="F55" s="12">
        <f>B48*B55*C55</f>
        <v>2.1027925023225313E-3</v>
      </c>
      <c r="G55" s="12"/>
      <c r="H55" s="12"/>
      <c r="I55" s="12"/>
    </row>
    <row r="56" spans="1:9">
      <c r="A56" s="12" t="s">
        <v>50</v>
      </c>
      <c r="B56" s="12">
        <v>2.4208973167932669E-2</v>
      </c>
      <c r="C56" s="12">
        <v>0.51700000000000002</v>
      </c>
      <c r="D56" s="12"/>
      <c r="E56" s="12"/>
      <c r="F56" s="12">
        <f>B48*B56*C56</f>
        <v>6.2580195639105954E-3</v>
      </c>
      <c r="G56" s="12"/>
      <c r="H56" s="12"/>
      <c r="I56" s="12"/>
    </row>
    <row r="57" spans="1:9" ht="28.8">
      <c r="A57" s="33" t="s">
        <v>51</v>
      </c>
      <c r="B57" s="12">
        <v>0.12967921744357616</v>
      </c>
      <c r="C57" s="12">
        <v>0.34699999999999998</v>
      </c>
      <c r="D57" s="12"/>
      <c r="E57" s="12"/>
      <c r="F57" s="12">
        <f>B48*B57*C57</f>
        <v>2.2499344226460462E-2</v>
      </c>
      <c r="G57" s="12"/>
      <c r="H57" s="12"/>
      <c r="I57" s="12"/>
    </row>
    <row r="58" spans="1:9">
      <c r="A58" s="12" t="s">
        <v>52</v>
      </c>
      <c r="B58" s="12">
        <v>3.4974588775342915E-3</v>
      </c>
      <c r="C58" s="12">
        <v>0.91400000000000003</v>
      </c>
      <c r="D58" s="12"/>
      <c r="E58" s="12"/>
      <c r="F58" s="12">
        <f>B48*B58*C58</f>
        <v>1.5983387070331713E-3</v>
      </c>
      <c r="G58" s="12"/>
      <c r="H58" s="12"/>
      <c r="I58" s="12"/>
    </row>
    <row r="59" spans="1:9">
      <c r="A59" s="12" t="s">
        <v>60</v>
      </c>
      <c r="B59" s="12">
        <v>1.9673206186130387E-3</v>
      </c>
      <c r="C59" s="12">
        <v>2.048</v>
      </c>
      <c r="D59" s="12"/>
      <c r="E59" s="12"/>
      <c r="F59" s="12">
        <f>B48*B59*C59</f>
        <v>2.0145363134597516E-3</v>
      </c>
      <c r="G59" s="12"/>
      <c r="H59" s="12"/>
      <c r="I59" s="12"/>
    </row>
    <row r="60" spans="1:9">
      <c r="A60" s="12" t="s">
        <v>53</v>
      </c>
      <c r="B60" s="12">
        <v>8.9239849172085897E-2</v>
      </c>
      <c r="C60" s="12">
        <v>0.65203333333333346</v>
      </c>
      <c r="D60" s="12"/>
      <c r="E60" s="12"/>
      <c r="F60" s="12">
        <f>B48*B60*C60</f>
        <v>2.9093678160919543E-2</v>
      </c>
      <c r="G60" s="12"/>
      <c r="H60" s="12"/>
      <c r="I60" s="12"/>
    </row>
    <row r="61" spans="1:9">
      <c r="A61" s="12" t="s">
        <v>98</v>
      </c>
      <c r="B61" s="12">
        <v>5.4647794961473305E-5</v>
      </c>
      <c r="C61" s="12">
        <v>7.9000000000000001E-2</v>
      </c>
      <c r="D61" s="12"/>
      <c r="E61" s="12"/>
      <c r="F61" s="12">
        <f>B48*B61*C61</f>
        <v>2.1585879009781957E-6</v>
      </c>
      <c r="G61" s="12"/>
      <c r="H61" s="12"/>
      <c r="I61" s="12"/>
    </row>
    <row r="62" spans="1:9">
      <c r="A62" s="12" t="s">
        <v>59</v>
      </c>
      <c r="B62" s="12">
        <v>3.7269796163724792E-2</v>
      </c>
      <c r="C62" s="12">
        <v>0.26900000000000002</v>
      </c>
      <c r="D62" s="12"/>
      <c r="E62" s="12"/>
      <c r="F62" s="12">
        <f>B48*B62*C62</f>
        <v>5.0127875840209847E-3</v>
      </c>
      <c r="G62" s="12"/>
      <c r="H62" s="12"/>
      <c r="I62" s="12"/>
    </row>
    <row r="63" spans="1:9">
      <c r="A63" s="12" t="s">
        <v>99</v>
      </c>
      <c r="B63" s="12">
        <v>0.17924476747363241</v>
      </c>
      <c r="C63" s="12">
        <v>0.217</v>
      </c>
      <c r="D63" s="12"/>
      <c r="E63" s="12"/>
      <c r="F63" s="12">
        <f>B48*B63*C63</f>
        <v>1.9448057270889118E-2</v>
      </c>
      <c r="G63" s="12"/>
      <c r="H63" s="12"/>
      <c r="I63" s="12"/>
    </row>
    <row r="64" spans="1:9">
      <c r="A64" s="12" t="s">
        <v>100</v>
      </c>
      <c r="B64" s="12">
        <v>9.7437018416306892E-2</v>
      </c>
      <c r="C64" s="12">
        <v>0.30199999999999999</v>
      </c>
      <c r="D64" s="12"/>
      <c r="E64" s="12"/>
      <c r="F64" s="12">
        <f>B48*B64*C64</f>
        <v>1.4712989780862341E-2</v>
      </c>
      <c r="G64" s="12"/>
      <c r="H64" s="12"/>
      <c r="I64" s="12"/>
    </row>
    <row r="65" spans="1:9">
      <c r="A65" s="12" t="s">
        <v>61</v>
      </c>
      <c r="B65" s="12">
        <v>8.4102956445707408E-2</v>
      </c>
      <c r="C65" s="12">
        <v>0.47</v>
      </c>
      <c r="D65" s="12"/>
      <c r="E65" s="12"/>
      <c r="F65" s="12">
        <f>B48*B65*C65</f>
        <v>1.9764194764741241E-2</v>
      </c>
      <c r="G65" s="12"/>
      <c r="H65" s="12"/>
      <c r="I65" s="12"/>
    </row>
    <row r="66" spans="1:9">
      <c r="A66" s="12" t="s">
        <v>127</v>
      </c>
      <c r="B66" s="12">
        <v>3.2788676976883979E-3</v>
      </c>
      <c r="C66" s="12">
        <v>0.30175000000000002</v>
      </c>
      <c r="D66" s="12"/>
      <c r="E66" s="12"/>
      <c r="F66" s="12">
        <f>B48*B66*C66</f>
        <v>4.9469916388873703E-4</v>
      </c>
      <c r="G66" s="12"/>
      <c r="H66" s="12"/>
      <c r="I66" s="12"/>
    </row>
    <row r="67" spans="1:9">
      <c r="A67" s="12" t="s">
        <v>62</v>
      </c>
      <c r="B67" s="12">
        <v>0.20503852669544784</v>
      </c>
      <c r="C67" s="12">
        <v>0.45593939393939392</v>
      </c>
      <c r="D67" s="12"/>
      <c r="E67" s="12"/>
      <c r="F67" s="12">
        <f>B48*B67*C67</f>
        <v>4.6742570797874361E-2</v>
      </c>
      <c r="G67" s="12"/>
      <c r="H67" s="12"/>
      <c r="I67" s="12"/>
    </row>
    <row r="68" spans="1:9" ht="15" thickBot="1">
      <c r="A68" s="29" t="s">
        <v>192</v>
      </c>
      <c r="B68" s="30"/>
      <c r="C68" s="30"/>
      <c r="D68" s="30"/>
      <c r="E68" s="30"/>
      <c r="F68" s="31">
        <f>SUM(F50:F67)</f>
        <v>0.19416998304262362</v>
      </c>
      <c r="G68" s="30">
        <f>F68/F84</f>
        <v>7.2877703197957985E-2</v>
      </c>
      <c r="H68" s="12">
        <f>F68/F85</f>
        <v>7.362195654255127E-2</v>
      </c>
      <c r="I68" s="31">
        <v>0.1765181664023851</v>
      </c>
    </row>
    <row r="69" spans="1:9" ht="16.95" customHeight="1" thickBot="1">
      <c r="A69" s="180" t="s">
        <v>186</v>
      </c>
      <c r="B69" s="181"/>
      <c r="C69" s="181"/>
      <c r="D69" s="181"/>
      <c r="E69" s="181"/>
      <c r="F69" s="181"/>
      <c r="G69" s="181"/>
      <c r="H69" s="181"/>
      <c r="I69" s="182"/>
    </row>
    <row r="70" spans="1:9" ht="29.4" thickBot="1">
      <c r="A70" s="5" t="s">
        <v>155</v>
      </c>
      <c r="B70" s="186">
        <v>30</v>
      </c>
      <c r="C70" s="187"/>
      <c r="D70" s="187"/>
      <c r="E70" s="187"/>
      <c r="F70" s="187"/>
      <c r="G70" s="187"/>
      <c r="H70" s="188"/>
      <c r="I70" s="9"/>
    </row>
    <row r="71" spans="1:9" ht="72.599999999999994" thickBot="1">
      <c r="A71" s="7" t="s">
        <v>2</v>
      </c>
      <c r="B71" s="8" t="s">
        <v>3</v>
      </c>
      <c r="C71" s="7" t="s">
        <v>4</v>
      </c>
      <c r="D71" s="7" t="s">
        <v>5</v>
      </c>
      <c r="E71" s="7" t="s">
        <v>6</v>
      </c>
      <c r="F71" s="8" t="s">
        <v>91</v>
      </c>
      <c r="G71" s="8" t="s">
        <v>8</v>
      </c>
      <c r="H71" s="53" t="s">
        <v>92</v>
      </c>
      <c r="I71" s="8" t="s">
        <v>220</v>
      </c>
    </row>
    <row r="72" spans="1:9">
      <c r="A72" s="12" t="s">
        <v>68</v>
      </c>
      <c r="B72" s="12">
        <v>9.852216748768473E-3</v>
      </c>
      <c r="C72" s="12">
        <v>4.6559999999999997</v>
      </c>
      <c r="D72" s="9" t="s">
        <v>105</v>
      </c>
      <c r="E72" s="12">
        <f>(0.00422675*0.217)</f>
        <v>9.1720474999999995E-4</v>
      </c>
      <c r="F72" s="12">
        <f>B70*B72*C72*E72</f>
        <v>1.2622183199999999E-3</v>
      </c>
      <c r="G72" s="12"/>
      <c r="H72" s="12"/>
      <c r="I72" s="12"/>
    </row>
    <row r="73" spans="1:9">
      <c r="A73" s="12" t="s">
        <v>69</v>
      </c>
      <c r="B73" s="12">
        <v>5.6650246305418719E-2</v>
      </c>
      <c r="C73" s="12">
        <v>1.1990000000000001</v>
      </c>
      <c r="D73" s="9" t="s">
        <v>105</v>
      </c>
      <c r="E73" s="12">
        <v>9.1720474999999995E-4</v>
      </c>
      <c r="F73" s="12">
        <f>B70*B73*C73*E73</f>
        <v>1.8689967037499998E-3</v>
      </c>
      <c r="G73" s="12"/>
      <c r="H73" s="12"/>
      <c r="I73" s="12"/>
    </row>
    <row r="74" spans="1:9">
      <c r="A74" s="12" t="s">
        <v>70</v>
      </c>
      <c r="B74" s="12">
        <v>2.1346469622331693E-2</v>
      </c>
      <c r="C74" s="12">
        <v>3.206</v>
      </c>
      <c r="D74" s="9" t="s">
        <v>105</v>
      </c>
      <c r="E74" s="12">
        <v>9.1720474999999995E-4</v>
      </c>
      <c r="F74" s="12">
        <f>B70*B74*C74*E74</f>
        <v>1.8831162350000001E-3</v>
      </c>
      <c r="G74" s="12"/>
      <c r="H74" s="12"/>
      <c r="I74" s="12"/>
    </row>
    <row r="75" spans="1:9">
      <c r="A75" s="12" t="s">
        <v>74</v>
      </c>
      <c r="B75" s="12">
        <v>0.62068965517241381</v>
      </c>
      <c r="C75" s="12">
        <v>0.80700000000000005</v>
      </c>
      <c r="D75" s="9" t="s">
        <v>105</v>
      </c>
      <c r="E75" s="12">
        <v>9.1720474999999995E-4</v>
      </c>
      <c r="F75" s="12">
        <f>B70*B75*C75*E75</f>
        <v>1.3782740894999999E-2</v>
      </c>
      <c r="G75" s="12"/>
      <c r="H75" s="12"/>
      <c r="I75" s="12"/>
    </row>
    <row r="76" spans="1:9">
      <c r="A76" s="12" t="s">
        <v>75</v>
      </c>
      <c r="B76" s="12">
        <v>0.12807881773399016</v>
      </c>
      <c r="C76" s="12">
        <v>2.6459999999999999</v>
      </c>
      <c r="D76" s="9" t="s">
        <v>105</v>
      </c>
      <c r="E76" s="12">
        <v>9.1720474999999995E-4</v>
      </c>
      <c r="F76" s="12">
        <f>B70*B76*C76*E76</f>
        <v>9.3251258099999994E-3</v>
      </c>
      <c r="G76" s="12"/>
      <c r="H76" s="12"/>
      <c r="I76" s="12"/>
    </row>
    <row r="77" spans="1:9">
      <c r="A77" s="12" t="s">
        <v>76</v>
      </c>
      <c r="B77" s="12">
        <v>0.16338259441707717</v>
      </c>
      <c r="C77" s="12">
        <v>2.313333333333333</v>
      </c>
      <c r="D77" s="9" t="s">
        <v>105</v>
      </c>
      <c r="E77" s="12">
        <v>9.1720474999999995E-4</v>
      </c>
      <c r="F77" s="12">
        <f>B70*B77*C77*E77</f>
        <v>1.0399957241666664E-2</v>
      </c>
      <c r="G77" s="12"/>
      <c r="H77" s="12"/>
      <c r="I77" s="12"/>
    </row>
    <row r="78" spans="1:9" ht="15" thickBot="1">
      <c r="A78" s="29" t="s">
        <v>161</v>
      </c>
      <c r="B78" s="30">
        <f>SUM(B72:B77)</f>
        <v>1.0000000000000002</v>
      </c>
      <c r="C78" s="30"/>
      <c r="D78" s="30"/>
      <c r="E78" s="30"/>
      <c r="F78" s="31">
        <f>SUM(F72:F77)</f>
        <v>3.8522155205416658E-2</v>
      </c>
      <c r="G78" s="30">
        <f>F78/F84</f>
        <v>1.4458497392924808E-2</v>
      </c>
      <c r="H78" s="30">
        <f>F78/F85</f>
        <v>1.4606152774067212E-2</v>
      </c>
      <c r="I78" s="31">
        <v>3.5020141095833325E-2</v>
      </c>
    </row>
    <row r="79" spans="1:9" ht="16.95" customHeight="1" thickBot="1">
      <c r="A79" s="180" t="s">
        <v>190</v>
      </c>
      <c r="B79" s="181"/>
      <c r="C79" s="181"/>
      <c r="D79" s="181"/>
      <c r="E79" s="181"/>
      <c r="F79" s="181"/>
      <c r="G79" s="181"/>
      <c r="H79" s="181"/>
      <c r="I79" s="182"/>
    </row>
    <row r="80" spans="1:9" ht="29.4" thickBot="1">
      <c r="A80" s="5" t="s">
        <v>157</v>
      </c>
      <c r="B80" s="233">
        <v>0.06</v>
      </c>
      <c r="C80" s="234"/>
      <c r="D80" s="234"/>
      <c r="E80" s="234"/>
      <c r="F80" s="234"/>
      <c r="G80" s="234"/>
      <c r="H80" s="235"/>
      <c r="I80" s="9"/>
    </row>
    <row r="81" spans="1:9" ht="72.599999999999994" thickBot="1">
      <c r="A81" s="7" t="s">
        <v>2</v>
      </c>
      <c r="B81" s="8" t="s">
        <v>3</v>
      </c>
      <c r="C81" s="7" t="s">
        <v>4</v>
      </c>
      <c r="D81" s="7"/>
      <c r="E81" s="7" t="s">
        <v>6</v>
      </c>
      <c r="F81" s="8" t="s">
        <v>91</v>
      </c>
      <c r="G81" s="8" t="s">
        <v>8</v>
      </c>
      <c r="H81" s="53" t="s">
        <v>92</v>
      </c>
      <c r="I81" s="8" t="s">
        <v>220</v>
      </c>
    </row>
    <row r="82" spans="1:9" ht="15" thickBot="1">
      <c r="A82" s="3" t="s">
        <v>87</v>
      </c>
      <c r="B82" s="3"/>
      <c r="C82" s="3">
        <v>0.44890000000000002</v>
      </c>
      <c r="D82" s="3"/>
      <c r="E82" s="3"/>
      <c r="F82" s="37">
        <f>B80*C82</f>
        <v>2.6934E-2</v>
      </c>
      <c r="G82" s="3">
        <f>F82/F84</f>
        <v>1.0109122054683978E-2</v>
      </c>
      <c r="H82" s="6"/>
      <c r="I82" s="38">
        <v>2.4485454545454546E-2</v>
      </c>
    </row>
    <row r="83" spans="1:9" ht="16.95" customHeight="1" thickBot="1">
      <c r="A83" s="192" t="s">
        <v>23</v>
      </c>
      <c r="B83" s="231"/>
      <c r="C83" s="231"/>
      <c r="D83" s="231"/>
      <c r="E83" s="231"/>
      <c r="F83" s="231"/>
      <c r="G83" s="231"/>
      <c r="H83" s="231"/>
      <c r="I83" s="232"/>
    </row>
    <row r="84" spans="1:9">
      <c r="A84" s="10" t="s">
        <v>158</v>
      </c>
      <c r="B84" s="9"/>
      <c r="C84" s="9"/>
      <c r="D84" s="9"/>
      <c r="E84" s="9"/>
      <c r="F84" s="70">
        <f>SUM(F24,F46,F68,F78,F32,F82)</f>
        <v>2.6643263237206987</v>
      </c>
      <c r="G84" s="9"/>
      <c r="H84" s="12"/>
      <c r="I84" s="70">
        <v>2.4221148397460897</v>
      </c>
    </row>
    <row r="85" spans="1:9">
      <c r="A85" s="13" t="s">
        <v>159</v>
      </c>
      <c r="B85" s="12"/>
      <c r="C85" s="12"/>
      <c r="D85" s="12"/>
      <c r="E85" s="12"/>
      <c r="F85" s="13">
        <f>SUM(F24,F46,F68,F78,F32)</f>
        <v>2.6373923237206989</v>
      </c>
      <c r="G85" s="12"/>
      <c r="H85" s="12"/>
      <c r="I85" s="12"/>
    </row>
  </sheetData>
  <mergeCells count="13">
    <mergeCell ref="A2:I2"/>
    <mergeCell ref="B3:I3"/>
    <mergeCell ref="A25:I25"/>
    <mergeCell ref="A33:I33"/>
    <mergeCell ref="A83:I83"/>
    <mergeCell ref="A47:I47"/>
    <mergeCell ref="B70:H70"/>
    <mergeCell ref="B80:H80"/>
    <mergeCell ref="B26:H26"/>
    <mergeCell ref="B48:H48"/>
    <mergeCell ref="A69:I69"/>
    <mergeCell ref="A79:I79"/>
    <mergeCell ref="B34:H34"/>
  </mergeCells>
  <pageMargins left="0.75" right="0.75" top="1" bottom="1" header="0.5" footer="0.5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7999-1BA5-1B44-BF7F-B3E29DFD9813}">
  <sheetPr>
    <pageSetUpPr fitToPage="1"/>
  </sheetPr>
  <dimension ref="A1:T124"/>
  <sheetViews>
    <sheetView topLeftCell="A108" workbookViewId="0">
      <selection activeCell="F128" sqref="F128"/>
    </sheetView>
  </sheetViews>
  <sheetFormatPr defaultColWidth="8.796875" defaultRowHeight="14.4"/>
  <cols>
    <col min="1" max="1" width="21.69921875" style="4" customWidth="1"/>
    <col min="2" max="2" width="13.796875" style="4" customWidth="1"/>
    <col min="3" max="3" width="15.5" style="46" customWidth="1"/>
    <col min="4" max="4" width="19.296875" style="4" customWidth="1"/>
    <col min="5" max="7" width="14.19921875" style="46" customWidth="1"/>
    <col min="8" max="8" width="18.69921875" style="46" customWidth="1"/>
    <col min="9" max="9" width="10.796875" style="4" customWidth="1"/>
    <col min="10" max="16384" width="8.796875" style="4"/>
  </cols>
  <sheetData>
    <row r="1" spans="1:9" ht="15" thickBot="1">
      <c r="A1" s="40" t="s">
        <v>0</v>
      </c>
      <c r="H1" s="58"/>
    </row>
    <row r="2" spans="1:9" ht="15" thickBot="1">
      <c r="A2" s="180" t="s">
        <v>182</v>
      </c>
      <c r="B2" s="181"/>
      <c r="C2" s="181"/>
      <c r="D2" s="181"/>
      <c r="E2" s="181"/>
      <c r="F2" s="181"/>
      <c r="G2" s="181"/>
      <c r="H2" s="181"/>
      <c r="I2" s="182"/>
    </row>
    <row r="3" spans="1:9" ht="29.4" thickBot="1">
      <c r="A3" s="42" t="s">
        <v>164</v>
      </c>
      <c r="B3" s="186">
        <v>7</v>
      </c>
      <c r="C3" s="187"/>
      <c r="D3" s="187"/>
      <c r="E3" s="187"/>
      <c r="F3" s="187"/>
      <c r="G3" s="187"/>
      <c r="H3" s="187"/>
      <c r="I3" s="188"/>
    </row>
    <row r="4" spans="1:9" ht="77.25" customHeight="1" thickBot="1">
      <c r="A4" s="7" t="s">
        <v>2</v>
      </c>
      <c r="B4" s="8" t="s">
        <v>3</v>
      </c>
      <c r="C4" s="8" t="s">
        <v>4</v>
      </c>
      <c r="D4" s="7" t="s">
        <v>197</v>
      </c>
      <c r="E4" s="8" t="s">
        <v>110</v>
      </c>
      <c r="F4" s="8" t="s">
        <v>111</v>
      </c>
      <c r="G4" s="8" t="s">
        <v>112</v>
      </c>
      <c r="H4" s="8" t="s">
        <v>134</v>
      </c>
      <c r="I4" s="8" t="s">
        <v>8</v>
      </c>
    </row>
    <row r="5" spans="1:9" ht="14.25" customHeight="1">
      <c r="A5" s="9" t="s">
        <v>13</v>
      </c>
      <c r="B5" s="48">
        <v>1.2476442789196988E-2</v>
      </c>
      <c r="C5" s="48">
        <v>34.744999999999997</v>
      </c>
      <c r="D5" s="91" t="s">
        <v>11</v>
      </c>
      <c r="E5" s="92">
        <v>1.1499999999999999</v>
      </c>
      <c r="F5" s="92" t="s">
        <v>165</v>
      </c>
      <c r="G5" s="92">
        <v>1E-3</v>
      </c>
      <c r="H5" s="48">
        <f>B3*B5*C5*E5*G5</f>
        <v>3.4896267379207267E-3</v>
      </c>
      <c r="I5" s="50"/>
    </row>
    <row r="6" spans="1:9" ht="14.25" customHeight="1">
      <c r="A6" s="12" t="s">
        <v>14</v>
      </c>
      <c r="B6" s="33">
        <v>0.97670760148288349</v>
      </c>
      <c r="C6" s="33">
        <v>32.845999999999997</v>
      </c>
      <c r="D6" s="75" t="s">
        <v>11</v>
      </c>
      <c r="E6" s="93">
        <v>1.2549999999999999</v>
      </c>
      <c r="F6" s="93" t="s">
        <v>165</v>
      </c>
      <c r="G6" s="93">
        <v>1E-3</v>
      </c>
      <c r="H6" s="33">
        <f>B3*B6*C6*E6*G6</f>
        <v>0.28183103926092512</v>
      </c>
      <c r="I6" s="51"/>
    </row>
    <row r="7" spans="1:9" ht="14.25" customHeight="1">
      <c r="A7" s="12" t="s">
        <v>17</v>
      </c>
      <c r="B7" s="33">
        <v>8.840023955877758E-5</v>
      </c>
      <c r="C7" s="33">
        <v>34.744999999999997</v>
      </c>
      <c r="D7" s="75" t="s">
        <v>11</v>
      </c>
      <c r="E7" s="93">
        <v>1.1499999999999999</v>
      </c>
      <c r="F7" s="93" t="s">
        <v>165</v>
      </c>
      <c r="G7" s="93">
        <v>1E-3</v>
      </c>
      <c r="H7" s="33">
        <f>B3*B7*C7*E7*G7</f>
        <v>2.4725303903931301E-5</v>
      </c>
      <c r="I7" s="51"/>
    </row>
    <row r="8" spans="1:9" ht="14.25" customHeight="1">
      <c r="A8" s="12" t="s">
        <v>18</v>
      </c>
      <c r="B8" s="12">
        <v>6.9203390828349301E-3</v>
      </c>
      <c r="C8" s="33">
        <v>32.845999999999997</v>
      </c>
      <c r="D8" s="75" t="s">
        <v>11</v>
      </c>
      <c r="E8" s="93">
        <v>1.2549999999999999</v>
      </c>
      <c r="F8" s="93" t="s">
        <v>165</v>
      </c>
      <c r="G8" s="93">
        <v>1E-3</v>
      </c>
      <c r="H8" s="33">
        <f>B3*B8*C8*E8*G8</f>
        <v>1.9968784442674836E-3</v>
      </c>
      <c r="I8" s="51"/>
    </row>
    <row r="9" spans="1:9" ht="14.25" customHeight="1">
      <c r="A9" s="12" t="s">
        <v>21</v>
      </c>
      <c r="B9" s="12">
        <v>4.8019898768777767E-5</v>
      </c>
      <c r="C9" s="33">
        <v>34.744999999999997</v>
      </c>
      <c r="D9" s="75" t="s">
        <v>11</v>
      </c>
      <c r="E9" s="93">
        <v>1.1499999999999999</v>
      </c>
      <c r="F9" s="93" t="s">
        <v>165</v>
      </c>
      <c r="G9" s="93">
        <v>1E-3</v>
      </c>
      <c r="H9" s="33">
        <f>B3*B9*C9*E9*G9</f>
        <v>1.3431033630905526E-5</v>
      </c>
      <c r="I9" s="51"/>
    </row>
    <row r="10" spans="1:9" ht="14.25" customHeight="1">
      <c r="A10" s="12" t="s">
        <v>22</v>
      </c>
      <c r="B10" s="12">
        <v>3.759196506757074E-3</v>
      </c>
      <c r="C10" s="33">
        <v>32.845999999999997</v>
      </c>
      <c r="D10" s="75" t="s">
        <v>11</v>
      </c>
      <c r="E10" s="93">
        <v>1.2549999999999999</v>
      </c>
      <c r="F10" s="93" t="s">
        <v>165</v>
      </c>
      <c r="G10" s="93">
        <v>1E-3</v>
      </c>
      <c r="H10" s="33">
        <f>B3*B10*C10*E10*G10</f>
        <v>1.0847240839293828E-3</v>
      </c>
      <c r="I10" s="51"/>
    </row>
    <row r="11" spans="1:9" ht="14.25" customHeight="1" thickBot="1">
      <c r="A11" s="79" t="s">
        <v>23</v>
      </c>
      <c r="B11" s="80"/>
      <c r="C11" s="81"/>
      <c r="D11" s="79"/>
      <c r="E11" s="82"/>
      <c r="F11" s="82"/>
      <c r="G11" s="82"/>
      <c r="H11" s="89">
        <f>SUM(H5:H10)</f>
        <v>0.28844042486457755</v>
      </c>
      <c r="I11" s="71">
        <f>H11/H124</f>
        <v>0.14472643605582367</v>
      </c>
    </row>
    <row r="12" spans="1:9" ht="47.25" customHeight="1" thickTop="1" thickBot="1">
      <c r="A12" s="5" t="s">
        <v>166</v>
      </c>
      <c r="B12" s="242">
        <v>7</v>
      </c>
      <c r="C12" s="242"/>
      <c r="D12" s="242"/>
      <c r="E12" s="242"/>
      <c r="F12" s="242"/>
      <c r="G12" s="242"/>
      <c r="H12" s="242"/>
      <c r="I12" s="242"/>
    </row>
    <row r="13" spans="1:9" ht="78" customHeight="1" thickBot="1">
      <c r="A13" s="44" t="s">
        <v>2</v>
      </c>
      <c r="B13" s="43" t="s">
        <v>3</v>
      </c>
      <c r="C13" s="43" t="s">
        <v>4</v>
      </c>
      <c r="D13" s="7" t="s">
        <v>197</v>
      </c>
      <c r="E13" s="8" t="s">
        <v>110</v>
      </c>
      <c r="F13" s="8" t="s">
        <v>111</v>
      </c>
      <c r="G13" s="8" t="s">
        <v>112</v>
      </c>
      <c r="H13" s="43" t="s">
        <v>134</v>
      </c>
      <c r="I13" s="8" t="s">
        <v>8</v>
      </c>
    </row>
    <row r="14" spans="1:9" ht="14.25" customHeight="1">
      <c r="A14" s="12" t="s">
        <v>12</v>
      </c>
      <c r="B14" s="48">
        <v>0.98918404423402795</v>
      </c>
      <c r="C14" s="48">
        <v>5.56</v>
      </c>
      <c r="D14" s="91" t="s">
        <v>11</v>
      </c>
      <c r="E14" s="92">
        <v>1.335</v>
      </c>
      <c r="F14" s="92" t="s">
        <v>165</v>
      </c>
      <c r="G14" s="92">
        <v>1E-3</v>
      </c>
      <c r="H14" s="48">
        <f>B12*B14*C14*E14*G14</f>
        <v>5.1396222407120468E-2</v>
      </c>
      <c r="I14" s="50"/>
    </row>
    <row r="15" spans="1:9" ht="14.25" customHeight="1">
      <c r="A15" s="12" t="s">
        <v>16</v>
      </c>
      <c r="B15" s="33">
        <v>7.0087393605926538E-3</v>
      </c>
      <c r="C15" s="33">
        <v>5.56</v>
      </c>
      <c r="D15" s="75" t="s">
        <v>11</v>
      </c>
      <c r="E15" s="93">
        <v>1.335</v>
      </c>
      <c r="F15" s="93" t="s">
        <v>165</v>
      </c>
      <c r="G15" s="93">
        <v>1E-3</v>
      </c>
      <c r="H15" s="33">
        <f>B12*B15*C15*E15*G15</f>
        <v>3.6416148144554521E-4</v>
      </c>
      <c r="I15" s="51"/>
    </row>
    <row r="16" spans="1:9" ht="14.25" customHeight="1">
      <c r="A16" s="12" t="s">
        <v>20</v>
      </c>
      <c r="B16" s="12">
        <v>3.8072164053793924E-3</v>
      </c>
      <c r="C16" s="33">
        <v>5.56</v>
      </c>
      <c r="D16" s="75" t="s">
        <v>11</v>
      </c>
      <c r="E16" s="93">
        <v>1.335</v>
      </c>
      <c r="F16" s="93" t="s">
        <v>165</v>
      </c>
      <c r="G16" s="93">
        <v>1E-3</v>
      </c>
      <c r="H16" s="33">
        <f>B12*B16*C16*E16*G16</f>
        <v>1.9781611143398353E-4</v>
      </c>
      <c r="I16" s="51"/>
    </row>
    <row r="17" spans="1:9" ht="14.25" customHeight="1" thickBot="1">
      <c r="A17" s="79" t="s">
        <v>23</v>
      </c>
      <c r="B17" s="80"/>
      <c r="C17" s="81"/>
      <c r="D17" s="94"/>
      <c r="E17" s="95"/>
      <c r="F17" s="95"/>
      <c r="G17" s="95"/>
      <c r="H17" s="89">
        <f>SUM(H14:H16)</f>
        <v>5.1958199999999996E-2</v>
      </c>
      <c r="I17" s="71">
        <f>H17/H124</f>
        <v>2.6070288564462484E-2</v>
      </c>
    </row>
    <row r="18" spans="1:9" ht="45" customHeight="1" thickTop="1" thickBot="1">
      <c r="A18" s="83" t="s">
        <v>167</v>
      </c>
      <c r="B18" s="241">
        <v>29</v>
      </c>
      <c r="C18" s="241"/>
      <c r="D18" s="241"/>
      <c r="E18" s="241"/>
      <c r="F18" s="241"/>
      <c r="G18" s="241"/>
      <c r="H18" s="241"/>
      <c r="I18" s="241"/>
    </row>
    <row r="19" spans="1:9" ht="82.05" customHeight="1" thickBot="1">
      <c r="A19" s="44" t="s">
        <v>2</v>
      </c>
      <c r="B19" s="43" t="s">
        <v>3</v>
      </c>
      <c r="C19" s="43" t="s">
        <v>4</v>
      </c>
      <c r="D19" s="7" t="s">
        <v>197</v>
      </c>
      <c r="E19" s="8" t="s">
        <v>110</v>
      </c>
      <c r="F19" s="8" t="s">
        <v>111</v>
      </c>
      <c r="G19" s="8" t="s">
        <v>112</v>
      </c>
      <c r="H19" s="43" t="s">
        <v>134</v>
      </c>
      <c r="I19" s="8" t="s">
        <v>8</v>
      </c>
    </row>
    <row r="20" spans="1:9" ht="14.25" customHeight="1">
      <c r="A20" s="12" t="s">
        <v>10</v>
      </c>
      <c r="B20" s="33">
        <v>0.98918404436335761</v>
      </c>
      <c r="C20" s="33">
        <v>3.1966666666666668</v>
      </c>
      <c r="D20" s="75" t="s">
        <v>11</v>
      </c>
      <c r="E20" s="93">
        <v>1.17</v>
      </c>
      <c r="F20" s="93" t="s">
        <v>165</v>
      </c>
      <c r="G20" s="93">
        <v>1E-3</v>
      </c>
      <c r="H20" s="33">
        <f>B18*B20*C20*E20*G20</f>
        <v>0.10728977008537841</v>
      </c>
      <c r="I20" s="57"/>
    </row>
    <row r="21" spans="1:9" ht="14.25" customHeight="1">
      <c r="A21" s="12" t="s">
        <v>15</v>
      </c>
      <c r="B21" s="33">
        <v>7.0087392307653078E-3</v>
      </c>
      <c r="C21" s="33">
        <v>3.1966666666666668</v>
      </c>
      <c r="D21" s="75" t="s">
        <v>11</v>
      </c>
      <c r="E21" s="93">
        <v>1.17</v>
      </c>
      <c r="F21" s="93" t="s">
        <v>165</v>
      </c>
      <c r="G21" s="93">
        <v>1E-3</v>
      </c>
      <c r="H21" s="33">
        <f>B18*B21*C21*E21*G21</f>
        <v>7.6018818231257451E-4</v>
      </c>
      <c r="I21" s="51"/>
    </row>
    <row r="22" spans="1:9" ht="14.25" customHeight="1">
      <c r="A22" s="12" t="s">
        <v>19</v>
      </c>
      <c r="B22" s="12">
        <v>3.8072164058771635E-3</v>
      </c>
      <c r="C22" s="33">
        <v>3.1966666666666668</v>
      </c>
      <c r="D22" s="75" t="s">
        <v>11</v>
      </c>
      <c r="E22" s="93">
        <v>1.17</v>
      </c>
      <c r="F22" s="93" t="s">
        <v>165</v>
      </c>
      <c r="G22" s="93">
        <v>1E-3</v>
      </c>
      <c r="H22" s="33">
        <f>B18*B22*C22*E22*G22</f>
        <v>4.1294173230901416E-4</v>
      </c>
      <c r="I22" s="51"/>
    </row>
    <row r="23" spans="1:9" ht="14.25" customHeight="1" thickBot="1">
      <c r="A23" s="79" t="s">
        <v>23</v>
      </c>
      <c r="B23" s="80"/>
      <c r="C23" s="81"/>
      <c r="D23" s="79"/>
      <c r="E23" s="82"/>
      <c r="F23" s="82"/>
      <c r="G23" s="82"/>
      <c r="H23" s="89">
        <f>SUM(H20:H22)</f>
        <v>0.1084629</v>
      </c>
      <c r="I23" s="71">
        <f>H23/H124</f>
        <v>5.4421806404733777E-2</v>
      </c>
    </row>
    <row r="24" spans="1:9" ht="45" customHeight="1" thickTop="1" thickBot="1">
      <c r="A24" s="5" t="s">
        <v>168</v>
      </c>
      <c r="B24" s="183">
        <v>13</v>
      </c>
      <c r="C24" s="184"/>
      <c r="D24" s="184"/>
      <c r="E24" s="184"/>
      <c r="F24" s="184"/>
      <c r="G24" s="184"/>
      <c r="H24" s="184"/>
      <c r="I24" s="185"/>
    </row>
    <row r="25" spans="1:9" ht="84" customHeight="1" thickBot="1">
      <c r="A25" s="44" t="s">
        <v>2</v>
      </c>
      <c r="B25" s="43" t="s">
        <v>3</v>
      </c>
      <c r="C25" s="43" t="s">
        <v>4</v>
      </c>
      <c r="D25" s="7" t="s">
        <v>197</v>
      </c>
      <c r="E25" s="8" t="s">
        <v>110</v>
      </c>
      <c r="F25" s="8" t="s">
        <v>111</v>
      </c>
      <c r="G25" s="8" t="s">
        <v>112</v>
      </c>
      <c r="H25" s="43" t="s">
        <v>134</v>
      </c>
      <c r="I25" s="43" t="s">
        <v>8</v>
      </c>
    </row>
    <row r="26" spans="1:9" ht="14.25" customHeight="1">
      <c r="A26" s="12" t="s">
        <v>25</v>
      </c>
      <c r="B26" s="33"/>
      <c r="C26" s="33">
        <v>3.754</v>
      </c>
      <c r="D26" s="13"/>
      <c r="E26" s="51"/>
      <c r="F26" s="93" t="s">
        <v>165</v>
      </c>
      <c r="G26" s="93">
        <v>1E-3</v>
      </c>
      <c r="H26" s="33">
        <f>B24*C26*G26</f>
        <v>4.8801999999999998E-2</v>
      </c>
      <c r="I26" s="57"/>
    </row>
    <row r="27" spans="1:9" ht="14.25" customHeight="1" thickBot="1">
      <c r="A27" s="79" t="s">
        <v>23</v>
      </c>
      <c r="B27" s="84"/>
      <c r="C27" s="84"/>
      <c r="D27" s="85"/>
      <c r="E27" s="86"/>
      <c r="F27" s="82"/>
      <c r="G27" s="82"/>
      <c r="H27" s="87">
        <f>SUM(H26)</f>
        <v>4.8801999999999998E-2</v>
      </c>
      <c r="I27" s="88">
        <f>H27/H124</f>
        <v>2.4486649316621791E-2</v>
      </c>
    </row>
    <row r="28" spans="1:9" ht="45" customHeight="1" thickTop="1" thickBot="1">
      <c r="A28" s="83" t="s">
        <v>169</v>
      </c>
      <c r="B28" s="183">
        <v>28</v>
      </c>
      <c r="C28" s="184"/>
      <c r="D28" s="184"/>
      <c r="E28" s="184"/>
      <c r="F28" s="184"/>
      <c r="G28" s="184"/>
      <c r="H28" s="184"/>
      <c r="I28" s="185"/>
    </row>
    <row r="29" spans="1:9" ht="79.05" customHeight="1" thickBot="1">
      <c r="A29" s="44" t="s">
        <v>2</v>
      </c>
      <c r="B29" s="43" t="s">
        <v>3</v>
      </c>
      <c r="C29" s="43" t="s">
        <v>4</v>
      </c>
      <c r="D29" s="7" t="s">
        <v>197</v>
      </c>
      <c r="E29" s="8" t="s">
        <v>110</v>
      </c>
      <c r="F29" s="8" t="s">
        <v>111</v>
      </c>
      <c r="G29" s="8" t="s">
        <v>112</v>
      </c>
      <c r="H29" s="43" t="s">
        <v>134</v>
      </c>
      <c r="I29" s="43" t="s">
        <v>8</v>
      </c>
    </row>
    <row r="30" spans="1:9" ht="15" customHeight="1">
      <c r="A30" s="12" t="s">
        <v>27</v>
      </c>
      <c r="B30" s="33">
        <v>0.16666929336710798</v>
      </c>
      <c r="C30" s="33">
        <v>4.8252668759459452</v>
      </c>
      <c r="D30" s="75" t="s">
        <v>11</v>
      </c>
      <c r="E30" s="93">
        <v>1.2749999999999999</v>
      </c>
      <c r="F30" s="93" t="s">
        <v>165</v>
      </c>
      <c r="G30" s="93">
        <v>1E-3</v>
      </c>
      <c r="H30" s="33">
        <f>B28*B30*C30*E30*G30</f>
        <v>2.8710790392621956E-2</v>
      </c>
      <c r="I30" s="51"/>
    </row>
    <row r="31" spans="1:9" ht="13.5" customHeight="1">
      <c r="A31" s="12" t="s">
        <v>28</v>
      </c>
      <c r="B31" s="33">
        <v>0.31124736539073311</v>
      </c>
      <c r="C31" s="33">
        <v>4.8285502525925947</v>
      </c>
      <c r="D31" s="75" t="s">
        <v>11</v>
      </c>
      <c r="E31" s="93">
        <v>1.25</v>
      </c>
      <c r="F31" s="93" t="s">
        <v>165</v>
      </c>
      <c r="G31" s="93">
        <v>1E-3</v>
      </c>
      <c r="H31" s="33">
        <f>B28*B31*C31*E31*G31</f>
        <v>5.2600574067167144E-2</v>
      </c>
      <c r="I31" s="51"/>
    </row>
    <row r="32" spans="1:9" ht="15.75" customHeight="1">
      <c r="A32" s="12" t="s">
        <v>120</v>
      </c>
      <c r="B32" s="33">
        <v>5.2891382528900488E-4</v>
      </c>
      <c r="C32" s="33">
        <v>3.6740210518316871</v>
      </c>
      <c r="D32" s="75" t="s">
        <v>11</v>
      </c>
      <c r="E32" s="93">
        <v>1.2549999999999999</v>
      </c>
      <c r="F32" s="93" t="s">
        <v>165</v>
      </c>
      <c r="G32" s="93">
        <v>1E-3</v>
      </c>
      <c r="H32" s="33">
        <f>B28*B32*C32*E32*G32</f>
        <v>6.8285472179102405E-5</v>
      </c>
      <c r="I32" s="51"/>
    </row>
    <row r="33" spans="1:9" ht="17.25" customHeight="1">
      <c r="A33" s="12" t="s">
        <v>30</v>
      </c>
      <c r="B33" s="33">
        <v>0.15285609550852242</v>
      </c>
      <c r="C33" s="33">
        <v>1.368246026956522</v>
      </c>
      <c r="D33" s="75" t="s">
        <v>11</v>
      </c>
      <c r="E33" s="93">
        <v>1.2549999999999999</v>
      </c>
      <c r="F33" s="93" t="s">
        <v>165</v>
      </c>
      <c r="G33" s="93">
        <v>1E-3</v>
      </c>
      <c r="H33" s="33">
        <f>B28*B33*C33*E33*G33</f>
        <v>7.349346352499374E-3</v>
      </c>
      <c r="I33" s="51"/>
    </row>
    <row r="34" spans="1:9" ht="19.5" customHeight="1">
      <c r="A34" s="12" t="s">
        <v>121</v>
      </c>
      <c r="B34" s="33">
        <v>8.7885379037671629E-2</v>
      </c>
      <c r="C34" s="33">
        <v>3.1429999999999998</v>
      </c>
      <c r="D34" s="75" t="s">
        <v>11</v>
      </c>
      <c r="E34" s="93">
        <v>1.25</v>
      </c>
      <c r="F34" s="93" t="s">
        <v>165</v>
      </c>
      <c r="G34" s="93">
        <v>1E-3</v>
      </c>
      <c r="H34" s="33">
        <f>B28*B34*C34*E34*G34</f>
        <v>9.6678311210390659E-3</v>
      </c>
      <c r="I34" s="51"/>
    </row>
    <row r="35" spans="1:9" ht="14.25" customHeight="1">
      <c r="A35" s="12" t="s">
        <v>32</v>
      </c>
      <c r="B35" s="33">
        <v>0.28081295287067587</v>
      </c>
      <c r="C35" s="33">
        <v>30.658000000000001</v>
      </c>
      <c r="D35" s="75" t="s">
        <v>11</v>
      </c>
      <c r="E35" s="93">
        <v>1.28</v>
      </c>
      <c r="F35" s="93" t="s">
        <v>165</v>
      </c>
      <c r="G35" s="93">
        <v>1E-3</v>
      </c>
      <c r="H35" s="33">
        <f>B28*B35*C35*E35*G35</f>
        <v>0.30855242016647305</v>
      </c>
      <c r="I35" s="51"/>
    </row>
    <row r="36" spans="1:9" ht="14.25" customHeight="1" thickBot="1">
      <c r="A36" s="79" t="s">
        <v>23</v>
      </c>
      <c r="B36" s="81"/>
      <c r="C36" s="81"/>
      <c r="D36" s="79"/>
      <c r="E36" s="82"/>
      <c r="F36" s="82"/>
      <c r="G36" s="82"/>
      <c r="H36" s="89">
        <f>SUM(H30:H35)</f>
        <v>0.4069492475719797</v>
      </c>
      <c r="I36" s="71">
        <f>H36/H124</f>
        <v>0.20418883478050426</v>
      </c>
    </row>
    <row r="37" spans="1:9" ht="61.5" customHeight="1" thickTop="1" thickBot="1">
      <c r="A37" s="5" t="s">
        <v>170</v>
      </c>
      <c r="B37" s="238">
        <v>50</v>
      </c>
      <c r="C37" s="239"/>
      <c r="D37" s="239"/>
      <c r="E37" s="239"/>
      <c r="F37" s="239"/>
      <c r="G37" s="239"/>
      <c r="H37" s="239"/>
      <c r="I37" s="240"/>
    </row>
    <row r="38" spans="1:9" ht="78" customHeight="1" thickBot="1">
      <c r="A38" s="44" t="s">
        <v>2</v>
      </c>
      <c r="B38" s="43" t="s">
        <v>3</v>
      </c>
      <c r="C38" s="43" t="s">
        <v>4</v>
      </c>
      <c r="D38" s="7" t="s">
        <v>197</v>
      </c>
      <c r="E38" s="8" t="s">
        <v>110</v>
      </c>
      <c r="F38" s="8" t="s">
        <v>111</v>
      </c>
      <c r="G38" s="8" t="s">
        <v>112</v>
      </c>
      <c r="H38" s="43" t="s">
        <v>134</v>
      </c>
      <c r="I38" s="43" t="s">
        <v>8</v>
      </c>
    </row>
    <row r="39" spans="1:9" ht="21.75" customHeight="1">
      <c r="A39" s="9" t="s">
        <v>55</v>
      </c>
      <c r="B39" s="48">
        <v>0.77467483408769244</v>
      </c>
      <c r="C39" s="48">
        <v>0.308</v>
      </c>
      <c r="D39" s="9" t="s">
        <v>11</v>
      </c>
      <c r="E39" s="48">
        <v>0.38844105721218408</v>
      </c>
      <c r="F39" s="93" t="s">
        <v>165</v>
      </c>
      <c r="G39" s="93">
        <v>1E-3</v>
      </c>
      <c r="H39" s="48">
        <f>B37*B39*C39*E39*G39</f>
        <v>4.634098877849927E-3</v>
      </c>
      <c r="I39" s="51"/>
    </row>
    <row r="40" spans="1:9" ht="16.95" customHeight="1">
      <c r="A40" s="12" t="s">
        <v>56</v>
      </c>
      <c r="B40" s="33">
        <v>0.13255406892200072</v>
      </c>
      <c r="C40" s="46">
        <v>0.61699999999999999</v>
      </c>
      <c r="D40" s="9" t="s">
        <v>11</v>
      </c>
      <c r="E40" s="33">
        <v>0.95238095238095233</v>
      </c>
      <c r="F40" s="93" t="s">
        <v>165</v>
      </c>
      <c r="G40" s="93">
        <v>1E-3</v>
      </c>
      <c r="H40" s="33">
        <f>B37*B40*C40*E40*G40</f>
        <v>3.8945647868987832E-3</v>
      </c>
      <c r="I40" s="51"/>
    </row>
    <row r="41" spans="1:9" ht="16.95" customHeight="1">
      <c r="A41" s="12" t="s">
        <v>119</v>
      </c>
      <c r="B41" s="33">
        <v>3.4537699069121297E-2</v>
      </c>
      <c r="C41" s="33">
        <v>0.84799999999999998</v>
      </c>
      <c r="D41" s="13"/>
      <c r="E41" s="51"/>
      <c r="F41" s="93" t="s">
        <v>165</v>
      </c>
      <c r="G41" s="93">
        <v>1E-3</v>
      </c>
      <c r="H41" s="33">
        <f>B37*B41*C41*G41</f>
        <v>1.464398440530743E-3</v>
      </c>
      <c r="I41" s="51"/>
    </row>
    <row r="42" spans="1:9" ht="22.95" customHeight="1">
      <c r="A42" s="12" t="s">
        <v>57</v>
      </c>
      <c r="B42" s="33">
        <v>5.8233397921185606E-2</v>
      </c>
      <c r="C42" s="33">
        <v>1.2118571428571427</v>
      </c>
      <c r="D42" s="9" t="s">
        <v>11</v>
      </c>
      <c r="E42" s="33">
        <v>0.34767265230879446</v>
      </c>
      <c r="F42" s="93" t="s">
        <v>165</v>
      </c>
      <c r="G42" s="93">
        <v>1E-3</v>
      </c>
      <c r="H42" s="33">
        <f>B37*B42*C42*E42*G42</f>
        <v>1.2267726750097338E-3</v>
      </c>
      <c r="I42" s="51"/>
    </row>
    <row r="43" spans="1:9" ht="19.5" customHeight="1" thickBot="1">
      <c r="A43" s="79" t="s">
        <v>23</v>
      </c>
      <c r="B43" s="81"/>
      <c r="C43" s="81"/>
      <c r="D43" s="80"/>
      <c r="E43" s="81"/>
      <c r="F43" s="82"/>
      <c r="G43" s="82"/>
      <c r="H43" s="89">
        <f>SUM(H39:H42)</f>
        <v>1.1219834780289185E-2</v>
      </c>
      <c r="I43" s="71">
        <f>H43/H124</f>
        <v>5.6296086155357894E-3</v>
      </c>
    </row>
    <row r="44" spans="1:9" ht="50.25" customHeight="1" thickTop="1" thickBot="1">
      <c r="A44" s="5" t="s">
        <v>171</v>
      </c>
      <c r="B44" s="238">
        <v>25</v>
      </c>
      <c r="C44" s="239"/>
      <c r="D44" s="239"/>
      <c r="E44" s="239"/>
      <c r="F44" s="239"/>
      <c r="G44" s="239"/>
      <c r="H44" s="239"/>
      <c r="I44" s="240"/>
    </row>
    <row r="45" spans="1:9" ht="75" customHeight="1" thickBot="1">
      <c r="A45" s="44" t="s">
        <v>2</v>
      </c>
      <c r="B45" s="43" t="s">
        <v>3</v>
      </c>
      <c r="C45" s="43" t="s">
        <v>4</v>
      </c>
      <c r="D45" s="7" t="s">
        <v>197</v>
      </c>
      <c r="E45" s="8" t="s">
        <v>110</v>
      </c>
      <c r="F45" s="8" t="s">
        <v>111</v>
      </c>
      <c r="G45" s="8" t="s">
        <v>112</v>
      </c>
      <c r="H45" s="43" t="s">
        <v>134</v>
      </c>
      <c r="I45" s="43" t="s">
        <v>8</v>
      </c>
    </row>
    <row r="46" spans="1:9" ht="18" customHeight="1">
      <c r="A46" s="12" t="s">
        <v>58</v>
      </c>
      <c r="B46" s="33"/>
      <c r="C46" s="33">
        <v>1.1539999999999999</v>
      </c>
      <c r="D46" s="9" t="s">
        <v>11</v>
      </c>
      <c r="E46" s="33">
        <v>0.38535645472061658</v>
      </c>
      <c r="F46" s="93" t="s">
        <v>165</v>
      </c>
      <c r="G46" s="93">
        <v>1E-3</v>
      </c>
      <c r="H46" s="33">
        <f>B44*C46*E46*G46</f>
        <v>1.1117533718689787E-2</v>
      </c>
      <c r="I46" s="51"/>
    </row>
    <row r="47" spans="1:9" ht="18" customHeight="1" thickBot="1">
      <c r="A47" s="79" t="s">
        <v>23</v>
      </c>
      <c r="B47" s="81"/>
      <c r="C47" s="81"/>
      <c r="D47" s="80"/>
      <c r="E47" s="81"/>
      <c r="F47" s="82"/>
      <c r="G47" s="82"/>
      <c r="H47" s="89">
        <f>SUM(H46)</f>
        <v>1.1117533718689787E-2</v>
      </c>
      <c r="I47" s="71">
        <f>H47/H124</f>
        <v>5.5782785425858572E-3</v>
      </c>
    </row>
    <row r="48" spans="1:9" ht="51" customHeight="1" thickTop="1" thickBot="1">
      <c r="A48" s="5" t="s">
        <v>172</v>
      </c>
      <c r="B48" s="238">
        <v>25</v>
      </c>
      <c r="C48" s="239"/>
      <c r="D48" s="239"/>
      <c r="E48" s="239"/>
      <c r="F48" s="239"/>
      <c r="G48" s="239"/>
      <c r="H48" s="239"/>
      <c r="I48" s="240"/>
    </row>
    <row r="49" spans="1:20" ht="73.95" customHeight="1" thickBot="1">
      <c r="A49" s="44" t="s">
        <v>2</v>
      </c>
      <c r="B49" s="43" t="s">
        <v>3</v>
      </c>
      <c r="C49" s="43" t="s">
        <v>4</v>
      </c>
      <c r="D49" s="7" t="s">
        <v>197</v>
      </c>
      <c r="E49" s="8" t="s">
        <v>110</v>
      </c>
      <c r="F49" s="8" t="s">
        <v>111</v>
      </c>
      <c r="G49" s="8" t="s">
        <v>112</v>
      </c>
      <c r="H49" s="43" t="s">
        <v>134</v>
      </c>
      <c r="I49" s="43" t="s">
        <v>8</v>
      </c>
    </row>
    <row r="50" spans="1:20" ht="18" customHeight="1">
      <c r="A50" s="12" t="s">
        <v>117</v>
      </c>
      <c r="B50" s="33"/>
      <c r="C50" s="33">
        <v>0.374</v>
      </c>
      <c r="D50" s="12"/>
      <c r="E50" s="51"/>
      <c r="F50" s="93" t="s">
        <v>165</v>
      </c>
      <c r="G50" s="93">
        <v>1E-3</v>
      </c>
      <c r="H50" s="33">
        <f>B48*C50*G50</f>
        <v>9.3500000000000007E-3</v>
      </c>
      <c r="I50" s="51"/>
    </row>
    <row r="51" spans="1:20" ht="18" customHeight="1" thickBot="1">
      <c r="A51" s="79" t="s">
        <v>23</v>
      </c>
      <c r="B51" s="81"/>
      <c r="C51" s="81"/>
      <c r="D51" s="80"/>
      <c r="E51" s="82"/>
      <c r="F51" s="82"/>
      <c r="G51" s="82"/>
      <c r="H51" s="89">
        <f>SUM(H50)</f>
        <v>9.3500000000000007E-3</v>
      </c>
      <c r="I51" s="71">
        <f>H51/H124</f>
        <v>4.6914095961315882E-3</v>
      </c>
    </row>
    <row r="52" spans="1:20" ht="30" thickTop="1" thickBot="1">
      <c r="A52" s="5" t="s">
        <v>173</v>
      </c>
      <c r="B52" s="183">
        <v>25</v>
      </c>
      <c r="C52" s="184"/>
      <c r="D52" s="184"/>
      <c r="E52" s="184"/>
      <c r="F52" s="184"/>
      <c r="G52" s="184"/>
      <c r="H52" s="184"/>
      <c r="I52" s="185"/>
    </row>
    <row r="53" spans="1:20" ht="78" customHeight="1" thickBot="1">
      <c r="A53" s="44" t="s">
        <v>2</v>
      </c>
      <c r="B53" s="43" t="s">
        <v>3</v>
      </c>
      <c r="C53" s="43" t="s">
        <v>4</v>
      </c>
      <c r="D53" s="7" t="s">
        <v>197</v>
      </c>
      <c r="E53" s="8" t="s">
        <v>110</v>
      </c>
      <c r="F53" s="8" t="s">
        <v>111</v>
      </c>
      <c r="G53" s="8" t="s">
        <v>112</v>
      </c>
      <c r="H53" s="43" t="s">
        <v>134</v>
      </c>
      <c r="I53" s="43" t="s">
        <v>8</v>
      </c>
    </row>
    <row r="54" spans="1:20">
      <c r="A54" s="12" t="s">
        <v>118</v>
      </c>
      <c r="B54" s="33"/>
      <c r="C54" s="33">
        <v>2.1149090909090908</v>
      </c>
      <c r="D54" s="13"/>
      <c r="E54" s="33"/>
      <c r="F54" s="93" t="s">
        <v>165</v>
      </c>
      <c r="G54" s="93">
        <v>1E-3</v>
      </c>
      <c r="H54" s="33">
        <f>B52*C54*G54</f>
        <v>5.2872727272727273E-2</v>
      </c>
      <c r="I54" s="12"/>
    </row>
    <row r="55" spans="1:20" ht="18" customHeight="1" thickBot="1">
      <c r="A55" s="79" t="s">
        <v>194</v>
      </c>
      <c r="B55" s="80"/>
      <c r="C55" s="81"/>
      <c r="D55" s="80"/>
      <c r="E55" s="81"/>
      <c r="F55" s="81"/>
      <c r="G55" s="81"/>
      <c r="H55" s="89">
        <f>SUM(H54)</f>
        <v>5.2872727272727273E-2</v>
      </c>
      <c r="I55" s="16">
        <f>H55/H124</f>
        <v>2.6529157230045029E-2</v>
      </c>
    </row>
    <row r="56" spans="1:20" ht="15.6" thickTop="1" thickBot="1">
      <c r="A56" s="36" t="s">
        <v>33</v>
      </c>
      <c r="B56" s="3"/>
      <c r="C56" s="49"/>
      <c r="D56" s="3"/>
      <c r="E56" s="49"/>
      <c r="F56" s="49"/>
      <c r="G56" s="49"/>
      <c r="H56" s="55">
        <f>SUM(H11+H17+H23+H27+H36+H43+H47+H51+H55)</f>
        <v>0.98917286820826356</v>
      </c>
      <c r="I56" s="3">
        <f>H56/H124</f>
        <v>0.49632246910644429</v>
      </c>
    </row>
    <row r="57" spans="1:20" ht="16.95" customHeight="1" thickBot="1">
      <c r="A57" s="180" t="s">
        <v>189</v>
      </c>
      <c r="B57" s="181"/>
      <c r="C57" s="181"/>
      <c r="D57" s="181"/>
      <c r="E57" s="181"/>
      <c r="F57" s="181"/>
      <c r="G57" s="181"/>
      <c r="H57" s="181"/>
      <c r="I57" s="182"/>
    </row>
    <row r="58" spans="1:20" ht="48" customHeight="1" thickBot="1">
      <c r="A58" s="52" t="s">
        <v>180</v>
      </c>
      <c r="B58" s="186">
        <v>250</v>
      </c>
      <c r="C58" s="187"/>
      <c r="D58" s="187"/>
      <c r="E58" s="187"/>
      <c r="F58" s="187"/>
      <c r="G58" s="187"/>
      <c r="H58" s="187"/>
      <c r="I58" s="188"/>
    </row>
    <row r="59" spans="1:20" ht="72.599999999999994" thickBot="1">
      <c r="A59" s="7" t="s">
        <v>130</v>
      </c>
      <c r="B59" s="8" t="s">
        <v>131</v>
      </c>
      <c r="C59" s="8" t="s">
        <v>4</v>
      </c>
      <c r="D59" s="7" t="s">
        <v>197</v>
      </c>
      <c r="E59" s="8" t="s">
        <v>110</v>
      </c>
      <c r="F59" s="8" t="s">
        <v>181</v>
      </c>
      <c r="G59" s="8"/>
      <c r="H59" s="8" t="s">
        <v>134</v>
      </c>
      <c r="I59" s="8" t="s">
        <v>8</v>
      </c>
    </row>
    <row r="60" spans="1:20">
      <c r="A60" s="9" t="s">
        <v>82</v>
      </c>
      <c r="B60" s="9">
        <v>0.82208852599914062</v>
      </c>
      <c r="C60" s="48">
        <v>1.3233105925925925</v>
      </c>
      <c r="D60" s="9" t="s">
        <v>179</v>
      </c>
      <c r="E60" s="48">
        <v>1E-3</v>
      </c>
      <c r="F60" s="48">
        <f>0.245/0.245</f>
        <v>1</v>
      </c>
      <c r="G60" s="48"/>
      <c r="H60" s="48">
        <f>B58*B60*C60*E60</f>
        <v>0.27196961362587341</v>
      </c>
      <c r="I60" s="9"/>
      <c r="M60" s="236"/>
      <c r="N60" s="237"/>
      <c r="O60" s="237"/>
      <c r="P60" s="237"/>
      <c r="Q60" s="237"/>
      <c r="R60" s="237"/>
      <c r="S60" s="237"/>
      <c r="T60" s="237"/>
    </row>
    <row r="61" spans="1:20">
      <c r="A61" s="12" t="s">
        <v>80</v>
      </c>
      <c r="B61" s="12">
        <v>0.16233347657928665</v>
      </c>
      <c r="C61" s="33">
        <v>8.4202700000000004</v>
      </c>
      <c r="D61" s="9" t="s">
        <v>179</v>
      </c>
      <c r="E61" s="33">
        <v>1E-3</v>
      </c>
      <c r="F61" s="33">
        <f>0.069/0.245</f>
        <v>0.28163265306122454</v>
      </c>
      <c r="G61" s="33"/>
      <c r="H61" s="33">
        <f>B58*B61*C61*E61</f>
        <v>0.34172292570906754</v>
      </c>
      <c r="I61" s="12"/>
    </row>
    <row r="62" spans="1:20">
      <c r="A62" s="12" t="s">
        <v>83</v>
      </c>
      <c r="B62" s="12">
        <v>1.4825956166738291E-2</v>
      </c>
      <c r="C62" s="33">
        <v>14.077772261623325</v>
      </c>
      <c r="D62" s="9" t="s">
        <v>179</v>
      </c>
      <c r="E62" s="33">
        <v>1E-3</v>
      </c>
      <c r="F62" s="33">
        <f>0.025/0.245</f>
        <v>0.10204081632653061</v>
      </c>
      <c r="G62" s="33"/>
      <c r="H62" s="33">
        <f>B58*B62*C62*E62</f>
        <v>5.2179108619037899E-2</v>
      </c>
      <c r="I62" s="12"/>
    </row>
    <row r="63" spans="1:20">
      <c r="A63" s="12" t="s">
        <v>84</v>
      </c>
      <c r="B63" s="12">
        <v>7.5204125483455109E-4</v>
      </c>
      <c r="C63" s="33">
        <v>10.734301349487785</v>
      </c>
      <c r="D63" s="9" t="s">
        <v>179</v>
      </c>
      <c r="E63" s="33">
        <v>1E-3</v>
      </c>
      <c r="F63" s="33">
        <f>0.025/0.245</f>
        <v>0.10204081632653061</v>
      </c>
      <c r="G63" s="33"/>
      <c r="H63" s="33">
        <f>B58*B63*C63*E63</f>
        <v>2.0181593641602521E-3</v>
      </c>
      <c r="I63" s="12"/>
    </row>
    <row r="64" spans="1:20" ht="15" thickBot="1">
      <c r="A64" s="29" t="s">
        <v>85</v>
      </c>
      <c r="B64" s="30"/>
      <c r="C64" s="47"/>
      <c r="D64" s="30"/>
      <c r="E64" s="47"/>
      <c r="F64" s="47"/>
      <c r="G64" s="47"/>
      <c r="H64" s="90">
        <f>SUM(H60:H63)</f>
        <v>0.66788980731813907</v>
      </c>
      <c r="I64" s="30">
        <f>H64/H124</f>
        <v>0.33511707499580695</v>
      </c>
    </row>
    <row r="65" spans="1:9" ht="16.95" customHeight="1" thickBot="1">
      <c r="A65" s="180" t="s">
        <v>183</v>
      </c>
      <c r="B65" s="181"/>
      <c r="C65" s="181"/>
      <c r="D65" s="181"/>
      <c r="E65" s="181"/>
      <c r="F65" s="181"/>
      <c r="G65" s="181"/>
      <c r="H65" s="181"/>
      <c r="I65" s="182"/>
    </row>
    <row r="66" spans="1:9" ht="29.4" thickBot="1">
      <c r="A66" s="96" t="s">
        <v>174</v>
      </c>
      <c r="B66" s="186">
        <v>232</v>
      </c>
      <c r="C66" s="187"/>
      <c r="D66" s="187"/>
      <c r="E66" s="187"/>
      <c r="F66" s="187"/>
      <c r="G66" s="187"/>
      <c r="H66" s="187"/>
      <c r="I66" s="188"/>
    </row>
    <row r="67" spans="1:9" ht="74.25" customHeight="1" thickBot="1">
      <c r="A67" s="7" t="s">
        <v>2</v>
      </c>
      <c r="B67" s="8" t="s">
        <v>3</v>
      </c>
      <c r="C67" s="8" t="s">
        <v>4</v>
      </c>
      <c r="D67" s="7" t="s">
        <v>197</v>
      </c>
      <c r="E67" s="8" t="s">
        <v>110</v>
      </c>
      <c r="F67" s="8" t="s">
        <v>111</v>
      </c>
      <c r="G67" s="8" t="s">
        <v>112</v>
      </c>
      <c r="H67" s="43" t="s">
        <v>134</v>
      </c>
      <c r="I67" s="8" t="s">
        <v>8</v>
      </c>
    </row>
    <row r="68" spans="1:9">
      <c r="A68" s="9" t="s">
        <v>35</v>
      </c>
      <c r="B68" s="9">
        <v>3.7680047387270775E-3</v>
      </c>
      <c r="C68" s="48">
        <v>0.39300000000000002</v>
      </c>
      <c r="D68" s="9" t="s">
        <v>135</v>
      </c>
      <c r="E68" s="48">
        <v>0.34965034965034963</v>
      </c>
      <c r="F68" s="92" t="s">
        <v>165</v>
      </c>
      <c r="G68" s="92">
        <v>1E-3</v>
      </c>
      <c r="H68" s="48">
        <f>B66*B68*C68*E68*G68</f>
        <v>1.2012293708327973E-4</v>
      </c>
      <c r="I68" s="9"/>
    </row>
    <row r="69" spans="1:9">
      <c r="A69" s="12" t="s">
        <v>36</v>
      </c>
      <c r="B69" s="12">
        <v>0.11594598525682508</v>
      </c>
      <c r="C69" s="33">
        <v>0.55000000000000004</v>
      </c>
      <c r="D69" s="9" t="s">
        <v>135</v>
      </c>
      <c r="E69" s="33">
        <v>0.29667146320768484</v>
      </c>
      <c r="F69" s="92" t="s">
        <v>165</v>
      </c>
      <c r="G69" s="92">
        <v>1E-3</v>
      </c>
      <c r="H69" s="33">
        <f>B66*B69*C69*E69*G69</f>
        <v>4.389167586657786E-3</v>
      </c>
      <c r="I69" s="12"/>
    </row>
    <row r="70" spans="1:9">
      <c r="A70" s="12" t="s">
        <v>38</v>
      </c>
      <c r="B70" s="12">
        <v>5.5579387380398776E-2</v>
      </c>
      <c r="C70" s="33">
        <v>0.47399999999999998</v>
      </c>
      <c r="D70" s="9" t="s">
        <v>135</v>
      </c>
      <c r="E70" s="33">
        <v>0.18726591760299627</v>
      </c>
      <c r="F70" s="92" t="s">
        <v>165</v>
      </c>
      <c r="G70" s="92">
        <v>1E-3</v>
      </c>
      <c r="H70" s="33">
        <f>B66*B70*C70*E70*G70</f>
        <v>1.1445606875370212E-3</v>
      </c>
      <c r="I70" s="12"/>
    </row>
    <row r="71" spans="1:9">
      <c r="A71" s="12" t="s">
        <v>39</v>
      </c>
      <c r="B71" s="12">
        <v>5.4385746718410406E-2</v>
      </c>
      <c r="C71" s="33">
        <v>1.8580000000000001</v>
      </c>
      <c r="D71" s="9" t="s">
        <v>135</v>
      </c>
      <c r="E71" s="33">
        <v>0.33530417677236202</v>
      </c>
      <c r="F71" s="92" t="s">
        <v>165</v>
      </c>
      <c r="G71" s="92">
        <v>1E-3</v>
      </c>
      <c r="H71" s="33">
        <f>B66*B71*C71*E71*G71</f>
        <v>7.8606372246150542E-3</v>
      </c>
      <c r="I71" s="12"/>
    </row>
    <row r="72" spans="1:9">
      <c r="A72" s="12" t="s">
        <v>40</v>
      </c>
      <c r="B72" s="12">
        <v>2.5576320277240828E-3</v>
      </c>
      <c r="C72" s="33">
        <v>0.38500000000000001</v>
      </c>
      <c r="D72" s="9" t="s">
        <v>135</v>
      </c>
      <c r="E72" s="33">
        <v>0.29667146320768484</v>
      </c>
      <c r="F72" s="92" t="s">
        <v>165</v>
      </c>
      <c r="G72" s="92">
        <v>1E-3</v>
      </c>
      <c r="H72" s="33">
        <f>B66*B72*C72*E72*G72</f>
        <v>6.7773911264568757E-5</v>
      </c>
      <c r="I72" s="12"/>
    </row>
    <row r="73" spans="1:9">
      <c r="A73" s="12" t="s">
        <v>41</v>
      </c>
      <c r="B73" s="12">
        <v>0.76189016292536293</v>
      </c>
      <c r="C73" s="33">
        <v>0.34699999999999998</v>
      </c>
      <c r="D73" s="9" t="s">
        <v>135</v>
      </c>
      <c r="E73" s="33">
        <v>0.29667146320768484</v>
      </c>
      <c r="F73" s="92" t="s">
        <v>165</v>
      </c>
      <c r="G73" s="92">
        <v>1E-3</v>
      </c>
      <c r="H73" s="33">
        <f>B66*B73*C73*E73*G73</f>
        <v>1.8196405214085765E-2</v>
      </c>
      <c r="I73" s="12"/>
    </row>
    <row r="74" spans="1:9">
      <c r="A74" s="12" t="s">
        <v>42</v>
      </c>
      <c r="B74" s="12">
        <v>5.8730809525515976E-3</v>
      </c>
      <c r="C74" s="33">
        <v>0.75775000000000003</v>
      </c>
      <c r="D74" s="9" t="s">
        <v>135</v>
      </c>
      <c r="E74" s="33">
        <v>0.29667146320768484</v>
      </c>
      <c r="F74" s="92" t="s">
        <v>165</v>
      </c>
      <c r="G74" s="92">
        <v>1E-3</v>
      </c>
      <c r="H74" s="33">
        <f>B66*B74*C74*E74*G74</f>
        <v>3.0630613161761162E-4</v>
      </c>
      <c r="I74" s="12"/>
    </row>
    <row r="75" spans="1:9" ht="15" thickBot="1">
      <c r="A75" s="29" t="s">
        <v>187</v>
      </c>
      <c r="B75" s="30"/>
      <c r="C75" s="47"/>
      <c r="D75" s="30"/>
      <c r="E75" s="47"/>
      <c r="F75" s="47"/>
      <c r="G75" s="47"/>
      <c r="H75" s="90">
        <f>SUM(H68:H74)</f>
        <v>3.2084973692861091E-2</v>
      </c>
      <c r="I75" s="30">
        <f>H75/H124</f>
        <v>1.6098797163028668E-2</v>
      </c>
    </row>
    <row r="76" spans="1:9" ht="16.95" customHeight="1" thickBot="1">
      <c r="A76" s="180" t="s">
        <v>184</v>
      </c>
      <c r="B76" s="181"/>
      <c r="C76" s="181"/>
      <c r="D76" s="181"/>
      <c r="E76" s="181"/>
      <c r="F76" s="181"/>
      <c r="G76" s="181"/>
      <c r="H76" s="181"/>
      <c r="I76" s="182"/>
    </row>
    <row r="77" spans="1:9" ht="45" customHeight="1" thickBot="1">
      <c r="A77" s="96" t="s">
        <v>175</v>
      </c>
      <c r="B77" s="186">
        <v>200</v>
      </c>
      <c r="C77" s="187"/>
      <c r="D77" s="187"/>
      <c r="E77" s="187"/>
      <c r="F77" s="187"/>
      <c r="G77" s="187"/>
      <c r="H77" s="187"/>
      <c r="I77" s="188"/>
    </row>
    <row r="78" spans="1:9" ht="79.95" customHeight="1" thickBot="1">
      <c r="A78" s="8" t="s">
        <v>2</v>
      </c>
      <c r="B78" s="8" t="s">
        <v>137</v>
      </c>
      <c r="C78" s="8" t="s">
        <v>138</v>
      </c>
      <c r="D78" s="7" t="s">
        <v>197</v>
      </c>
      <c r="E78" s="8" t="s">
        <v>110</v>
      </c>
      <c r="F78" s="8" t="s">
        <v>111</v>
      </c>
      <c r="G78" s="8" t="s">
        <v>112</v>
      </c>
      <c r="H78" s="43" t="s">
        <v>134</v>
      </c>
      <c r="I78" s="8" t="s">
        <v>8</v>
      </c>
    </row>
    <row r="79" spans="1:9">
      <c r="A79" s="9" t="s">
        <v>44</v>
      </c>
      <c r="B79" s="9">
        <v>0.17805442964678633</v>
      </c>
      <c r="C79" s="48">
        <v>0.22800000000000001</v>
      </c>
      <c r="D79" s="92" t="s">
        <v>165</v>
      </c>
      <c r="E79" s="48">
        <v>1E-3</v>
      </c>
      <c r="F79" s="48"/>
      <c r="G79" s="48"/>
      <c r="H79" s="48">
        <f>B77*B79*C79*E79</f>
        <v>8.119281991893457E-3</v>
      </c>
      <c r="I79" s="9"/>
    </row>
    <row r="80" spans="1:9">
      <c r="A80" s="12" t="s">
        <v>45</v>
      </c>
      <c r="B80" s="12">
        <v>0.11320208453966417</v>
      </c>
      <c r="C80" s="33">
        <v>0.374</v>
      </c>
      <c r="D80" s="92" t="s">
        <v>165</v>
      </c>
      <c r="E80" s="33">
        <v>1E-3</v>
      </c>
      <c r="F80" s="33"/>
      <c r="G80" s="33"/>
      <c r="H80" s="33">
        <f>B77*B80*C80*E80</f>
        <v>8.4675159235668811E-3</v>
      </c>
      <c r="I80" s="12"/>
    </row>
    <row r="81" spans="1:9">
      <c r="A81" s="12" t="s">
        <v>46</v>
      </c>
      <c r="B81" s="12">
        <v>1.5441034549314805E-3</v>
      </c>
      <c r="C81" s="33">
        <v>0.43766666666666665</v>
      </c>
      <c r="D81" s="92" t="s">
        <v>165</v>
      </c>
      <c r="E81" s="33">
        <v>1E-3</v>
      </c>
      <c r="F81" s="33"/>
      <c r="G81" s="33"/>
      <c r="H81" s="33">
        <f>B77*B81*C81*E81</f>
        <v>1.3516052242166894E-4</v>
      </c>
      <c r="I81" s="12"/>
    </row>
    <row r="82" spans="1:9">
      <c r="A82" s="12" t="s">
        <v>47</v>
      </c>
      <c r="B82" s="12">
        <v>1.3510905230650456E-3</v>
      </c>
      <c r="C82" s="33">
        <v>2.024</v>
      </c>
      <c r="D82" s="92" t="s">
        <v>165</v>
      </c>
      <c r="E82" s="33">
        <v>1E-3</v>
      </c>
      <c r="F82" s="33"/>
      <c r="G82" s="33"/>
      <c r="H82" s="33">
        <f>B77*B82*C82*E82</f>
        <v>5.4692144373673043E-4</v>
      </c>
      <c r="I82" s="12"/>
    </row>
    <row r="83" spans="1:9">
      <c r="A83" s="12" t="s">
        <v>48</v>
      </c>
      <c r="B83" s="12">
        <v>1.6502605674580197E-2</v>
      </c>
      <c r="C83" s="33">
        <v>1.21</v>
      </c>
      <c r="D83" s="92" t="s">
        <v>165</v>
      </c>
      <c r="E83" s="33">
        <v>1E-3</v>
      </c>
      <c r="F83" s="33"/>
      <c r="G83" s="33"/>
      <c r="H83" s="33">
        <f>B77*B83*C83*E83</f>
        <v>3.9936305732484077E-3</v>
      </c>
      <c r="I83" s="12"/>
    </row>
    <row r="84" spans="1:9">
      <c r="A84" s="12" t="s">
        <v>49</v>
      </c>
      <c r="B84" s="12">
        <v>8.4732677089364994E-2</v>
      </c>
      <c r="C84" s="33">
        <v>0.47799999999999998</v>
      </c>
      <c r="D84" s="92" t="s">
        <v>165</v>
      </c>
      <c r="E84" s="33">
        <v>1E-3</v>
      </c>
      <c r="F84" s="33"/>
      <c r="G84" s="33"/>
      <c r="H84" s="33">
        <f>B77*B84*C84*E84</f>
        <v>8.1004439297432933E-3</v>
      </c>
      <c r="I84" s="12"/>
    </row>
    <row r="85" spans="1:9">
      <c r="A85" s="12" t="s">
        <v>141</v>
      </c>
      <c r="B85" s="12">
        <v>9.0619571511291269E-2</v>
      </c>
      <c r="C85" s="33">
        <v>0.51700000000000002</v>
      </c>
      <c r="D85" s="92" t="s">
        <v>165</v>
      </c>
      <c r="E85" s="33">
        <v>1E-3</v>
      </c>
      <c r="F85" s="33"/>
      <c r="G85" s="33"/>
      <c r="H85" s="33">
        <f>B77*B85*C85*E85</f>
        <v>9.3700636942675164E-3</v>
      </c>
      <c r="I85" s="12"/>
    </row>
    <row r="86" spans="1:9" ht="28.8">
      <c r="A86" s="33" t="s">
        <v>51</v>
      </c>
      <c r="B86" s="12">
        <v>0.23093997297818955</v>
      </c>
      <c r="C86" s="33">
        <v>0.34699999999999998</v>
      </c>
      <c r="D86" s="92" t="s">
        <v>165</v>
      </c>
      <c r="E86" s="33">
        <v>1E-3</v>
      </c>
      <c r="F86" s="33"/>
      <c r="G86" s="33"/>
      <c r="H86" s="33">
        <f>B77*B86*C86*E86</f>
        <v>1.6027234124686356E-2</v>
      </c>
      <c r="I86" s="12"/>
    </row>
    <row r="87" spans="1:9">
      <c r="A87" s="12" t="s">
        <v>52</v>
      </c>
      <c r="B87" s="12">
        <v>6.1281605867593132E-2</v>
      </c>
      <c r="C87" s="33">
        <v>0.91400000000000003</v>
      </c>
      <c r="D87" s="92" t="s">
        <v>165</v>
      </c>
      <c r="E87" s="33">
        <v>1E-3</v>
      </c>
      <c r="F87" s="33"/>
      <c r="G87" s="33"/>
      <c r="H87" s="33">
        <f>B77*B87*C87*E87</f>
        <v>1.1202277552596025E-2</v>
      </c>
      <c r="I87" s="12"/>
    </row>
    <row r="88" spans="1:9">
      <c r="A88" s="12" t="s">
        <v>53</v>
      </c>
      <c r="B88" s="12">
        <v>0.22177185871453389</v>
      </c>
      <c r="C88" s="33">
        <v>0.65203333333333346</v>
      </c>
      <c r="D88" s="92" t="s">
        <v>165</v>
      </c>
      <c r="E88" s="33">
        <v>1E-3</v>
      </c>
      <c r="F88" s="33"/>
      <c r="G88" s="33"/>
      <c r="H88" s="33">
        <f>B77*B88*C88*E88</f>
        <v>2.8920528855433322E-2</v>
      </c>
      <c r="I88" s="12"/>
    </row>
    <row r="89" spans="1:9" ht="15" thickBot="1">
      <c r="A89" s="29" t="s">
        <v>188</v>
      </c>
      <c r="B89" s="30"/>
      <c r="C89" s="47"/>
      <c r="D89" s="30"/>
      <c r="E89" s="47"/>
      <c r="F89" s="47"/>
      <c r="G89" s="47"/>
      <c r="H89" s="90">
        <f>SUM(H79:H88)</f>
        <v>9.4883058611593657E-2</v>
      </c>
      <c r="I89" s="30">
        <f>H89/H124</f>
        <v>4.7608052586176085E-2</v>
      </c>
    </row>
    <row r="90" spans="1:9" ht="16.95" customHeight="1" thickBot="1">
      <c r="A90" s="180" t="s">
        <v>185</v>
      </c>
      <c r="B90" s="195"/>
      <c r="C90" s="195"/>
      <c r="D90" s="195"/>
      <c r="E90" s="195"/>
      <c r="F90" s="195"/>
      <c r="G90" s="195"/>
      <c r="H90" s="195"/>
      <c r="I90" s="196"/>
    </row>
    <row r="91" spans="1:9" ht="29.4" thickBot="1">
      <c r="A91" s="96" t="s">
        <v>176</v>
      </c>
      <c r="B91" s="186">
        <v>50</v>
      </c>
      <c r="C91" s="187"/>
      <c r="D91" s="187"/>
      <c r="E91" s="187"/>
      <c r="F91" s="187"/>
      <c r="G91" s="187"/>
      <c r="H91" s="187"/>
      <c r="I91" s="188"/>
    </row>
    <row r="92" spans="1:9" ht="72.599999999999994" thickBot="1">
      <c r="A92" s="44" t="s">
        <v>2</v>
      </c>
      <c r="B92" s="43" t="s">
        <v>3</v>
      </c>
      <c r="C92" s="43" t="s">
        <v>4</v>
      </c>
      <c r="D92" s="7" t="s">
        <v>197</v>
      </c>
      <c r="E92" s="8" t="s">
        <v>110</v>
      </c>
      <c r="F92" s="8" t="s">
        <v>111</v>
      </c>
      <c r="G92" s="8" t="s">
        <v>112</v>
      </c>
      <c r="H92" s="43" t="s">
        <v>134</v>
      </c>
      <c r="I92" s="8" t="s">
        <v>8</v>
      </c>
    </row>
    <row r="93" spans="1:9">
      <c r="A93" s="12" t="s">
        <v>99</v>
      </c>
      <c r="B93" s="12">
        <v>0.99730872741253362</v>
      </c>
      <c r="C93" s="33">
        <v>0.217</v>
      </c>
      <c r="D93" s="59" t="s">
        <v>165</v>
      </c>
      <c r="E93" s="60">
        <v>1E-3</v>
      </c>
      <c r="F93" s="61"/>
      <c r="G93" s="61"/>
      <c r="H93" s="33">
        <f>B91*B93*C93*E93</f>
        <v>1.0820799692425991E-2</v>
      </c>
      <c r="I93" s="50"/>
    </row>
    <row r="94" spans="1:9">
      <c r="A94" s="9" t="s">
        <v>98</v>
      </c>
      <c r="B94" s="12">
        <v>2.6912725874663592E-3</v>
      </c>
      <c r="C94" s="48">
        <v>7.9000000000000001E-2</v>
      </c>
      <c r="D94" s="59" t="s">
        <v>165</v>
      </c>
      <c r="E94" s="62">
        <v>1E-3</v>
      </c>
      <c r="F94" s="63"/>
      <c r="G94" s="63"/>
      <c r="H94" s="48">
        <f>B91*B94*C94*E94</f>
        <v>1.0630526720492119E-5</v>
      </c>
      <c r="I94" s="51"/>
    </row>
    <row r="95" spans="1:9" ht="15" thickBot="1">
      <c r="A95" s="36" t="s">
        <v>23</v>
      </c>
      <c r="B95" s="3"/>
      <c r="C95" s="49"/>
      <c r="D95" s="97"/>
      <c r="E95" s="98"/>
      <c r="F95" s="98"/>
      <c r="G95" s="98"/>
      <c r="H95" s="54">
        <f>SUM(H93:H94)</f>
        <v>1.0831430219146483E-2</v>
      </c>
      <c r="I95" s="99">
        <f>H95/H124</f>
        <v>5.4347246705811203E-3</v>
      </c>
    </row>
    <row r="96" spans="1:9" ht="45" customHeight="1" thickBot="1">
      <c r="A96" s="96" t="s">
        <v>195</v>
      </c>
      <c r="B96" s="186">
        <v>300</v>
      </c>
      <c r="C96" s="187"/>
      <c r="D96" s="187"/>
      <c r="E96" s="187"/>
      <c r="F96" s="187"/>
      <c r="G96" s="187"/>
      <c r="H96" s="187"/>
      <c r="I96" s="188"/>
    </row>
    <row r="97" spans="1:9" ht="72.599999999999994" thickBot="1">
      <c r="A97" s="44" t="s">
        <v>2</v>
      </c>
      <c r="B97" s="43" t="s">
        <v>3</v>
      </c>
      <c r="C97" s="43" t="s">
        <v>4</v>
      </c>
      <c r="D97" s="7" t="s">
        <v>197</v>
      </c>
      <c r="E97" s="8" t="s">
        <v>110</v>
      </c>
      <c r="F97" s="8" t="s">
        <v>111</v>
      </c>
      <c r="G97" s="8" t="s">
        <v>112</v>
      </c>
      <c r="H97" s="43" t="s">
        <v>134</v>
      </c>
      <c r="I97" s="43" t="s">
        <v>8</v>
      </c>
    </row>
    <row r="98" spans="1:9">
      <c r="A98" s="12" t="s">
        <v>59</v>
      </c>
      <c r="B98" s="12">
        <v>8.0356392367823826E-2</v>
      </c>
      <c r="C98" s="48">
        <v>0.26900000000000002</v>
      </c>
      <c r="D98" s="59" t="s">
        <v>165</v>
      </c>
      <c r="E98" s="33">
        <v>1E-3</v>
      </c>
      <c r="F98" s="33"/>
      <c r="G98" s="33"/>
      <c r="H98" s="33">
        <f>B96*B98*C98*E98</f>
        <v>6.484760864083383E-3</v>
      </c>
      <c r="I98" s="12"/>
    </row>
    <row r="99" spans="1:9">
      <c r="A99" s="12" t="s">
        <v>60</v>
      </c>
      <c r="B99" s="12">
        <v>7.6489871396150291E-3</v>
      </c>
      <c r="C99" s="48">
        <v>2.048</v>
      </c>
      <c r="D99" s="59" t="s">
        <v>165</v>
      </c>
      <c r="E99" s="33">
        <v>1E-3</v>
      </c>
      <c r="F99" s="33"/>
      <c r="G99" s="33"/>
      <c r="H99" s="33">
        <f>B96*B99*C99*E99</f>
        <v>4.6995376985794739E-3</v>
      </c>
      <c r="I99" s="12"/>
    </row>
    <row r="100" spans="1:9">
      <c r="A100" s="12" t="s">
        <v>100</v>
      </c>
      <c r="B100" s="12">
        <v>2.3451290241237287E-2</v>
      </c>
      <c r="C100" s="33">
        <v>0.30199999999999999</v>
      </c>
      <c r="D100" s="59" t="s">
        <v>165</v>
      </c>
      <c r="E100" s="33">
        <v>1E-3</v>
      </c>
      <c r="F100" s="33"/>
      <c r="G100" s="33"/>
      <c r="H100" s="33">
        <f>B96*B100*C100*E100</f>
        <v>2.1246868958560983E-3</v>
      </c>
      <c r="I100" s="12"/>
    </row>
    <row r="101" spans="1:9">
      <c r="A101" s="12" t="s">
        <v>61</v>
      </c>
      <c r="B101" s="12">
        <v>0.31722282928469364</v>
      </c>
      <c r="C101" s="33">
        <v>0.47</v>
      </c>
      <c r="D101" s="59" t="s">
        <v>165</v>
      </c>
      <c r="E101" s="33">
        <v>1E-3</v>
      </c>
      <c r="F101" s="33"/>
      <c r="G101" s="33"/>
      <c r="H101" s="33">
        <f>B96*B101*C101*E101</f>
        <v>4.4728418929141804E-2</v>
      </c>
      <c r="I101" s="12"/>
    </row>
    <row r="102" spans="1:9">
      <c r="A102" s="12" t="s">
        <v>123</v>
      </c>
      <c r="B102" s="12">
        <v>5.8838362612423302E-4</v>
      </c>
      <c r="C102" s="33">
        <v>1.0209999999999999</v>
      </c>
      <c r="D102" s="59" t="s">
        <v>165</v>
      </c>
      <c r="E102" s="33">
        <v>1E-3</v>
      </c>
      <c r="F102" s="33"/>
      <c r="G102" s="33"/>
      <c r="H102" s="33">
        <f>B96*B102*C102*E102</f>
        <v>1.8022190468185257E-4</v>
      </c>
      <c r="I102" s="12"/>
    </row>
    <row r="103" spans="1:9">
      <c r="A103" s="12" t="s">
        <v>127</v>
      </c>
      <c r="B103" s="12">
        <v>1.0422795662772127E-2</v>
      </c>
      <c r="C103" s="33">
        <v>0.30175000000000002</v>
      </c>
      <c r="D103" s="59" t="s">
        <v>165</v>
      </c>
      <c r="E103" s="33">
        <v>1E-3</v>
      </c>
      <c r="F103" s="33"/>
      <c r="G103" s="33"/>
      <c r="H103" s="33">
        <f>B96*B103*C103*E103</f>
        <v>9.4352357737244688E-4</v>
      </c>
      <c r="I103" s="12"/>
    </row>
    <row r="104" spans="1:9">
      <c r="A104" s="12" t="s">
        <v>62</v>
      </c>
      <c r="B104" s="12">
        <v>0.56030932167773384</v>
      </c>
      <c r="C104" s="33">
        <v>0.45593939393939392</v>
      </c>
      <c r="D104" s="59" t="s">
        <v>165</v>
      </c>
      <c r="E104" s="33">
        <v>1E-3</v>
      </c>
      <c r="F104" s="33"/>
      <c r="G104" s="33"/>
      <c r="H104" s="33">
        <f>B96*B104*C104*E104</f>
        <v>7.664012776330166E-2</v>
      </c>
      <c r="I104" s="12"/>
    </row>
    <row r="105" spans="1:9" ht="15" thickBot="1">
      <c r="A105" s="15" t="s">
        <v>23</v>
      </c>
      <c r="B105" s="16"/>
      <c r="C105" s="71"/>
      <c r="D105" s="16"/>
      <c r="E105" s="71"/>
      <c r="F105" s="71"/>
      <c r="G105" s="71"/>
      <c r="H105" s="89">
        <f>SUM(H98:H104)</f>
        <v>0.13580127763301672</v>
      </c>
      <c r="I105" s="16">
        <f>H105/H124</f>
        <v>6.8138975086039E-2</v>
      </c>
    </row>
    <row r="106" spans="1:9" ht="15.6" thickTop="1" thickBot="1">
      <c r="A106" s="36" t="s">
        <v>65</v>
      </c>
      <c r="B106" s="3"/>
      <c r="C106" s="49"/>
      <c r="D106" s="3"/>
      <c r="E106" s="49"/>
      <c r="F106" s="49"/>
      <c r="G106" s="49"/>
      <c r="H106" s="55">
        <f>SUM(H105+H95)</f>
        <v>0.1466327078521632</v>
      </c>
      <c r="I106" s="3"/>
    </row>
    <row r="107" spans="1:9" ht="16.95" customHeight="1" thickBot="1">
      <c r="A107" s="180" t="s">
        <v>186</v>
      </c>
      <c r="B107" s="195"/>
      <c r="C107" s="195"/>
      <c r="D107" s="195"/>
      <c r="E107" s="195"/>
      <c r="F107" s="195"/>
      <c r="G107" s="195"/>
      <c r="H107" s="195"/>
      <c r="I107" s="196"/>
    </row>
    <row r="108" spans="1:9" ht="43.8" thickBot="1">
      <c r="A108" s="52" t="s">
        <v>196</v>
      </c>
      <c r="B108" s="186">
        <v>6.8</v>
      </c>
      <c r="C108" s="187"/>
      <c r="D108" s="187"/>
      <c r="E108" s="187"/>
      <c r="F108" s="187"/>
      <c r="G108" s="187"/>
      <c r="H108" s="187"/>
      <c r="I108" s="188"/>
    </row>
    <row r="109" spans="1:9" ht="85.5" customHeight="1" thickBot="1">
      <c r="A109" s="7" t="s">
        <v>2</v>
      </c>
      <c r="B109" s="53" t="s">
        <v>3</v>
      </c>
      <c r="C109" s="53" t="s">
        <v>4</v>
      </c>
      <c r="D109" s="7" t="s">
        <v>197</v>
      </c>
      <c r="E109" s="8" t="s">
        <v>110</v>
      </c>
      <c r="F109" s="8" t="s">
        <v>111</v>
      </c>
      <c r="G109" s="8" t="s">
        <v>112</v>
      </c>
      <c r="H109" s="53" t="s">
        <v>134</v>
      </c>
      <c r="I109" s="8" t="s">
        <v>8</v>
      </c>
    </row>
    <row r="110" spans="1:9" ht="15" thickBot="1">
      <c r="A110" s="24" t="s">
        <v>67</v>
      </c>
      <c r="B110" s="24"/>
      <c r="C110" s="100">
        <v>2.7290000000000001</v>
      </c>
      <c r="D110" s="24" t="s">
        <v>177</v>
      </c>
      <c r="E110" s="100">
        <v>1E-3</v>
      </c>
      <c r="F110" s="100"/>
      <c r="G110" s="100"/>
      <c r="H110" s="76">
        <f>B108*C110*E110</f>
        <v>1.8557200000000003E-2</v>
      </c>
      <c r="I110" s="24">
        <f>H110/H124</f>
        <v>9.311168572976803E-3</v>
      </c>
    </row>
    <row r="111" spans="1:9" ht="30" thickTop="1" thickBot="1">
      <c r="A111" s="50" t="s">
        <v>178</v>
      </c>
      <c r="B111" s="233">
        <v>40</v>
      </c>
      <c r="C111" s="234"/>
      <c r="D111" s="234"/>
      <c r="E111" s="234"/>
      <c r="F111" s="234"/>
      <c r="G111" s="234"/>
      <c r="H111" s="234"/>
      <c r="I111" s="235"/>
    </row>
    <row r="112" spans="1:9" ht="75" customHeight="1" thickBot="1">
      <c r="A112" s="7" t="s">
        <v>2</v>
      </c>
      <c r="B112" s="8" t="s">
        <v>3</v>
      </c>
      <c r="C112" s="8" t="s">
        <v>4</v>
      </c>
      <c r="D112" s="7" t="s">
        <v>197</v>
      </c>
      <c r="E112" s="8" t="s">
        <v>110</v>
      </c>
      <c r="F112" s="8" t="s">
        <v>111</v>
      </c>
      <c r="G112" s="8" t="s">
        <v>112</v>
      </c>
      <c r="H112" s="8" t="s">
        <v>134</v>
      </c>
      <c r="I112" s="8" t="s">
        <v>8</v>
      </c>
    </row>
    <row r="113" spans="1:11">
      <c r="A113" s="12" t="s">
        <v>102</v>
      </c>
      <c r="B113" s="12">
        <v>2.7208599261001009E-2</v>
      </c>
      <c r="C113" s="33">
        <v>2.14</v>
      </c>
      <c r="D113" s="12" t="s">
        <v>179</v>
      </c>
      <c r="E113" s="33">
        <v>1E-3</v>
      </c>
      <c r="F113" s="33"/>
      <c r="G113" s="33"/>
      <c r="H113" s="33">
        <f>B111*B113*C113*E113</f>
        <v>2.3290560967416866E-3</v>
      </c>
      <c r="I113" s="12"/>
    </row>
    <row r="114" spans="1:11">
      <c r="A114" s="12" t="s">
        <v>68</v>
      </c>
      <c r="B114" s="12">
        <v>7.7258985555928791E-3</v>
      </c>
      <c r="C114" s="33">
        <v>4.6559999999999997</v>
      </c>
      <c r="D114" s="12" t="s">
        <v>179</v>
      </c>
      <c r="E114" s="33">
        <v>1E-3</v>
      </c>
      <c r="F114" s="33"/>
      <c r="G114" s="33"/>
      <c r="H114" s="33">
        <f>B111*B114*C114*E114</f>
        <v>1.4388713469936176E-3</v>
      </c>
      <c r="I114" s="12"/>
    </row>
    <row r="115" spans="1:11">
      <c r="A115" s="12" t="s">
        <v>69</v>
      </c>
      <c r="B115" s="12">
        <v>7.3228081961706423E-2</v>
      </c>
      <c r="C115" s="33">
        <v>1.1990000000000001</v>
      </c>
      <c r="D115" s="12" t="s">
        <v>179</v>
      </c>
      <c r="E115" s="33">
        <v>1E-3</v>
      </c>
      <c r="F115" s="33"/>
      <c r="G115" s="33"/>
      <c r="H115" s="33">
        <f>B111*B115*C115*E115</f>
        <v>3.5120188108834403E-3</v>
      </c>
      <c r="I115" s="12"/>
    </row>
    <row r="116" spans="1:11">
      <c r="A116" s="12" t="s">
        <v>70</v>
      </c>
      <c r="B116" s="12">
        <v>3.0567685589519653E-2</v>
      </c>
      <c r="C116" s="33">
        <v>3.206</v>
      </c>
      <c r="D116" s="12" t="s">
        <v>179</v>
      </c>
      <c r="E116" s="33">
        <v>1E-3</v>
      </c>
      <c r="F116" s="33"/>
      <c r="G116" s="33"/>
      <c r="H116" s="33">
        <f>B111*B116*C116*E116</f>
        <v>3.9200000000000007E-3</v>
      </c>
      <c r="I116" s="12"/>
    </row>
    <row r="117" spans="1:11">
      <c r="A117" s="12" t="s">
        <v>72</v>
      </c>
      <c r="B117" s="12">
        <v>6.4830366140409809E-2</v>
      </c>
      <c r="C117" s="33">
        <v>2.2749999999999999</v>
      </c>
      <c r="D117" s="12" t="s">
        <v>179</v>
      </c>
      <c r="E117" s="33">
        <v>1E-3</v>
      </c>
      <c r="F117" s="33"/>
      <c r="G117" s="33"/>
      <c r="H117" s="33">
        <f>B111*B117*C117*E117</f>
        <v>5.8995633187772928E-3</v>
      </c>
      <c r="I117" s="12"/>
    </row>
    <row r="118" spans="1:11">
      <c r="A118" s="12" t="s">
        <v>74</v>
      </c>
      <c r="B118" s="12">
        <v>0.7823312059119919</v>
      </c>
      <c r="C118" s="33">
        <v>0.80700000000000005</v>
      </c>
      <c r="D118" s="12" t="s">
        <v>179</v>
      </c>
      <c r="E118" s="33">
        <v>1E-3</v>
      </c>
      <c r="F118" s="33"/>
      <c r="G118" s="33"/>
      <c r="H118" s="33">
        <f>B111*B118*C118*E118</f>
        <v>2.5253651326839103E-2</v>
      </c>
      <c r="I118" s="12"/>
    </row>
    <row r="119" spans="1:11">
      <c r="A119" s="12" t="s">
        <v>75</v>
      </c>
      <c r="B119" s="12">
        <v>9.4054417198522009E-3</v>
      </c>
      <c r="C119" s="33">
        <v>2.6459999999999999</v>
      </c>
      <c r="D119" s="12" t="s">
        <v>179</v>
      </c>
      <c r="E119" s="33">
        <v>1E-3</v>
      </c>
      <c r="F119" s="33"/>
      <c r="G119" s="33"/>
      <c r="H119" s="33">
        <f>B111*B119*C119*E119</f>
        <v>9.9547195162915693E-4</v>
      </c>
      <c r="I119" s="12"/>
    </row>
    <row r="120" spans="1:11">
      <c r="A120" s="12" t="s">
        <v>76</v>
      </c>
      <c r="B120" s="12">
        <v>4.7027208599261005E-3</v>
      </c>
      <c r="C120" s="33">
        <v>2.313333333333333</v>
      </c>
      <c r="D120" s="12" t="s">
        <v>179</v>
      </c>
      <c r="E120" s="33">
        <v>1E-3</v>
      </c>
      <c r="F120" s="33"/>
      <c r="G120" s="33"/>
      <c r="H120" s="33">
        <f>B111*B120*C120*E120</f>
        <v>4.3515843690516179E-4</v>
      </c>
      <c r="I120" s="12"/>
    </row>
    <row r="121" spans="1:11" ht="15" thickBot="1">
      <c r="A121" s="101" t="s">
        <v>23</v>
      </c>
      <c r="B121" s="16"/>
      <c r="C121" s="71"/>
      <c r="D121" s="16"/>
      <c r="E121" s="71"/>
      <c r="F121" s="71"/>
      <c r="G121" s="71"/>
      <c r="H121" s="89">
        <f>SUM(H113:H120)</f>
        <v>4.3783791288769455E-2</v>
      </c>
      <c r="I121" s="16">
        <f>H121/H124</f>
        <v>2.1968737818947127E-2</v>
      </c>
    </row>
    <row r="122" spans="1:11" ht="15.6" thickTop="1" thickBot="1">
      <c r="A122" s="36" t="s">
        <v>161</v>
      </c>
      <c r="B122" s="3"/>
      <c r="C122" s="49"/>
      <c r="D122" s="3"/>
      <c r="E122" s="49"/>
      <c r="F122" s="49"/>
      <c r="G122" s="49"/>
      <c r="H122" s="55">
        <f>SUM(H110+H121)</f>
        <v>6.2340991288769458E-2</v>
      </c>
      <c r="I122" s="3">
        <f>H122/H124</f>
        <v>3.1279906391923934E-2</v>
      </c>
    </row>
    <row r="123" spans="1:11" ht="15" thickBot="1">
      <c r="A123" s="180" t="s">
        <v>23</v>
      </c>
      <c r="B123" s="195"/>
      <c r="C123" s="195"/>
      <c r="D123" s="195"/>
      <c r="E123" s="195"/>
      <c r="F123" s="195"/>
      <c r="G123" s="195"/>
      <c r="H123" s="195"/>
      <c r="I123" s="196"/>
    </row>
    <row r="124" spans="1:11">
      <c r="A124" s="10" t="s">
        <v>193</v>
      </c>
      <c r="B124" s="9"/>
      <c r="C124" s="48"/>
      <c r="D124" s="9"/>
      <c r="E124" s="48"/>
      <c r="F124" s="48"/>
      <c r="G124" s="48"/>
      <c r="H124" s="102">
        <f>SUM(H56,H75,H89,H95,H105,H122,H64)</f>
        <v>1.99300440697179</v>
      </c>
      <c r="I124" s="9"/>
      <c r="K124" s="78"/>
    </row>
  </sheetData>
  <mergeCells count="24">
    <mergeCell ref="B111:I111"/>
    <mergeCell ref="B58:I58"/>
    <mergeCell ref="B77:I77"/>
    <mergeCell ref="A123:I123"/>
    <mergeCell ref="B96:I96"/>
    <mergeCell ref="B108:I108"/>
    <mergeCell ref="A107:I107"/>
    <mergeCell ref="A90:I90"/>
    <mergeCell ref="B91:I91"/>
    <mergeCell ref="B66:I66"/>
    <mergeCell ref="A76:I76"/>
    <mergeCell ref="M60:T60"/>
    <mergeCell ref="A65:I65"/>
    <mergeCell ref="A2:I2"/>
    <mergeCell ref="B37:I37"/>
    <mergeCell ref="B28:I28"/>
    <mergeCell ref="B18:I18"/>
    <mergeCell ref="B24:I24"/>
    <mergeCell ref="B12:I12"/>
    <mergeCell ref="B3:I3"/>
    <mergeCell ref="B44:I44"/>
    <mergeCell ref="B52:I52"/>
    <mergeCell ref="B48:I48"/>
    <mergeCell ref="A57:I57"/>
  </mergeCells>
  <pageMargins left="0.7" right="0.7" top="0.75" bottom="0.75" header="0.3" footer="0.3"/>
  <pageSetup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Germany GHGE</vt:lpstr>
      <vt:lpstr>India GHGE</vt:lpstr>
      <vt:lpstr>Oman GHGE</vt:lpstr>
      <vt:lpstr>The Netherlands GHGE</vt:lpstr>
      <vt:lpstr>Thailand GHGE</vt:lpstr>
      <vt:lpstr>U.S. GHGE</vt:lpstr>
      <vt:lpstr>U.S. Vegetarian GHGE</vt:lpstr>
      <vt:lpstr>Uruguay GHGE</vt:lpstr>
      <vt:lpstr>EAT LANCET GHGE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Diego Rose</cp:lastModifiedBy>
  <dcterms:created xsi:type="dcterms:W3CDTF">2020-11-04T19:14:41Z</dcterms:created>
  <dcterms:modified xsi:type="dcterms:W3CDTF">2021-02-04T00:09:07Z</dcterms:modified>
</cp:coreProperties>
</file>