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s\OneDrive\Desktop\cikk\× 42. Éva BN (PlantMethods)\proof\Additional files 2-4\"/>
    </mc:Choice>
  </mc:AlternateContent>
  <bookViews>
    <workbookView xWindow="0" yWindow="0" windowWidth="23040" windowHeight="9372" tabRatio="597"/>
  </bookViews>
  <sheets>
    <sheet name="solubilisation" sheetId="2" r:id="rId1"/>
    <sheet name="evaluation" sheetId="1" r:id="rId2"/>
    <sheet name="Phoretix-ImageJ comparis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3" l="1"/>
  <c r="E6" i="3" s="1"/>
  <c r="B18" i="3"/>
  <c r="C5" i="3" s="1"/>
  <c r="D37" i="1"/>
  <c r="C37" i="1"/>
  <c r="C16" i="3" l="1"/>
  <c r="C12" i="3"/>
  <c r="C8" i="3"/>
  <c r="E11" i="3"/>
  <c r="E4" i="3"/>
  <c r="E10" i="3"/>
  <c r="E17" i="3"/>
  <c r="E9" i="3"/>
  <c r="E14" i="3"/>
  <c r="E13" i="3"/>
  <c r="E5" i="3"/>
  <c r="E12" i="3"/>
  <c r="E16" i="3"/>
  <c r="E8" i="3"/>
  <c r="E15" i="3"/>
  <c r="E7" i="3"/>
  <c r="C15" i="3"/>
  <c r="C11" i="3"/>
  <c r="C7" i="3"/>
  <c r="C4" i="3"/>
  <c r="C14" i="3"/>
  <c r="C10" i="3"/>
  <c r="C6" i="3"/>
  <c r="C17" i="3"/>
  <c r="C13" i="3"/>
  <c r="C9" i="3"/>
  <c r="D92" i="1"/>
  <c r="C92" i="1"/>
  <c r="E18" i="3" l="1"/>
  <c r="C18" i="3"/>
  <c r="D93" i="1"/>
  <c r="D40" i="1"/>
  <c r="C40" i="1"/>
  <c r="C93" i="1"/>
  <c r="D36" i="1"/>
  <c r="D35" i="1" s="1"/>
  <c r="C36" i="1"/>
  <c r="C35" i="1" s="1"/>
  <c r="D41" i="1" l="1"/>
  <c r="C41" i="1"/>
  <c r="C82" i="1"/>
  <c r="C100" i="1" s="1"/>
  <c r="C88" i="1"/>
  <c r="D32" i="1"/>
  <c r="C32" i="1"/>
  <c r="K7" i="2" l="1"/>
  <c r="L7" i="2" s="1"/>
  <c r="I7" i="2"/>
  <c r="G7" i="2"/>
  <c r="K6" i="2"/>
  <c r="L6" i="2" s="1"/>
  <c r="K18" i="2"/>
  <c r="J18" i="2" s="1"/>
  <c r="L18" i="2" l="1"/>
  <c r="G6" i="2"/>
  <c r="I6" i="2"/>
  <c r="J7" i="2"/>
  <c r="H7" i="2" s="1"/>
  <c r="J6" i="2"/>
  <c r="I18" i="2"/>
  <c r="G18" i="2"/>
  <c r="H18" i="2" s="1"/>
  <c r="H6" i="2" l="1"/>
  <c r="K17" i="2"/>
  <c r="L17" i="2" s="1"/>
  <c r="I17" i="2" l="1"/>
  <c r="G17" i="2"/>
  <c r="J17" i="2"/>
  <c r="H17" i="2" l="1"/>
  <c r="K9" i="2" l="1"/>
  <c r="J9" i="2" s="1"/>
  <c r="K8" i="2"/>
  <c r="L8" i="2" s="1"/>
  <c r="G8" i="2" l="1"/>
  <c r="I8" i="2"/>
  <c r="J8" i="2"/>
  <c r="L9" i="2"/>
  <c r="I9" i="2"/>
  <c r="G9" i="2"/>
  <c r="H8" i="2" l="1"/>
  <c r="H9" i="2"/>
  <c r="D31" i="1" l="1"/>
  <c r="D53" i="1" s="1"/>
  <c r="C31" i="1"/>
  <c r="C53" i="1" s="1"/>
  <c r="D95" i="1" l="1"/>
  <c r="D48" i="1" s="1"/>
  <c r="D54" i="1" s="1"/>
  <c r="D73" i="1" s="1"/>
  <c r="C95" i="1"/>
  <c r="C48" i="1" s="1"/>
  <c r="C54" i="1" s="1"/>
  <c r="C73" i="1" s="1"/>
  <c r="D88" i="1"/>
  <c r="D82" i="1"/>
  <c r="C101" i="1"/>
  <c r="D99" i="1" l="1"/>
  <c r="D101" i="1"/>
  <c r="D98" i="1"/>
  <c r="D100" i="1"/>
  <c r="D49" i="1"/>
  <c r="D2" i="1" s="1"/>
  <c r="H37" i="1" s="1"/>
  <c r="C60" i="1"/>
  <c r="D96" i="1"/>
  <c r="D60" i="1"/>
  <c r="D70" i="1"/>
  <c r="C96" i="1"/>
  <c r="C98" i="1"/>
  <c r="C99" i="1"/>
  <c r="D68" i="1"/>
  <c r="C69" i="1"/>
  <c r="C70" i="1"/>
  <c r="C68" i="1"/>
  <c r="D69" i="1"/>
  <c r="H46" i="1" l="1"/>
  <c r="C49" i="1"/>
  <c r="C2" i="1" s="1"/>
  <c r="C52" i="1"/>
  <c r="D71" i="1"/>
  <c r="C71" i="1"/>
  <c r="C102" i="1"/>
  <c r="C59" i="1"/>
  <c r="D102" i="1"/>
  <c r="G47" i="1" l="1"/>
  <c r="G37" i="1"/>
  <c r="G43" i="1"/>
  <c r="C57" i="1"/>
  <c r="C64" i="1" l="1"/>
  <c r="C58" i="1"/>
  <c r="G23" i="1" l="1"/>
  <c r="G24" i="1"/>
  <c r="G25" i="1"/>
  <c r="G26" i="1"/>
  <c r="G28" i="1"/>
  <c r="G33" i="1"/>
  <c r="G34" i="1"/>
  <c r="G22" i="1"/>
  <c r="G27" i="1"/>
  <c r="G29" i="1"/>
  <c r="G38" i="1"/>
  <c r="G39" i="1"/>
  <c r="G42" i="1"/>
  <c r="G44" i="1"/>
  <c r="G45" i="1"/>
  <c r="G48" i="1"/>
  <c r="G32" i="1"/>
  <c r="G31" i="1"/>
  <c r="G41" i="1"/>
  <c r="G40" i="1"/>
  <c r="G36" i="1"/>
  <c r="G35" i="1"/>
  <c r="C65" i="1"/>
  <c r="C62" i="1"/>
  <c r="C56" i="1"/>
  <c r="C63" i="1"/>
  <c r="C66" i="1" l="1"/>
  <c r="G49" i="1"/>
  <c r="D57" i="1" l="1"/>
  <c r="D59" i="1"/>
  <c r="D58" i="1"/>
  <c r="D52" i="1"/>
  <c r="D64" i="1" s="1"/>
  <c r="H35" i="1"/>
  <c r="H27" i="1" l="1"/>
  <c r="H29" i="1"/>
  <c r="H38" i="1"/>
  <c r="H39" i="1"/>
  <c r="H42" i="1"/>
  <c r="H44" i="1"/>
  <c r="H45" i="1"/>
  <c r="H23" i="1"/>
  <c r="H24" i="1"/>
  <c r="H25" i="1"/>
  <c r="H26" i="1"/>
  <c r="H28" i="1"/>
  <c r="H30" i="1"/>
  <c r="H31" i="1"/>
  <c r="H33" i="1"/>
  <c r="H34" i="1"/>
  <c r="H48" i="1"/>
  <c r="H32" i="1"/>
  <c r="H41" i="1"/>
  <c r="H40" i="1"/>
  <c r="H36" i="1"/>
  <c r="D63" i="1"/>
  <c r="D65" i="1"/>
  <c r="D56" i="1"/>
  <c r="D62" i="1"/>
  <c r="D66" i="1" l="1"/>
  <c r="H49" i="1"/>
</calcChain>
</file>

<file path=xl/sharedStrings.xml><?xml version="1.0" encoding="utf-8"?>
<sst xmlns="http://schemas.openxmlformats.org/spreadsheetml/2006/main" count="216" uniqueCount="133">
  <si>
    <t>Chl</t>
  </si>
  <si>
    <t>DDM</t>
  </si>
  <si>
    <t>% w/v</t>
  </si>
  <si>
    <t>ul</t>
  </si>
  <si>
    <t>PSII-s1 (C2S2M2)</t>
  </si>
  <si>
    <t>PSII-s2 (C2S2M)</t>
  </si>
  <si>
    <t>PSII-s3 (C2S2)</t>
  </si>
  <si>
    <t>PSII-s4 (C2S)</t>
  </si>
  <si>
    <t>sumPSII-s</t>
  </si>
  <si>
    <t>sumPSI-s</t>
  </si>
  <si>
    <t>PSI-LHCII</t>
  </si>
  <si>
    <t>PSI,PSII-d</t>
  </si>
  <si>
    <t>PSII-m (citbf-d)</t>
  </si>
  <si>
    <t>PSII-m</t>
  </si>
  <si>
    <t>PSII-CP43</t>
  </si>
  <si>
    <t>sum</t>
  </si>
  <si>
    <t>sumPSI</t>
  </si>
  <si>
    <t>sumPSII</t>
  </si>
  <si>
    <t>sumLhc</t>
  </si>
  <si>
    <t>PSI/PSII</t>
  </si>
  <si>
    <t>PSI-LHCII/PSI</t>
  </si>
  <si>
    <t>PSII-s/PSII-m</t>
  </si>
  <si>
    <t>LHCII-t/Lhc-m</t>
  </si>
  <si>
    <t>Ctrl</t>
  </si>
  <si>
    <t>LHCII-t</t>
  </si>
  <si>
    <t>LHCII-a</t>
  </si>
  <si>
    <t>LM</t>
  </si>
  <si>
    <t>4-7</t>
  </si>
  <si>
    <t>4-8</t>
  </si>
  <si>
    <t>lhc-m/t</t>
  </si>
  <si>
    <t>CP43</t>
  </si>
  <si>
    <t>PSI-s5</t>
  </si>
  <si>
    <t>?</t>
  </si>
  <si>
    <t>%</t>
  </si>
  <si>
    <t>PSI-s</t>
  </si>
  <si>
    <t>PSI</t>
  </si>
  <si>
    <t>PSI-core</t>
  </si>
  <si>
    <t>PSII-s</t>
  </si>
  <si>
    <t xml:space="preserve">PSII-d </t>
  </si>
  <si>
    <t>CP43-less PSII</t>
  </si>
  <si>
    <t>Lhca-d</t>
  </si>
  <si>
    <t>Normalised values</t>
  </si>
  <si>
    <t>Treatment</t>
  </si>
  <si>
    <t>date</t>
  </si>
  <si>
    <t>digitonin</t>
  </si>
  <si>
    <t>sample place</t>
  </si>
  <si>
    <t>Quality of separation</t>
  </si>
  <si>
    <t>G</t>
  </si>
  <si>
    <t>gel number</t>
  </si>
  <si>
    <t>Isolation date</t>
  </si>
  <si>
    <t>Chl a/b (leaf)</t>
  </si>
  <si>
    <t>s - supercomplex</t>
  </si>
  <si>
    <t>t - trimer</t>
  </si>
  <si>
    <t>d-dimer</t>
  </si>
  <si>
    <t xml:space="preserve">PSII-m </t>
  </si>
  <si>
    <t>Lhc-m</t>
  </si>
  <si>
    <t>m-monomer</t>
  </si>
  <si>
    <t>a - assembly</t>
  </si>
  <si>
    <t>cytbf-d</t>
  </si>
  <si>
    <t>PSI-NDH (mc1)</t>
  </si>
  <si>
    <t>PSI-mc3</t>
  </si>
  <si>
    <t>PSI-mc4</t>
  </si>
  <si>
    <t>mc - megacomplex</t>
  </si>
  <si>
    <t>x-factor for  normalisation</t>
  </si>
  <si>
    <t>Chl a/b</t>
  </si>
  <si>
    <t>Chla+b</t>
  </si>
  <si>
    <t>Washing</t>
  </si>
  <si>
    <t>DW</t>
  </si>
  <si>
    <t>10% DDM</t>
  </si>
  <si>
    <t>SumV</t>
  </si>
  <si>
    <t>Dig</t>
  </si>
  <si>
    <t>2xSB</t>
  </si>
  <si>
    <t>(%)</t>
  </si>
  <si>
    <t>Chl a+b</t>
  </si>
  <si>
    <t>sample used</t>
  </si>
  <si>
    <t>BN PAGE (4,5-12%)</t>
  </si>
  <si>
    <t>BisTris</t>
  </si>
  <si>
    <t>Volume</t>
  </si>
  <si>
    <t>solubilisation</t>
  </si>
  <si>
    <t>CN PAGE (4,5-12%)</t>
  </si>
  <si>
    <t>87% glic</t>
  </si>
  <si>
    <t>SBG</t>
  </si>
  <si>
    <t>M</t>
  </si>
  <si>
    <t>BS</t>
  </si>
  <si>
    <t>LM (M)</t>
  </si>
  <si>
    <t>Ctrl (M)</t>
  </si>
  <si>
    <t>buffer</t>
  </si>
  <si>
    <t>isolation</t>
  </si>
  <si>
    <t>SB - solubilisation buffer</t>
  </si>
  <si>
    <t>10% Dig</t>
  </si>
  <si>
    <t>SBG - Serva Blue G</t>
  </si>
  <si>
    <t>CF1</t>
  </si>
  <si>
    <t>LHCII/PSII</t>
  </si>
  <si>
    <t>LM: lincomycin treated</t>
  </si>
  <si>
    <t>M: mesophyll</t>
  </si>
  <si>
    <t>G: good</t>
  </si>
  <si>
    <t>ug/mL</t>
  </si>
  <si>
    <t>petB+C+D</t>
  </si>
  <si>
    <t>apoLHCII-a</t>
  </si>
  <si>
    <t>apoLHCII-t</t>
  </si>
  <si>
    <t>apoLhc-m</t>
  </si>
  <si>
    <t>apoLHCII-s</t>
  </si>
  <si>
    <t>petA+B+C+D</t>
  </si>
  <si>
    <t>PSII-s4: apoCP47</t>
  </si>
  <si>
    <t>PSII-s: apoCP47</t>
  </si>
  <si>
    <t>PSII-d: apoCP47</t>
  </si>
  <si>
    <t>PSII-m: apoCP47</t>
  </si>
  <si>
    <t>PSII-CP43: apoCP47</t>
  </si>
  <si>
    <t>sum apoCP47</t>
  </si>
  <si>
    <t>apoLhcb/2*apoCP47</t>
  </si>
  <si>
    <t xml:space="preserve">sum apoLhcb (see *)  </t>
  </si>
  <si>
    <t>(ug/mL)</t>
  </si>
  <si>
    <t>(uL)</t>
  </si>
  <si>
    <t>!</t>
  </si>
  <si>
    <t>in well separated bands: petA=0,45*petB-D</t>
  </si>
  <si>
    <t>Band</t>
  </si>
  <si>
    <t>Phoretix</t>
  </si>
  <si>
    <t>ImageJ</t>
  </si>
  <si>
    <t>CS: apoCP47</t>
  </si>
  <si>
    <t>CS</t>
  </si>
  <si>
    <t>PSII-d (C2)</t>
  </si>
  <si>
    <t>Fig. 1b</t>
  </si>
  <si>
    <t>Ctrl: untreated</t>
  </si>
  <si>
    <t>band volumes obtained from densitograms</t>
  </si>
  <si>
    <t xml:space="preserve">calculated volumes </t>
  </si>
  <si>
    <t xml:space="preserve">sum </t>
  </si>
  <si>
    <t xml:space="preserve">hand-made baseline </t>
  </si>
  <si>
    <t>applied µL</t>
  </si>
  <si>
    <r>
      <t>1</t>
    </r>
    <r>
      <rPr>
        <b/>
        <vertAlign val="superscript"/>
        <sz val="11"/>
        <color rgb="FF000000"/>
        <rFont val="Calibri"/>
        <family val="2"/>
        <scheme val="minor"/>
      </rPr>
      <t>st</t>
    </r>
    <r>
      <rPr>
        <b/>
        <sz val="11"/>
        <color rgb="FF000000"/>
        <rFont val="Calibri"/>
        <family val="2"/>
        <scheme val="minor"/>
      </rPr>
      <t>D (BN PAGE) 4.3-12%</t>
    </r>
  </si>
  <si>
    <r>
      <t>2</t>
    </r>
    <r>
      <rPr>
        <b/>
        <vertAlign val="superscript"/>
        <sz val="11"/>
        <rFont val="Calibri"/>
        <family val="2"/>
        <scheme val="minor"/>
      </rPr>
      <t>nd</t>
    </r>
    <r>
      <rPr>
        <b/>
        <sz val="11"/>
        <rFont val="Calibri"/>
        <family val="2"/>
        <scheme val="minor"/>
      </rPr>
      <t>D Laemmli 10-18%</t>
    </r>
  </si>
  <si>
    <r>
      <t>evaluation from 1</t>
    </r>
    <r>
      <rPr>
        <b/>
        <vertAlign val="superscript"/>
        <sz val="11"/>
        <rFont val="Calibri"/>
        <family val="2"/>
        <scheme val="minor"/>
      </rPr>
      <t>st</t>
    </r>
    <r>
      <rPr>
        <b/>
        <sz val="11"/>
        <rFont val="Calibri"/>
        <family val="2"/>
        <scheme val="minor"/>
      </rPr>
      <t>D BN</t>
    </r>
  </si>
  <si>
    <r>
      <t>evaluation from 2</t>
    </r>
    <r>
      <rPr>
        <b/>
        <vertAlign val="superscript"/>
        <sz val="11"/>
        <color rgb="FF000000"/>
        <rFont val="Calibri"/>
        <family val="2"/>
        <scheme val="minor"/>
      </rPr>
      <t>nd</t>
    </r>
    <r>
      <rPr>
        <b/>
        <sz val="11"/>
        <color rgb="FF000000"/>
        <rFont val="Calibri"/>
        <family val="2"/>
        <scheme val="minor"/>
      </rPr>
      <t>D SDS</t>
    </r>
  </si>
  <si>
    <r>
      <t xml:space="preserve">Cyt </t>
    </r>
    <r>
      <rPr>
        <i/>
        <sz val="11"/>
        <color rgb="FF0070C0"/>
        <rFont val="Calibri"/>
        <family val="2"/>
        <scheme val="minor"/>
      </rPr>
      <t>bf</t>
    </r>
    <r>
      <rPr>
        <sz val="11"/>
        <color rgb="FF0070C0"/>
        <rFont val="Calibri"/>
        <family val="2"/>
        <scheme val="minor"/>
      </rPr>
      <t xml:space="preserve">/Cyt </t>
    </r>
    <r>
      <rPr>
        <i/>
        <sz val="11"/>
        <color rgb="FF0070C0"/>
        <rFont val="Calibri"/>
        <family val="2"/>
        <scheme val="minor"/>
      </rPr>
      <t>bf</t>
    </r>
    <r>
      <rPr>
        <sz val="11"/>
        <color rgb="FF0070C0"/>
        <rFont val="Calibri"/>
        <family val="2"/>
        <scheme val="minor"/>
      </rPr>
      <t>+CF1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</si>
</sst>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1" fontId="4" fillId="0" borderId="0" xfId="0" applyNumberFormat="1" applyFont="1" applyFill="1"/>
    <xf numFmtId="0" fontId="5" fillId="0" borderId="0" xfId="0" applyFont="1" applyFill="1" applyAlignme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center"/>
    </xf>
    <xf numFmtId="1" fontId="6" fillId="0" borderId="0" xfId="0" applyNumberFormat="1" applyFont="1" applyFill="1" applyAlignment="1">
      <alignment horizontal="center"/>
    </xf>
    <xf numFmtId="0" fontId="5" fillId="0" borderId="0" xfId="0" applyFont="1" applyFill="1"/>
    <xf numFmtId="1" fontId="0" fillId="0" borderId="0" xfId="0" applyNumberFormat="1" applyFill="1"/>
    <xf numFmtId="165" fontId="9" fillId="0" borderId="0" xfId="0" applyNumberFormat="1" applyFont="1" applyFill="1"/>
    <xf numFmtId="0" fontId="4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2" fillId="0" borderId="0" xfId="0" applyFont="1" applyFill="1" applyAlignment="1">
      <alignment horizontal="left"/>
    </xf>
    <xf numFmtId="1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" fontId="1" fillId="0" borderId="0" xfId="0" quotePrefix="1" applyNumberFormat="1" applyFont="1" applyFill="1" applyAlignment="1">
      <alignment horizontal="center"/>
    </xf>
    <xf numFmtId="1" fontId="11" fillId="0" borderId="0" xfId="0" applyNumberFormat="1" applyFont="1" applyFill="1"/>
    <xf numFmtId="1" fontId="12" fillId="0" borderId="0" xfId="0" applyNumberFormat="1" applyFont="1" applyFill="1"/>
    <xf numFmtId="164" fontId="17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1" fontId="16" fillId="0" borderId="0" xfId="0" applyNumberFormat="1" applyFont="1" applyFill="1"/>
    <xf numFmtId="164" fontId="11" fillId="0" borderId="0" xfId="0" applyNumberFormat="1" applyFont="1" applyFill="1"/>
    <xf numFmtId="2" fontId="11" fillId="0" borderId="0" xfId="0" applyNumberFormat="1" applyFont="1" applyFill="1"/>
    <xf numFmtId="165" fontId="11" fillId="0" borderId="0" xfId="0" applyNumberFormat="1" applyFont="1" applyFill="1"/>
    <xf numFmtId="165" fontId="12" fillId="0" borderId="0" xfId="0" applyNumberFormat="1" applyFont="1" applyFill="1"/>
    <xf numFmtId="1" fontId="13" fillId="0" borderId="0" xfId="0" applyNumberFormat="1" applyFont="1" applyFill="1"/>
    <xf numFmtId="1" fontId="12" fillId="0" borderId="0" xfId="0" applyNumberFormat="1" applyFont="1" applyFill="1" applyAlignment="1">
      <alignment horizontal="center"/>
    </xf>
    <xf numFmtId="2" fontId="12" fillId="0" borderId="0" xfId="0" applyNumberFormat="1" applyFont="1" applyFill="1"/>
    <xf numFmtId="165" fontId="14" fillId="0" borderId="0" xfId="0" applyNumberFormat="1" applyFont="1" applyFill="1"/>
    <xf numFmtId="0" fontId="14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1" fontId="1" fillId="0" borderId="0" xfId="0" applyNumberFormat="1" applyFont="1" applyFill="1"/>
    <xf numFmtId="1" fontId="1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6" fillId="0" borderId="0" xfId="0" applyFont="1" applyFill="1"/>
    <xf numFmtId="164" fontId="12" fillId="0" borderId="0" xfId="0" applyNumberFormat="1" applyFont="1" applyFill="1" applyAlignment="1">
      <alignment horizontal="center"/>
    </xf>
    <xf numFmtId="164" fontId="14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22" fillId="0" borderId="0" xfId="0" applyFont="1" applyFill="1"/>
    <xf numFmtId="0" fontId="5" fillId="0" borderId="0" xfId="0" applyFont="1" applyFill="1" applyAlignment="1">
      <alignment horizontal="center"/>
    </xf>
    <xf numFmtId="165" fontId="6" fillId="0" borderId="0" xfId="0" applyNumberFormat="1" applyFont="1" applyFill="1" applyAlignment="1">
      <alignment horizontal="center"/>
    </xf>
    <xf numFmtId="14" fontId="5" fillId="0" borderId="0" xfId="0" applyNumberFormat="1" applyFont="1" applyFill="1"/>
    <xf numFmtId="14" fontId="0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" fontId="7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1" fontId="8" fillId="0" borderId="0" xfId="0" applyNumberFormat="1" applyFont="1" applyFill="1" applyAlignment="1">
      <alignment horizontal="right"/>
    </xf>
    <xf numFmtId="1" fontId="6" fillId="0" borderId="0" xfId="0" applyNumberFormat="1" applyFont="1" applyFill="1" applyAlignment="1">
      <alignment horizontal="right"/>
    </xf>
  </cellXfs>
  <cellStyles count="2">
    <cellStyle name="Normál" xfId="0" builtinId="0"/>
    <cellStyle name="Normal_poplarBNPAGE" xfId="1"/>
  </cellStyles>
  <dxfs count="0"/>
  <tableStyles count="0" defaultTableStyle="TableStyleMedium9" defaultPivotStyle="PivotStyleLight16"/>
  <colors>
    <mruColors>
      <color rgb="FFFFFFCC"/>
      <color rgb="FFFF99FF"/>
      <color rgb="FFFF9999"/>
      <color rgb="FFCCFFCC"/>
      <color rgb="FFCCCCFF"/>
      <color rgb="FFCC00FF"/>
      <color rgb="FFCC0099"/>
      <color rgb="FFCC66FF"/>
      <color rgb="FFCC00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75</xdr:row>
      <xdr:rowOff>0</xdr:rowOff>
    </xdr:from>
    <xdr:to>
      <xdr:col>14</xdr:col>
      <xdr:colOff>551688</xdr:colOff>
      <xdr:row>99</xdr:row>
      <xdr:rowOff>143256</xdr:rowOff>
    </xdr:to>
    <xdr:pic>
      <xdr:nvPicPr>
        <xdr:cNvPr id="3" name="Kép 2" descr="201005L56o787-kiért kép.jp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43800" y="13906500"/>
          <a:ext cx="3599688" cy="4715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</xdr:colOff>
      <xdr:row>1</xdr:row>
      <xdr:rowOff>164225</xdr:rowOff>
    </xdr:from>
    <xdr:to>
      <xdr:col>13</xdr:col>
      <xdr:colOff>32845</xdr:colOff>
      <xdr:row>10</xdr:row>
      <xdr:rowOff>78929</xdr:rowOff>
    </xdr:to>
    <xdr:pic>
      <xdr:nvPicPr>
        <xdr:cNvPr id="2" name="Kép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587" y="354725"/>
          <a:ext cx="3087413" cy="1629204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10</xdr:row>
      <xdr:rowOff>183931</xdr:rowOff>
    </xdr:from>
    <xdr:to>
      <xdr:col>13</xdr:col>
      <xdr:colOff>16571</xdr:colOff>
      <xdr:row>19</xdr:row>
      <xdr:rowOff>92175</xdr:rowOff>
    </xdr:to>
    <xdr:pic>
      <xdr:nvPicPr>
        <xdr:cNvPr id="4" name="Kép 3">
          <a:extLst>
            <a:ext uri="{FF2B5EF4-FFF2-40B4-BE49-F238E27FC236}">
              <a16:creationId xmlns="" xmlns:a16="http://schemas.microsoft.com/office/drawing/2014/main" id="{C2D10D91-E177-4BB4-B7E5-E4004D09C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724" y="2023241"/>
          <a:ext cx="3060192" cy="1563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/>
  </sheetViews>
  <sheetFormatPr defaultColWidth="9.21875" defaultRowHeight="14.4" x14ac:dyDescent="0.3"/>
  <cols>
    <col min="1" max="1" width="12.44140625" style="5" customWidth="1"/>
    <col min="2" max="2" width="12.77734375" style="5" customWidth="1"/>
    <col min="3" max="16384" width="9.21875" style="5"/>
  </cols>
  <sheetData>
    <row r="1" spans="1:16" x14ac:dyDescent="0.3">
      <c r="A1" s="7">
        <v>44096</v>
      </c>
      <c r="B1" s="5" t="s">
        <v>75</v>
      </c>
      <c r="D1" s="5" t="s">
        <v>76</v>
      </c>
      <c r="G1" s="2" t="s">
        <v>88</v>
      </c>
      <c r="L1" s="2" t="s">
        <v>90</v>
      </c>
    </row>
    <row r="2" spans="1:16" x14ac:dyDescent="0.3">
      <c r="A2" s="7"/>
    </row>
    <row r="3" spans="1:16" s="10" customFormat="1" ht="13.05" customHeight="1" x14ac:dyDescent="0.3">
      <c r="A3" s="49" t="s">
        <v>74</v>
      </c>
      <c r="B3" s="49"/>
      <c r="C3" s="49"/>
      <c r="D3" s="49"/>
      <c r="E3" s="49"/>
      <c r="F3" s="8" t="s">
        <v>66</v>
      </c>
      <c r="G3" s="49" t="s">
        <v>78</v>
      </c>
      <c r="H3" s="49"/>
      <c r="I3" s="49"/>
      <c r="J3" s="49"/>
      <c r="K3" s="49"/>
      <c r="L3" s="4"/>
      <c r="M3" s="4"/>
      <c r="N3" s="4"/>
      <c r="O3" s="4"/>
      <c r="P3" s="4"/>
    </row>
    <row r="4" spans="1:16" ht="13.05" customHeight="1" x14ac:dyDescent="0.3">
      <c r="A4" s="8" t="s">
        <v>87</v>
      </c>
      <c r="B4" s="8" t="s">
        <v>42</v>
      </c>
      <c r="C4" s="8" t="s">
        <v>64</v>
      </c>
      <c r="D4" s="50" t="s">
        <v>65</v>
      </c>
      <c r="E4" s="9" t="s">
        <v>77</v>
      </c>
      <c r="F4" s="8" t="s">
        <v>86</v>
      </c>
      <c r="G4" s="8" t="s">
        <v>71</v>
      </c>
      <c r="H4" s="8" t="s">
        <v>67</v>
      </c>
      <c r="I4" s="8" t="s">
        <v>68</v>
      </c>
      <c r="J4" s="8" t="s">
        <v>89</v>
      </c>
      <c r="K4" s="8" t="s">
        <v>69</v>
      </c>
      <c r="L4" s="8" t="s">
        <v>81</v>
      </c>
      <c r="M4" s="8"/>
      <c r="N4" s="8" t="s">
        <v>1</v>
      </c>
      <c r="O4" s="8" t="s">
        <v>70</v>
      </c>
      <c r="P4" s="8" t="s">
        <v>73</v>
      </c>
    </row>
    <row r="5" spans="1:16" ht="13.05" customHeight="1" x14ac:dyDescent="0.3">
      <c r="A5" s="51"/>
      <c r="B5" s="8"/>
      <c r="C5" s="8"/>
      <c r="D5" s="50" t="s">
        <v>111</v>
      </c>
      <c r="E5" s="9" t="s">
        <v>112</v>
      </c>
      <c r="F5" s="9" t="s">
        <v>112</v>
      </c>
      <c r="G5" s="9" t="s">
        <v>112</v>
      </c>
      <c r="H5" s="9" t="s">
        <v>112</v>
      </c>
      <c r="I5" s="9" t="s">
        <v>112</v>
      </c>
      <c r="J5" s="9" t="s">
        <v>112</v>
      </c>
      <c r="K5" s="9" t="s">
        <v>112</v>
      </c>
      <c r="L5" s="9" t="s">
        <v>112</v>
      </c>
      <c r="M5" s="9"/>
      <c r="N5" s="9" t="s">
        <v>72</v>
      </c>
      <c r="O5" s="9" t="s">
        <v>72</v>
      </c>
      <c r="P5" s="9" t="s">
        <v>111</v>
      </c>
    </row>
    <row r="6" spans="1:16" ht="13.05" customHeight="1" x14ac:dyDescent="0.3">
      <c r="A6" s="52">
        <v>44004</v>
      </c>
      <c r="B6" s="53" t="s">
        <v>82</v>
      </c>
      <c r="C6" s="53">
        <v>3.66</v>
      </c>
      <c r="D6" s="54">
        <v>2788.6318537142856</v>
      </c>
      <c r="E6" s="6">
        <v>10</v>
      </c>
      <c r="F6" s="53">
        <v>300</v>
      </c>
      <c r="G6" s="55">
        <f>K6/2</f>
        <v>27.886318537142856</v>
      </c>
      <c r="H6" s="55">
        <f t="shared" ref="H6" si="0">K6-G6-I6-J6</f>
        <v>16.731791122285713</v>
      </c>
      <c r="I6" s="55">
        <f>K6/10</f>
        <v>5.5772637074285711</v>
      </c>
      <c r="J6" s="55">
        <f>K6/10</f>
        <v>5.5772637074285711</v>
      </c>
      <c r="K6" s="9">
        <f t="shared" ref="K6:K7" si="1">E6*D6/500</f>
        <v>55.772637074285711</v>
      </c>
      <c r="L6" s="56">
        <f t="shared" ref="L6:L7" si="2">K6*20/100</f>
        <v>11.154527414857144</v>
      </c>
      <c r="M6" s="56"/>
      <c r="N6" s="6">
        <v>1</v>
      </c>
      <c r="O6" s="6">
        <v>1</v>
      </c>
      <c r="P6" s="6">
        <v>500</v>
      </c>
    </row>
    <row r="7" spans="1:16" ht="13.05" customHeight="1" x14ac:dyDescent="0.3">
      <c r="A7" s="52">
        <v>44004</v>
      </c>
      <c r="B7" s="53" t="s">
        <v>83</v>
      </c>
      <c r="C7" s="57">
        <v>6.3</v>
      </c>
      <c r="D7" s="56">
        <v>735.44806400000016</v>
      </c>
      <c r="E7" s="6">
        <v>60</v>
      </c>
      <c r="F7" s="53">
        <v>300</v>
      </c>
      <c r="G7" s="55">
        <f>K7/2</f>
        <v>44.126883840000012</v>
      </c>
      <c r="H7" s="55">
        <f>K7-G7-I7-J7</f>
        <v>26.476130304000005</v>
      </c>
      <c r="I7" s="55">
        <f t="shared" ref="I7" si="3">K7/10</f>
        <v>8.8253767680000017</v>
      </c>
      <c r="J7" s="55">
        <f t="shared" ref="J7" si="4">K7/10</f>
        <v>8.8253767680000017</v>
      </c>
      <c r="K7" s="9">
        <f t="shared" si="1"/>
        <v>88.253767680000024</v>
      </c>
      <c r="L7" s="56">
        <f t="shared" si="2"/>
        <v>17.650753536000003</v>
      </c>
      <c r="M7" s="56"/>
      <c r="N7" s="6">
        <v>1</v>
      </c>
      <c r="O7" s="6">
        <v>1</v>
      </c>
      <c r="P7" s="6">
        <v>500</v>
      </c>
    </row>
    <row r="8" spans="1:16" x14ac:dyDescent="0.3">
      <c r="A8" s="52">
        <v>41746</v>
      </c>
      <c r="B8" s="6" t="s">
        <v>23</v>
      </c>
      <c r="C8" s="57">
        <v>3.4817693192371486</v>
      </c>
      <c r="D8" s="56">
        <v>1747.3619682539684</v>
      </c>
      <c r="E8" s="6">
        <v>15</v>
      </c>
      <c r="F8" s="53">
        <v>300</v>
      </c>
      <c r="G8" s="55">
        <f>K8/2</f>
        <v>26.210429523809527</v>
      </c>
      <c r="H8" s="55">
        <f>K8-G8-I8-J8</f>
        <v>15.726257714285717</v>
      </c>
      <c r="I8" s="55">
        <f>K8/10</f>
        <v>5.2420859047619057</v>
      </c>
      <c r="J8" s="55">
        <f>K8/10</f>
        <v>5.2420859047619057</v>
      </c>
      <c r="K8" s="9">
        <f>E8*D8/500</f>
        <v>52.420859047619054</v>
      </c>
      <c r="L8" s="56">
        <f>K8*20/100</f>
        <v>10.484171809523811</v>
      </c>
      <c r="M8" s="56"/>
      <c r="N8" s="6">
        <v>1</v>
      </c>
      <c r="O8" s="6">
        <v>1</v>
      </c>
      <c r="P8" s="6">
        <v>500</v>
      </c>
    </row>
    <row r="9" spans="1:16" x14ac:dyDescent="0.3">
      <c r="A9" s="52">
        <v>42124</v>
      </c>
      <c r="B9" s="53" t="s">
        <v>26</v>
      </c>
      <c r="C9" s="57">
        <v>2.4219997576114571</v>
      </c>
      <c r="D9" s="56">
        <v>337.61777142857136</v>
      </c>
      <c r="E9" s="6">
        <v>75</v>
      </c>
      <c r="F9" s="53">
        <v>300</v>
      </c>
      <c r="G9" s="55">
        <f>K9/2</f>
        <v>25.321332857142849</v>
      </c>
      <c r="H9" s="55">
        <f>K9-G9-I9-J9</f>
        <v>15.192799714285711</v>
      </c>
      <c r="I9" s="55">
        <f>K9/10</f>
        <v>5.0642665714285702</v>
      </c>
      <c r="J9" s="55">
        <f>K9/10</f>
        <v>5.0642665714285702</v>
      </c>
      <c r="K9" s="9">
        <f>E9*D9/500</f>
        <v>50.642665714285698</v>
      </c>
      <c r="L9" s="56">
        <f>K9*20/100</f>
        <v>10.12853314285714</v>
      </c>
      <c r="M9" s="56"/>
      <c r="N9" s="6">
        <v>1</v>
      </c>
      <c r="O9" s="6">
        <v>1</v>
      </c>
      <c r="P9" s="6">
        <v>500</v>
      </c>
    </row>
    <row r="12" spans="1:16" x14ac:dyDescent="0.3">
      <c r="A12" s="7">
        <v>44145</v>
      </c>
      <c r="B12" s="5" t="s">
        <v>79</v>
      </c>
      <c r="D12" s="5" t="s">
        <v>76</v>
      </c>
    </row>
    <row r="13" spans="1:16" x14ac:dyDescent="0.3">
      <c r="A13" s="7"/>
    </row>
    <row r="14" spans="1:16" s="10" customFormat="1" ht="13.05" customHeight="1" x14ac:dyDescent="0.3">
      <c r="A14" s="49" t="s">
        <v>74</v>
      </c>
      <c r="B14" s="49"/>
      <c r="C14" s="49"/>
      <c r="D14" s="49"/>
      <c r="E14" s="49"/>
      <c r="F14" s="8" t="s">
        <v>66</v>
      </c>
      <c r="G14" s="49" t="s">
        <v>78</v>
      </c>
      <c r="H14" s="49"/>
      <c r="I14" s="49"/>
      <c r="J14" s="49"/>
      <c r="K14" s="49"/>
      <c r="L14" s="4"/>
      <c r="M14" s="4"/>
      <c r="N14" s="4"/>
      <c r="O14" s="4"/>
      <c r="P14" s="4"/>
    </row>
    <row r="15" spans="1:16" ht="13.05" customHeight="1" x14ac:dyDescent="0.3">
      <c r="A15" s="8" t="s">
        <v>87</v>
      </c>
      <c r="B15" s="8" t="s">
        <v>42</v>
      </c>
      <c r="C15" s="8" t="s">
        <v>64</v>
      </c>
      <c r="D15" s="50" t="s">
        <v>65</v>
      </c>
      <c r="E15" s="9" t="s">
        <v>77</v>
      </c>
      <c r="F15" s="8" t="s">
        <v>86</v>
      </c>
      <c r="G15" s="8" t="s">
        <v>71</v>
      </c>
      <c r="H15" s="8" t="s">
        <v>67</v>
      </c>
      <c r="I15" s="8" t="s">
        <v>68</v>
      </c>
      <c r="J15" s="8" t="s">
        <v>89</v>
      </c>
      <c r="K15" s="8" t="s">
        <v>69</v>
      </c>
      <c r="L15" s="8" t="s">
        <v>80</v>
      </c>
      <c r="M15" s="8"/>
      <c r="N15" s="8" t="s">
        <v>1</v>
      </c>
      <c r="O15" s="8" t="s">
        <v>70</v>
      </c>
      <c r="P15" s="8" t="s">
        <v>73</v>
      </c>
    </row>
    <row r="16" spans="1:16" ht="13.05" customHeight="1" x14ac:dyDescent="0.3">
      <c r="A16" s="51"/>
      <c r="B16" s="8"/>
      <c r="C16" s="8"/>
      <c r="D16" s="50" t="s">
        <v>111</v>
      </c>
      <c r="E16" s="9" t="s">
        <v>112</v>
      </c>
      <c r="F16" s="9" t="s">
        <v>112</v>
      </c>
      <c r="G16" s="9" t="s">
        <v>112</v>
      </c>
      <c r="H16" s="9" t="s">
        <v>112</v>
      </c>
      <c r="I16" s="9" t="s">
        <v>112</v>
      </c>
      <c r="J16" s="9" t="s">
        <v>112</v>
      </c>
      <c r="K16" s="9" t="s">
        <v>112</v>
      </c>
      <c r="L16" s="9" t="s">
        <v>112</v>
      </c>
      <c r="M16" s="9"/>
      <c r="N16" s="9" t="s">
        <v>72</v>
      </c>
      <c r="O16" s="9" t="s">
        <v>72</v>
      </c>
      <c r="P16" s="9" t="s">
        <v>111</v>
      </c>
    </row>
    <row r="17" spans="1:16" x14ac:dyDescent="0.3">
      <c r="A17" s="52">
        <v>44115</v>
      </c>
      <c r="B17" s="6" t="s">
        <v>83</v>
      </c>
      <c r="C17" s="58">
        <v>6.99</v>
      </c>
      <c r="D17" s="59">
        <v>511.41359999999997</v>
      </c>
      <c r="E17" s="6">
        <v>50</v>
      </c>
      <c r="F17" s="6">
        <v>300</v>
      </c>
      <c r="G17" s="55">
        <f>K17/2</f>
        <v>25.570679999999999</v>
      </c>
      <c r="H17" s="55">
        <f>K17-G17-I17-J17</f>
        <v>5.1141359999999985</v>
      </c>
      <c r="I17" s="55">
        <f>K17/5</f>
        <v>10.228272</v>
      </c>
      <c r="J17" s="55">
        <f>K17/5</f>
        <v>10.228272</v>
      </c>
      <c r="K17" s="9">
        <f>E17*D17/500</f>
        <v>51.141359999999999</v>
      </c>
      <c r="L17" s="56">
        <f t="shared" ref="L17" si="5">K17*20/100</f>
        <v>10.228271999999999</v>
      </c>
      <c r="M17" s="56"/>
      <c r="N17" s="6">
        <v>1</v>
      </c>
      <c r="O17" s="6">
        <v>1</v>
      </c>
      <c r="P17" s="6">
        <v>500</v>
      </c>
    </row>
    <row r="18" spans="1:16" x14ac:dyDescent="0.3">
      <c r="A18" s="52">
        <v>42124</v>
      </c>
      <c r="B18" s="53" t="s">
        <v>26</v>
      </c>
      <c r="C18" s="57">
        <v>2.4219997576114571</v>
      </c>
      <c r="D18" s="56">
        <v>337.61777142857136</v>
      </c>
      <c r="E18" s="6">
        <v>75</v>
      </c>
      <c r="F18" s="53">
        <v>300</v>
      </c>
      <c r="G18" s="55">
        <f>K18/2</f>
        <v>25.321332857142849</v>
      </c>
      <c r="H18" s="55">
        <f>K18-G18-I18-J18</f>
        <v>15.192799714285711</v>
      </c>
      <c r="I18" s="55">
        <f>K18/10</f>
        <v>5.0642665714285702</v>
      </c>
      <c r="J18" s="55">
        <f>K18/10</f>
        <v>5.0642665714285702</v>
      </c>
      <c r="K18" s="9">
        <f>E18*D18/500</f>
        <v>50.642665714285698</v>
      </c>
      <c r="L18" s="56">
        <f>K18*20/100</f>
        <v>10.12853314285714</v>
      </c>
      <c r="M18" s="56"/>
      <c r="N18" s="6">
        <v>1</v>
      </c>
      <c r="O18" s="6">
        <v>1</v>
      </c>
      <c r="P18" s="6">
        <v>500</v>
      </c>
    </row>
    <row r="20" spans="1:16" x14ac:dyDescent="0.3">
      <c r="C20" s="60"/>
      <c r="D20" s="61"/>
      <c r="E20" s="6"/>
      <c r="F20" s="53"/>
      <c r="G20" s="55"/>
      <c r="H20" s="55"/>
      <c r="I20" s="55"/>
      <c r="J20" s="55"/>
      <c r="K20" s="9"/>
      <c r="L20" s="56"/>
    </row>
  </sheetData>
  <mergeCells count="4">
    <mergeCell ref="A3:E3"/>
    <mergeCell ref="A14:E14"/>
    <mergeCell ref="G14:K14"/>
    <mergeCell ref="G3:K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zoomScaleNormal="100" workbookViewId="0"/>
  </sheetViews>
  <sheetFormatPr defaultRowHeight="14.4" x14ac:dyDescent="0.3"/>
  <cols>
    <col min="1" max="1" width="26" style="43" customWidth="1"/>
    <col min="2" max="2" width="9.21875" style="43"/>
    <col min="3" max="6" width="10.77734375" style="15" customWidth="1"/>
    <col min="7" max="7" width="12.77734375" style="43" customWidth="1"/>
    <col min="8" max="9" width="10.77734375" style="15" customWidth="1"/>
    <col min="10" max="10" width="9.21875" style="14"/>
    <col min="11" max="16384" width="8.88671875" style="15"/>
  </cols>
  <sheetData>
    <row r="1" spans="1:10" x14ac:dyDescent="0.3">
      <c r="A1" s="33"/>
      <c r="B1" s="14"/>
      <c r="G1" s="16" t="s">
        <v>41</v>
      </c>
      <c r="H1" s="34"/>
      <c r="I1" s="16"/>
    </row>
    <row r="2" spans="1:10" s="18" customFormat="1" x14ac:dyDescent="0.3">
      <c r="A2" s="35" t="s">
        <v>63</v>
      </c>
      <c r="B2" s="36"/>
      <c r="C2" s="22">
        <f>500000/C49</f>
        <v>1.1972715607415898</v>
      </c>
      <c r="D2" s="22">
        <f>500000/D49</f>
        <v>0.99711122447100298</v>
      </c>
      <c r="E2" s="22"/>
      <c r="G2" s="22"/>
      <c r="H2" s="22"/>
    </row>
    <row r="3" spans="1:10" s="18" customFormat="1" x14ac:dyDescent="0.3">
      <c r="A3" s="33" t="s">
        <v>49</v>
      </c>
      <c r="B3" s="37"/>
      <c r="C3" s="17">
        <v>42124</v>
      </c>
      <c r="D3" s="17">
        <v>42124</v>
      </c>
      <c r="E3" s="17"/>
      <c r="G3" s="17">
        <v>42124</v>
      </c>
      <c r="H3" s="17">
        <v>42124</v>
      </c>
      <c r="J3" s="14" t="s">
        <v>122</v>
      </c>
    </row>
    <row r="4" spans="1:10" s="18" customFormat="1" x14ac:dyDescent="0.3">
      <c r="A4" s="33" t="s">
        <v>42</v>
      </c>
      <c r="B4" s="37"/>
      <c r="C4" s="17" t="s">
        <v>85</v>
      </c>
      <c r="D4" s="17" t="s">
        <v>84</v>
      </c>
      <c r="E4" s="17"/>
      <c r="G4" s="17" t="s">
        <v>85</v>
      </c>
      <c r="H4" s="17" t="s">
        <v>84</v>
      </c>
      <c r="J4" s="14" t="s">
        <v>93</v>
      </c>
    </row>
    <row r="5" spans="1:10" s="18" customFormat="1" x14ac:dyDescent="0.3">
      <c r="A5" s="23" t="s">
        <v>50</v>
      </c>
      <c r="B5" s="36"/>
      <c r="C5" s="38">
        <v>3.48</v>
      </c>
      <c r="D5" s="38">
        <v>2.42</v>
      </c>
      <c r="E5" s="38"/>
      <c r="G5" s="38">
        <v>3.48</v>
      </c>
      <c r="H5" s="38">
        <v>2.42</v>
      </c>
      <c r="J5" s="14" t="s">
        <v>94</v>
      </c>
    </row>
    <row r="6" spans="1:10" s="18" customFormat="1" x14ac:dyDescent="0.3">
      <c r="A6" s="23"/>
      <c r="B6" s="36"/>
      <c r="J6" s="14"/>
    </row>
    <row r="7" spans="1:10" s="18" customFormat="1" ht="16.2" x14ac:dyDescent="0.3">
      <c r="A7" s="23" t="s">
        <v>128</v>
      </c>
      <c r="B7" s="23"/>
    </row>
    <row r="8" spans="1:10" s="18" customFormat="1" x14ac:dyDescent="0.3">
      <c r="A8" s="23" t="s">
        <v>43</v>
      </c>
      <c r="B8" s="23"/>
      <c r="C8" s="17">
        <v>44015</v>
      </c>
      <c r="D8" s="17">
        <v>44015</v>
      </c>
      <c r="E8" s="17"/>
      <c r="G8" s="17">
        <v>44015</v>
      </c>
      <c r="H8" s="17">
        <v>44015</v>
      </c>
    </row>
    <row r="9" spans="1:10" s="18" customFormat="1" x14ac:dyDescent="0.3">
      <c r="A9" s="23" t="s">
        <v>0</v>
      </c>
      <c r="B9" s="36" t="s">
        <v>96</v>
      </c>
      <c r="C9" s="18">
        <v>500</v>
      </c>
      <c r="D9" s="18">
        <v>500</v>
      </c>
      <c r="G9" s="18">
        <v>500</v>
      </c>
      <c r="H9" s="18">
        <v>500</v>
      </c>
    </row>
    <row r="10" spans="1:10" s="18" customFormat="1" x14ac:dyDescent="0.3">
      <c r="A10" s="23" t="s">
        <v>1</v>
      </c>
      <c r="B10" s="36" t="s">
        <v>2</v>
      </c>
      <c r="C10" s="18">
        <v>1</v>
      </c>
      <c r="D10" s="18">
        <v>1</v>
      </c>
      <c r="G10" s="18">
        <v>1</v>
      </c>
      <c r="H10" s="18">
        <v>1</v>
      </c>
    </row>
    <row r="11" spans="1:10" s="18" customFormat="1" x14ac:dyDescent="0.3">
      <c r="A11" s="23" t="s">
        <v>44</v>
      </c>
      <c r="B11" s="36" t="s">
        <v>2</v>
      </c>
      <c r="C11" s="18">
        <v>1</v>
      </c>
      <c r="D11" s="18">
        <v>1</v>
      </c>
      <c r="G11" s="18">
        <v>1</v>
      </c>
      <c r="H11" s="18">
        <v>1</v>
      </c>
    </row>
    <row r="12" spans="1:10" s="18" customFormat="1" x14ac:dyDescent="0.3">
      <c r="A12" s="23" t="s">
        <v>45</v>
      </c>
      <c r="B12" s="23"/>
      <c r="C12" s="19" t="s">
        <v>27</v>
      </c>
      <c r="D12" s="19" t="s">
        <v>28</v>
      </c>
      <c r="E12" s="19"/>
      <c r="G12" s="19" t="s">
        <v>27</v>
      </c>
      <c r="H12" s="19" t="s">
        <v>28</v>
      </c>
    </row>
    <row r="13" spans="1:10" s="18" customFormat="1" x14ac:dyDescent="0.3">
      <c r="A13" s="23" t="s">
        <v>127</v>
      </c>
      <c r="C13" s="18">
        <v>15</v>
      </c>
      <c r="D13" s="18">
        <v>15</v>
      </c>
      <c r="G13" s="18">
        <v>15</v>
      </c>
      <c r="H13" s="18">
        <v>15</v>
      </c>
    </row>
    <row r="14" spans="1:10" s="18" customFormat="1" x14ac:dyDescent="0.3">
      <c r="A14" s="23" t="s">
        <v>46</v>
      </c>
      <c r="B14" s="37"/>
      <c r="C14" s="18" t="s">
        <v>47</v>
      </c>
      <c r="D14" s="18" t="s">
        <v>47</v>
      </c>
      <c r="G14" s="18" t="s">
        <v>47</v>
      </c>
      <c r="H14" s="18" t="s">
        <v>47</v>
      </c>
      <c r="J14" s="18" t="s">
        <v>95</v>
      </c>
    </row>
    <row r="15" spans="1:10" s="18" customFormat="1" x14ac:dyDescent="0.3">
      <c r="A15" s="23"/>
      <c r="B15" s="37"/>
    </row>
    <row r="16" spans="1:10" s="18" customFormat="1" ht="16.2" x14ac:dyDescent="0.3">
      <c r="A16" s="33" t="s">
        <v>129</v>
      </c>
      <c r="B16" s="23"/>
      <c r="C16" s="17">
        <v>44026</v>
      </c>
      <c r="D16" s="17">
        <v>44026</v>
      </c>
      <c r="E16" s="17"/>
      <c r="G16" s="17">
        <v>44026</v>
      </c>
      <c r="H16" s="17">
        <v>44026</v>
      </c>
      <c r="J16" s="14"/>
    </row>
    <row r="17" spans="1:20" s="18" customFormat="1" x14ac:dyDescent="0.3">
      <c r="A17" s="23" t="s">
        <v>48</v>
      </c>
      <c r="B17" s="23"/>
      <c r="C17" s="18">
        <v>3</v>
      </c>
      <c r="D17" s="18">
        <v>4</v>
      </c>
      <c r="G17" s="18">
        <v>3</v>
      </c>
      <c r="H17" s="18">
        <v>4</v>
      </c>
      <c r="J17" s="14"/>
    </row>
    <row r="18" spans="1:20" s="18" customFormat="1" x14ac:dyDescent="0.3">
      <c r="A18" s="23" t="s">
        <v>3</v>
      </c>
      <c r="B18" s="36"/>
      <c r="C18" s="18">
        <v>15</v>
      </c>
      <c r="D18" s="18">
        <v>15</v>
      </c>
      <c r="G18" s="18">
        <v>15</v>
      </c>
      <c r="H18" s="18">
        <v>15</v>
      </c>
      <c r="J18" s="14"/>
    </row>
    <row r="19" spans="1:20" s="18" customFormat="1" x14ac:dyDescent="0.3">
      <c r="A19" s="23" t="s">
        <v>46</v>
      </c>
      <c r="B19" s="37"/>
      <c r="C19" s="18" t="s">
        <v>47</v>
      </c>
      <c r="D19" s="18" t="s">
        <v>47</v>
      </c>
      <c r="G19" s="18" t="s">
        <v>47</v>
      </c>
      <c r="H19" s="18" t="s">
        <v>47</v>
      </c>
      <c r="K19" s="15"/>
      <c r="L19" s="15"/>
      <c r="M19" s="15"/>
    </row>
    <row r="20" spans="1:20" x14ac:dyDescent="0.3">
      <c r="A20" s="23"/>
      <c r="B20" s="37"/>
      <c r="C20" s="15" t="s">
        <v>123</v>
      </c>
      <c r="G20" s="15"/>
      <c r="K20" s="18"/>
      <c r="L20" s="18"/>
      <c r="M20" s="18"/>
    </row>
    <row r="21" spans="1:20" x14ac:dyDescent="0.3">
      <c r="A21" s="23"/>
      <c r="B21" s="37"/>
      <c r="C21" s="34" t="s">
        <v>124</v>
      </c>
      <c r="G21" s="15"/>
      <c r="K21" s="18"/>
      <c r="L21" s="18"/>
      <c r="M21" s="18"/>
    </row>
    <row r="22" spans="1:20" x14ac:dyDescent="0.3">
      <c r="A22" s="37" t="s">
        <v>59</v>
      </c>
      <c r="B22" s="37"/>
      <c r="C22" s="39">
        <v>3123.16</v>
      </c>
      <c r="G22" s="20">
        <f t="shared" ref="G22:H23" si="0">C22*C$2</f>
        <v>3739.2706476457033</v>
      </c>
      <c r="H22" s="20"/>
    </row>
    <row r="23" spans="1:20" x14ac:dyDescent="0.3">
      <c r="A23" s="37" t="s">
        <v>4</v>
      </c>
      <c r="B23" s="37"/>
      <c r="C23" s="39">
        <v>13899.56</v>
      </c>
      <c r="D23" s="39">
        <v>11770.53</v>
      </c>
      <c r="E23" s="39"/>
      <c r="G23" s="20">
        <f t="shared" si="0"/>
        <v>16641.547894821371</v>
      </c>
      <c r="H23" s="20">
        <f t="shared" si="0"/>
        <v>11736.527580972675</v>
      </c>
      <c r="I23" s="39"/>
      <c r="K23" s="39"/>
      <c r="L23" s="39"/>
      <c r="M23" s="39"/>
      <c r="N23" s="39"/>
      <c r="O23" s="39"/>
      <c r="P23" s="39"/>
      <c r="Q23" s="39"/>
      <c r="R23" s="39"/>
      <c r="S23" s="39"/>
      <c r="T23" s="39"/>
    </row>
    <row r="24" spans="1:20" x14ac:dyDescent="0.3">
      <c r="A24" s="37" t="s">
        <v>5</v>
      </c>
      <c r="B24" s="37"/>
      <c r="C24" s="39">
        <v>27378.99</v>
      </c>
      <c r="D24" s="39">
        <v>12247.48</v>
      </c>
      <c r="E24" s="39"/>
      <c r="G24" s="20">
        <f t="shared" ref="G24:G48" si="1">C24*C$2</f>
        <v>32780.086088828379</v>
      </c>
      <c r="H24" s="20">
        <f t="shared" ref="H24:H48" si="2">D24*D$2</f>
        <v>12212.099779484119</v>
      </c>
      <c r="I24" s="39"/>
      <c r="K24" s="39"/>
      <c r="L24" s="39"/>
      <c r="M24" s="39"/>
      <c r="N24" s="39"/>
      <c r="O24" s="39"/>
      <c r="P24" s="39"/>
      <c r="Q24" s="39"/>
      <c r="R24" s="39"/>
      <c r="S24" s="39"/>
      <c r="T24" s="39"/>
    </row>
    <row r="25" spans="1:20" x14ac:dyDescent="0.3">
      <c r="A25" s="37" t="s">
        <v>60</v>
      </c>
      <c r="B25" s="37"/>
      <c r="C25" s="39">
        <v>6383.24</v>
      </c>
      <c r="D25" s="39">
        <v>2984.23</v>
      </c>
      <c r="E25" s="39"/>
      <c r="G25" s="20">
        <f t="shared" si="1"/>
        <v>7642.4717173881454</v>
      </c>
      <c r="H25" s="20">
        <f t="shared" si="2"/>
        <v>2975.6092294031014</v>
      </c>
      <c r="I25" s="39"/>
      <c r="J25" s="14" t="s">
        <v>62</v>
      </c>
      <c r="K25" s="39"/>
      <c r="L25" s="39"/>
      <c r="M25" s="39"/>
      <c r="N25" s="39"/>
      <c r="O25" s="39"/>
      <c r="P25" s="39"/>
      <c r="Q25" s="39"/>
      <c r="R25" s="39"/>
      <c r="S25" s="39"/>
      <c r="T25" s="39"/>
    </row>
    <row r="26" spans="1:20" x14ac:dyDescent="0.3">
      <c r="A26" s="37" t="s">
        <v>6</v>
      </c>
      <c r="B26" s="37"/>
      <c r="C26" s="39">
        <v>17004.060000000001</v>
      </c>
      <c r="D26" s="39">
        <v>9428.52</v>
      </c>
      <c r="E26" s="39"/>
      <c r="G26" s="20">
        <f t="shared" si="1"/>
        <v>20358.477455143639</v>
      </c>
      <c r="H26" s="20">
        <f t="shared" si="2"/>
        <v>9401.2831221493416</v>
      </c>
      <c r="I26" s="39"/>
      <c r="J26" s="14" t="s">
        <v>51</v>
      </c>
      <c r="K26" s="39"/>
      <c r="L26" s="39"/>
      <c r="M26" s="39"/>
      <c r="N26" s="39"/>
      <c r="O26" s="39"/>
      <c r="P26" s="39"/>
      <c r="Q26" s="39"/>
      <c r="R26" s="39"/>
      <c r="S26" s="39"/>
      <c r="T26" s="39"/>
    </row>
    <row r="27" spans="1:20" x14ac:dyDescent="0.3">
      <c r="A27" s="37" t="s">
        <v>61</v>
      </c>
      <c r="B27" s="37"/>
      <c r="C27" s="39">
        <v>1538.01</v>
      </c>
      <c r="D27" s="39">
        <v>2502.6799999999998</v>
      </c>
      <c r="E27" s="39"/>
      <c r="G27" s="20">
        <f t="shared" si="1"/>
        <v>1841.4156331361726</v>
      </c>
      <c r="H27" s="20">
        <f t="shared" si="2"/>
        <v>2495.4503192590896</v>
      </c>
      <c r="I27" s="39"/>
      <c r="J27" s="14" t="s">
        <v>52</v>
      </c>
      <c r="K27" s="39"/>
      <c r="L27" s="39"/>
      <c r="M27" s="39"/>
      <c r="N27" s="39"/>
      <c r="O27" s="39"/>
      <c r="P27" s="39"/>
      <c r="Q27" s="39"/>
      <c r="R27" s="39"/>
      <c r="S27" s="39"/>
      <c r="T27" s="39"/>
    </row>
    <row r="28" spans="1:20" x14ac:dyDescent="0.3">
      <c r="A28" s="37" t="s">
        <v>7</v>
      </c>
      <c r="B28" s="37"/>
      <c r="C28" s="39">
        <v>11770.48</v>
      </c>
      <c r="D28" s="39">
        <v>4473.37</v>
      </c>
      <c r="E28" s="39"/>
      <c r="G28" s="20">
        <f t="shared" si="1"/>
        <v>14092.460960277667</v>
      </c>
      <c r="H28" s="20">
        <f t="shared" si="2"/>
        <v>4460.4474382118506</v>
      </c>
      <c r="I28" s="39"/>
      <c r="J28" s="14" t="s">
        <v>53</v>
      </c>
      <c r="K28" s="39"/>
      <c r="L28" s="39"/>
      <c r="M28" s="39"/>
      <c r="N28" s="39"/>
      <c r="O28" s="39"/>
      <c r="P28" s="39"/>
      <c r="Q28" s="39"/>
      <c r="R28" s="39"/>
      <c r="S28" s="39"/>
      <c r="T28" s="39"/>
    </row>
    <row r="29" spans="1:20" x14ac:dyDescent="0.3">
      <c r="A29" s="37" t="s">
        <v>31</v>
      </c>
      <c r="B29" s="37"/>
      <c r="C29" s="39">
        <v>451.99</v>
      </c>
      <c r="D29" s="39">
        <v>6925.64</v>
      </c>
      <c r="E29" s="39"/>
      <c r="G29" s="20">
        <f t="shared" si="1"/>
        <v>541.15477273959118</v>
      </c>
      <c r="H29" s="20">
        <f t="shared" si="2"/>
        <v>6905.6333806453576</v>
      </c>
      <c r="I29" s="39"/>
      <c r="J29" s="14" t="s">
        <v>56</v>
      </c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x14ac:dyDescent="0.3">
      <c r="A30" s="37" t="s">
        <v>32</v>
      </c>
      <c r="B30" s="37"/>
      <c r="D30" s="39">
        <v>2046.25</v>
      </c>
      <c r="E30" s="39"/>
      <c r="G30" s="20"/>
      <c r="H30" s="20">
        <f t="shared" si="2"/>
        <v>2040.3388430737898</v>
      </c>
      <c r="I30" s="39"/>
      <c r="J30" s="14" t="s">
        <v>57</v>
      </c>
      <c r="K30" s="39"/>
      <c r="L30" s="39"/>
      <c r="M30" s="39"/>
      <c r="N30" s="39"/>
      <c r="O30" s="39"/>
      <c r="P30" s="39"/>
      <c r="Q30" s="39"/>
      <c r="R30" s="39"/>
      <c r="S30" s="39"/>
      <c r="T30" s="39"/>
    </row>
    <row r="31" spans="1:20" x14ac:dyDescent="0.3">
      <c r="A31" s="33" t="s">
        <v>8</v>
      </c>
      <c r="B31" s="37"/>
      <c r="C31" s="21">
        <f>SUM(C23,C24,C26,C28)</f>
        <v>70053.09</v>
      </c>
      <c r="D31" s="21">
        <f>SUM(D23,D24,D26,D28)</f>
        <v>37919.9</v>
      </c>
      <c r="E31" s="21"/>
      <c r="G31" s="20">
        <f t="shared" si="1"/>
        <v>83872.572399071054</v>
      </c>
      <c r="H31" s="20">
        <f t="shared" si="2"/>
        <v>37810.357920817987</v>
      </c>
      <c r="I31" s="39"/>
      <c r="J31" s="40"/>
      <c r="K31" s="39"/>
      <c r="L31" s="39"/>
      <c r="M31" s="39"/>
      <c r="N31" s="39"/>
      <c r="O31" s="39"/>
      <c r="P31" s="39"/>
      <c r="Q31" s="39"/>
      <c r="R31" s="39"/>
      <c r="S31" s="39"/>
      <c r="T31" s="39"/>
    </row>
    <row r="32" spans="1:20" x14ac:dyDescent="0.3">
      <c r="A32" s="33" t="s">
        <v>9</v>
      </c>
      <c r="B32" s="37"/>
      <c r="C32" s="21">
        <f>SUM(C22,C29:C30,C25,C27)</f>
        <v>11496.4</v>
      </c>
      <c r="D32" s="21">
        <f>SUM(D22,D29:D30,D25,D27)</f>
        <v>14458.8</v>
      </c>
      <c r="E32" s="21"/>
      <c r="G32" s="20">
        <f t="shared" si="1"/>
        <v>13764.312770909613</v>
      </c>
      <c r="H32" s="20">
        <f t="shared" si="2"/>
        <v>14417.031772381337</v>
      </c>
      <c r="I32" s="39"/>
      <c r="J32" s="40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x14ac:dyDescent="0.3">
      <c r="A33" s="37" t="s">
        <v>10</v>
      </c>
      <c r="B33" s="37"/>
      <c r="C33" s="39">
        <v>16211.54</v>
      </c>
      <c r="D33" s="39">
        <v>8139.02</v>
      </c>
      <c r="E33" s="39"/>
      <c r="G33" s="20">
        <f t="shared" si="1"/>
        <v>19409.615797824714</v>
      </c>
      <c r="H33" s="20">
        <f t="shared" si="2"/>
        <v>8115.5081981939829</v>
      </c>
      <c r="I33" s="39"/>
      <c r="J33" s="40"/>
      <c r="K33" s="39"/>
      <c r="L33" s="39"/>
      <c r="M33" s="39"/>
      <c r="N33" s="39"/>
      <c r="O33" s="39"/>
      <c r="P33" s="39"/>
      <c r="Q33" s="39"/>
      <c r="R33" s="39"/>
      <c r="S33" s="39"/>
      <c r="T33" s="39"/>
    </row>
    <row r="34" spans="1:20" x14ac:dyDescent="0.3">
      <c r="A34" s="36" t="s">
        <v>11</v>
      </c>
      <c r="B34" s="37"/>
      <c r="C34" s="39">
        <v>96592.51</v>
      </c>
      <c r="D34" s="39">
        <v>22648.63</v>
      </c>
      <c r="E34" s="39"/>
      <c r="G34" s="20">
        <f t="shared" si="1"/>
        <v>115647.46520364762</v>
      </c>
      <c r="H34" s="20">
        <f t="shared" si="2"/>
        <v>22583.203191890694</v>
      </c>
      <c r="I34" s="39"/>
      <c r="J34" s="40"/>
      <c r="K34" s="39"/>
      <c r="L34" s="39"/>
      <c r="M34" s="39"/>
      <c r="N34" s="39"/>
      <c r="O34" s="39"/>
      <c r="P34" s="39"/>
      <c r="Q34" s="39"/>
      <c r="R34" s="39"/>
      <c r="S34" s="39"/>
      <c r="T34" s="39"/>
    </row>
    <row r="35" spans="1:20" x14ac:dyDescent="0.3">
      <c r="A35" s="41" t="s">
        <v>35</v>
      </c>
      <c r="B35" s="37"/>
      <c r="C35" s="21">
        <f>C34-C36-C37</f>
        <v>85026.186935572608</v>
      </c>
      <c r="D35" s="21">
        <f>D34-D36-D37</f>
        <v>18879.350300869733</v>
      </c>
      <c r="E35" s="21"/>
      <c r="G35" s="20">
        <f t="shared" si="1"/>
        <v>101799.43553625919</v>
      </c>
      <c r="H35" s="20">
        <f t="shared" si="2"/>
        <v>18824.812095717218</v>
      </c>
      <c r="I35" s="39"/>
      <c r="J35" s="40"/>
      <c r="K35" s="39"/>
      <c r="L35" s="39"/>
      <c r="M35" s="39"/>
      <c r="N35" s="39"/>
      <c r="O35" s="39"/>
      <c r="P35" s="39"/>
      <c r="Q35" s="39"/>
      <c r="R35" s="39"/>
      <c r="S35" s="39"/>
      <c r="T35" s="39"/>
    </row>
    <row r="36" spans="1:20" x14ac:dyDescent="0.3">
      <c r="A36" s="41" t="s">
        <v>120</v>
      </c>
      <c r="B36" s="37"/>
      <c r="C36" s="20">
        <f>C28*C78/C76</f>
        <v>4601.2409044462493</v>
      </c>
      <c r="D36" s="20">
        <f>D28*D78/D76</f>
        <v>2402.8820977284054</v>
      </c>
      <c r="E36" s="21"/>
      <c r="G36" s="20">
        <f t="shared" si="1"/>
        <v>5508.9348790144049</v>
      </c>
      <c r="H36" s="20">
        <f t="shared" si="2"/>
        <v>2395.9407107254224</v>
      </c>
      <c r="I36" s="39"/>
      <c r="J36" s="40"/>
      <c r="K36" s="39"/>
      <c r="L36" s="39"/>
      <c r="M36" s="39"/>
      <c r="N36" s="39"/>
      <c r="O36" s="39"/>
      <c r="P36" s="39"/>
      <c r="Q36" s="39"/>
      <c r="R36" s="39"/>
      <c r="S36" s="39"/>
      <c r="T36" s="39"/>
    </row>
    <row r="37" spans="1:20" x14ac:dyDescent="0.3">
      <c r="A37" s="41" t="s">
        <v>119</v>
      </c>
      <c r="B37" s="37"/>
      <c r="C37" s="20">
        <f>C28*C79/C76</f>
        <v>6965.0821599811352</v>
      </c>
      <c r="D37" s="20">
        <f>D28*D79/D76</f>
        <v>1366.3976014018615</v>
      </c>
      <c r="E37" s="21"/>
      <c r="G37" s="20">
        <f t="shared" ref="G37" si="3">C37*C$2</f>
        <v>8339.0947883740173</v>
      </c>
      <c r="H37" s="20">
        <f t="shared" ref="H37" si="4">D37*D$2</f>
        <v>1362.4503854480515</v>
      </c>
      <c r="I37" s="39"/>
      <c r="J37" s="40"/>
      <c r="K37" s="39"/>
      <c r="L37" s="39"/>
      <c r="M37" s="39"/>
      <c r="N37" s="39"/>
      <c r="O37" s="39"/>
      <c r="P37" s="39"/>
      <c r="Q37" s="39"/>
      <c r="R37" s="39"/>
      <c r="S37" s="39"/>
      <c r="T37" s="39"/>
    </row>
    <row r="38" spans="1:20" x14ac:dyDescent="0.3">
      <c r="A38" s="36" t="s">
        <v>36</v>
      </c>
      <c r="B38" s="37"/>
      <c r="C38" s="39">
        <v>2433.61</v>
      </c>
      <c r="D38" s="39">
        <v>6562.1</v>
      </c>
      <c r="E38" s="39"/>
      <c r="G38" s="20">
        <f t="shared" si="1"/>
        <v>2913.6920429363404</v>
      </c>
      <c r="H38" s="20">
        <f t="shared" si="2"/>
        <v>6543.1435661011692</v>
      </c>
      <c r="I38" s="39"/>
      <c r="J38" s="40"/>
      <c r="K38" s="39"/>
      <c r="L38" s="39"/>
      <c r="M38" s="39"/>
      <c r="N38" s="39"/>
      <c r="O38" s="39"/>
      <c r="P38" s="39"/>
      <c r="Q38" s="39"/>
      <c r="R38" s="39"/>
      <c r="S38" s="39"/>
      <c r="T38" s="39"/>
    </row>
    <row r="39" spans="1:20" x14ac:dyDescent="0.3">
      <c r="A39" s="36" t="s">
        <v>12</v>
      </c>
      <c r="B39" s="37"/>
      <c r="C39" s="39">
        <v>46413.52</v>
      </c>
      <c r="D39" s="29">
        <v>10750</v>
      </c>
      <c r="E39" s="29"/>
      <c r="G39" s="20">
        <f t="shared" si="1"/>
        <v>55569.58752991099</v>
      </c>
      <c r="H39" s="20">
        <f t="shared" si="2"/>
        <v>10718.945663063281</v>
      </c>
      <c r="I39" s="39"/>
      <c r="J39" s="40"/>
      <c r="K39" s="39"/>
      <c r="L39" s="39"/>
      <c r="M39" s="39"/>
      <c r="N39" s="39"/>
      <c r="O39" s="39"/>
      <c r="P39" s="39"/>
      <c r="Q39" s="39"/>
      <c r="R39" s="39"/>
      <c r="S39" s="39"/>
      <c r="T39" s="39"/>
    </row>
    <row r="40" spans="1:20" x14ac:dyDescent="0.3">
      <c r="A40" s="41" t="s">
        <v>54</v>
      </c>
      <c r="B40" s="37"/>
      <c r="C40" s="20">
        <f>C28*C80/C76</f>
        <v>21422.908891974745</v>
      </c>
      <c r="D40" s="20">
        <f>D28*D80/D76</f>
        <v>3847.6857509686029</v>
      </c>
      <c r="E40" s="21"/>
      <c r="G40" s="20">
        <f t="shared" si="1"/>
        <v>25649.039564719485</v>
      </c>
      <c r="H40" s="20">
        <f t="shared" si="2"/>
        <v>3836.570650527934</v>
      </c>
      <c r="I40" s="39"/>
      <c r="J40" s="40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x14ac:dyDescent="0.3">
      <c r="A41" s="41" t="s">
        <v>58</v>
      </c>
      <c r="B41" s="37"/>
      <c r="C41" s="20">
        <f>(C39-C40)*C93</f>
        <v>16360.445538880283</v>
      </c>
      <c r="D41" s="20">
        <f>(D39-D40)*D93</f>
        <v>2747.5458827071088</v>
      </c>
      <c r="E41" s="21"/>
      <c r="G41" s="20">
        <f t="shared" si="1"/>
        <v>19587.896164762977</v>
      </c>
      <c r="H41" s="20">
        <f t="shared" si="2"/>
        <v>2739.6088393963482</v>
      </c>
      <c r="I41" s="39"/>
      <c r="J41" s="40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x14ac:dyDescent="0.3">
      <c r="A42" s="36" t="s">
        <v>25</v>
      </c>
      <c r="B42" s="37"/>
      <c r="C42" s="39">
        <v>41809.269999999997</v>
      </c>
      <c r="D42" s="39">
        <v>73871.06</v>
      </c>
      <c r="E42" s="39"/>
      <c r="G42" s="20">
        <f t="shared" si="1"/>
        <v>50057.049946366526</v>
      </c>
      <c r="H42" s="20">
        <f t="shared" si="2"/>
        <v>73657.663089570924</v>
      </c>
      <c r="I42" s="39"/>
      <c r="J42" s="40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x14ac:dyDescent="0.3">
      <c r="A43" s="36" t="s">
        <v>14</v>
      </c>
      <c r="B43" s="37"/>
      <c r="C43" s="39">
        <v>5502</v>
      </c>
      <c r="G43" s="20">
        <f t="shared" si="1"/>
        <v>6587.3881272002272</v>
      </c>
      <c r="H43" s="20"/>
      <c r="I43" s="39"/>
      <c r="J43" s="40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x14ac:dyDescent="0.3">
      <c r="A44" s="36" t="s">
        <v>24</v>
      </c>
      <c r="B44" s="37"/>
      <c r="C44" s="39">
        <v>88507.31</v>
      </c>
      <c r="D44" s="39">
        <v>177933.78</v>
      </c>
      <c r="E44" s="39"/>
      <c r="G44" s="20">
        <f t="shared" si="1"/>
        <v>105967.28518073971</v>
      </c>
      <c r="H44" s="20">
        <f t="shared" si="2"/>
        <v>177419.76925055406</v>
      </c>
      <c r="I44" s="39"/>
      <c r="J44" s="40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x14ac:dyDescent="0.3">
      <c r="A45" s="36" t="s">
        <v>40</v>
      </c>
      <c r="B45" s="37"/>
      <c r="C45" s="39">
        <v>2615.3000000000002</v>
      </c>
      <c r="D45" s="39">
        <v>30929.599999999999</v>
      </c>
      <c r="E45" s="39"/>
      <c r="G45" s="20">
        <f t="shared" si="1"/>
        <v>3131.2243128074801</v>
      </c>
      <c r="H45" s="20">
        <f t="shared" si="2"/>
        <v>30840.251328398332</v>
      </c>
      <c r="I45" s="39"/>
      <c r="J45" s="40"/>
      <c r="K45" s="39"/>
      <c r="L45" s="39"/>
      <c r="M45" s="39"/>
      <c r="N45" s="39"/>
      <c r="O45" s="39"/>
      <c r="P45" s="39"/>
      <c r="Q45" s="39"/>
      <c r="R45" s="39"/>
      <c r="S45" s="39"/>
      <c r="T45" s="39"/>
    </row>
    <row r="46" spans="1:20" x14ac:dyDescent="0.3">
      <c r="A46" s="36" t="s">
        <v>32</v>
      </c>
      <c r="B46" s="37"/>
      <c r="D46" s="39">
        <v>10943.01</v>
      </c>
      <c r="E46" s="39"/>
      <c r="G46" s="20"/>
      <c r="H46" s="20">
        <f t="shared" si="2"/>
        <v>10911.398100498431</v>
      </c>
      <c r="I46" s="39"/>
      <c r="J46" s="40"/>
      <c r="K46" s="39"/>
      <c r="L46" s="39"/>
      <c r="M46" s="39"/>
      <c r="N46" s="39"/>
      <c r="O46" s="39"/>
      <c r="P46" s="39"/>
      <c r="Q46" s="39"/>
      <c r="R46" s="39"/>
      <c r="S46" s="39"/>
      <c r="T46" s="39"/>
    </row>
    <row r="47" spans="1:20" x14ac:dyDescent="0.3">
      <c r="A47" s="36" t="s">
        <v>30</v>
      </c>
      <c r="B47" s="37"/>
      <c r="C47" s="39">
        <v>320</v>
      </c>
      <c r="D47" s="39"/>
      <c r="E47" s="39"/>
      <c r="G47" s="20">
        <f t="shared" si="1"/>
        <v>383.12689943730874</v>
      </c>
      <c r="H47" s="20"/>
      <c r="I47" s="39"/>
      <c r="J47" s="40"/>
      <c r="K47" s="39"/>
      <c r="L47" s="39"/>
      <c r="M47" s="39"/>
      <c r="N47" s="39"/>
      <c r="O47" s="39"/>
      <c r="P47" s="39"/>
      <c r="Q47" s="39"/>
      <c r="R47" s="39"/>
      <c r="S47" s="39"/>
      <c r="T47" s="39"/>
    </row>
    <row r="48" spans="1:20" x14ac:dyDescent="0.3">
      <c r="A48" s="41" t="s">
        <v>55</v>
      </c>
      <c r="B48" s="37"/>
      <c r="C48" s="20">
        <f>C44*C95</f>
        <v>44291.815932494559</v>
      </c>
      <c r="D48" s="20">
        <f>D44*D95</f>
        <v>111447.44073122255</v>
      </c>
      <c r="E48" s="21"/>
      <c r="G48" s="20">
        <f t="shared" si="1"/>
        <v>53029.331589576977</v>
      </c>
      <c r="H48" s="20">
        <f t="shared" si="2"/>
        <v>111125.49409166885</v>
      </c>
      <c r="I48" s="39"/>
      <c r="J48" s="40"/>
      <c r="K48" s="39"/>
      <c r="L48" s="39"/>
      <c r="M48" s="39"/>
      <c r="N48" s="39"/>
      <c r="O48" s="39"/>
      <c r="P48" s="39"/>
      <c r="Q48" s="39"/>
      <c r="R48" s="39"/>
      <c r="S48" s="39"/>
      <c r="T48" s="39"/>
    </row>
    <row r="49" spans="1:8" x14ac:dyDescent="0.3">
      <c r="A49" s="42" t="s">
        <v>15</v>
      </c>
      <c r="B49" s="37"/>
      <c r="C49" s="21">
        <f>SUM(C31:C33,C35:C38,C40:C41,C42:C47,C48)</f>
        <v>417616.20036334952</v>
      </c>
      <c r="D49" s="21">
        <f>SUM(D31:D33,D35:D38,D40:D41,D42:D47,D48)</f>
        <v>501448.57236489822</v>
      </c>
      <c r="E49" s="21"/>
      <c r="F49" s="34"/>
      <c r="G49" s="21">
        <f>SUM(G31:G33,G35:G38,G40:G41,G42:G47,G48)</f>
        <v>500000.00000000006</v>
      </c>
      <c r="H49" s="21">
        <f>SUM(H31:H33,H35:H38,H40:H41,H42:H47,H48)</f>
        <v>500000.00000000006</v>
      </c>
    </row>
    <row r="50" spans="1:8" x14ac:dyDescent="0.3">
      <c r="A50" s="35"/>
      <c r="B50" s="15"/>
      <c r="G50" s="15"/>
    </row>
    <row r="51" spans="1:8" ht="16.2" x14ac:dyDescent="0.3">
      <c r="A51" s="33" t="s">
        <v>130</v>
      </c>
      <c r="B51" s="15"/>
      <c r="G51" s="15"/>
    </row>
    <row r="52" spans="1:8" x14ac:dyDescent="0.3">
      <c r="A52" s="41" t="s">
        <v>16</v>
      </c>
      <c r="B52" s="37"/>
      <c r="C52" s="20">
        <f>SUM(C32,C33,C35,C38)</f>
        <v>115167.73693557261</v>
      </c>
      <c r="D52" s="20">
        <f>SUM(D32,D33,D35,D38)</f>
        <v>48039.270300869735</v>
      </c>
      <c r="E52" s="20"/>
      <c r="G52" s="15"/>
    </row>
    <row r="53" spans="1:8" x14ac:dyDescent="0.3">
      <c r="A53" s="41" t="s">
        <v>17</v>
      </c>
      <c r="B53" s="37"/>
      <c r="C53" s="20">
        <f>SUM(C31,C36,C37,C40,C43,C47)</f>
        <v>108864.32195640213</v>
      </c>
      <c r="D53" s="20">
        <f>SUM(D31,D36,D37,D40,D43,D47)</f>
        <v>45536.86545009887</v>
      </c>
      <c r="E53" s="20"/>
      <c r="G53" s="15"/>
    </row>
    <row r="54" spans="1:8" x14ac:dyDescent="0.3">
      <c r="A54" s="41" t="s">
        <v>18</v>
      </c>
      <c r="B54" s="37"/>
      <c r="C54" s="20">
        <f>SUM(C42,C44,C48)</f>
        <v>174608.39593249455</v>
      </c>
      <c r="D54" s="20">
        <f>SUM(D42,D44,D48)</f>
        <v>363252.28073122253</v>
      </c>
      <c r="E54" s="20"/>
      <c r="G54" s="15"/>
    </row>
    <row r="55" spans="1:8" x14ac:dyDescent="0.3">
      <c r="A55" s="42"/>
      <c r="C55" s="24"/>
      <c r="D55" s="24"/>
      <c r="E55" s="24"/>
      <c r="G55" s="15"/>
    </row>
    <row r="56" spans="1:8" x14ac:dyDescent="0.3">
      <c r="A56" s="41" t="s">
        <v>19</v>
      </c>
      <c r="B56" s="44"/>
      <c r="C56" s="25">
        <f t="shared" ref="C56:D56" si="5">C52/C53</f>
        <v>1.0579015683549187</v>
      </c>
      <c r="D56" s="25">
        <f t="shared" si="5"/>
        <v>1.0549533839458736</v>
      </c>
      <c r="E56" s="25"/>
      <c r="G56" s="15"/>
    </row>
    <row r="57" spans="1:8" x14ac:dyDescent="0.3">
      <c r="A57" s="41" t="s">
        <v>92</v>
      </c>
      <c r="B57" s="44"/>
      <c r="C57" s="25">
        <f t="shared" ref="C57:D57" si="6">C54/C53</f>
        <v>1.6039083585384524</v>
      </c>
      <c r="D57" s="25">
        <f t="shared" si="6"/>
        <v>7.9771033236639663</v>
      </c>
      <c r="E57" s="25"/>
      <c r="G57" s="15"/>
    </row>
    <row r="58" spans="1:8" x14ac:dyDescent="0.3">
      <c r="A58" s="41" t="s">
        <v>20</v>
      </c>
      <c r="B58" s="44"/>
      <c r="C58" s="25">
        <f>C33/C35</f>
        <v>0.19066525954273436</v>
      </c>
      <c r="D58" s="25">
        <f>D33/D35</f>
        <v>0.43110699628392679</v>
      </c>
      <c r="E58" s="25"/>
      <c r="G58" s="15"/>
    </row>
    <row r="59" spans="1:8" x14ac:dyDescent="0.3">
      <c r="A59" s="41" t="s">
        <v>21</v>
      </c>
      <c r="B59" s="44"/>
      <c r="C59" s="25">
        <f>C31/C40</f>
        <v>3.2700083052793381</v>
      </c>
      <c r="D59" s="25">
        <f>D31/D40</f>
        <v>9.8552487012366274</v>
      </c>
      <c r="E59" s="25"/>
      <c r="G59" s="15"/>
    </row>
    <row r="60" spans="1:8" x14ac:dyDescent="0.3">
      <c r="A60" s="41" t="s">
        <v>22</v>
      </c>
      <c r="B60" s="44"/>
      <c r="C60" s="25">
        <f>(C42+C44)/C48</f>
        <v>2.9422270741532999</v>
      </c>
      <c r="D60" s="25">
        <f>(D42+D44)/D48</f>
        <v>2.2594044183327364</v>
      </c>
      <c r="E60" s="25"/>
      <c r="G60" s="15"/>
    </row>
    <row r="61" spans="1:8" x14ac:dyDescent="0.3">
      <c r="A61" s="41"/>
      <c r="B61" s="44"/>
      <c r="C61" s="26"/>
      <c r="D61" s="26"/>
      <c r="E61" s="26"/>
      <c r="G61" s="15"/>
    </row>
    <row r="62" spans="1:8" x14ac:dyDescent="0.3">
      <c r="A62" s="41" t="s">
        <v>34</v>
      </c>
      <c r="B62" s="45" t="s">
        <v>33</v>
      </c>
      <c r="C62" s="27">
        <f>100*C32/C52</f>
        <v>9.9823095477089581</v>
      </c>
      <c r="D62" s="27">
        <f>100*D32/D52</f>
        <v>30.097875986551418</v>
      </c>
      <c r="E62" s="27"/>
      <c r="G62" s="15"/>
    </row>
    <row r="63" spans="1:8" x14ac:dyDescent="0.3">
      <c r="A63" s="41" t="s">
        <v>10</v>
      </c>
      <c r="B63" s="45" t="s">
        <v>33</v>
      </c>
      <c r="C63" s="27">
        <f>100*C33/C52</f>
        <v>14.076459633021265</v>
      </c>
      <c r="D63" s="27">
        <f>100*D33/D52</f>
        <v>16.942430534488459</v>
      </c>
      <c r="E63" s="27"/>
      <c r="G63" s="15"/>
    </row>
    <row r="64" spans="1:8" x14ac:dyDescent="0.3">
      <c r="A64" s="41" t="s">
        <v>35</v>
      </c>
      <c r="B64" s="45" t="s">
        <v>33</v>
      </c>
      <c r="C64" s="27">
        <f>100*C35/C52</f>
        <v>73.828130340998314</v>
      </c>
      <c r="D64" s="27">
        <f>100*D35/D52</f>
        <v>39.299827375870713</v>
      </c>
      <c r="E64" s="27"/>
      <c r="G64" s="15"/>
    </row>
    <row r="65" spans="1:7" x14ac:dyDescent="0.3">
      <c r="A65" s="41" t="s">
        <v>36</v>
      </c>
      <c r="B65" s="45" t="s">
        <v>33</v>
      </c>
      <c r="C65" s="27">
        <f>100*C38/C52</f>
        <v>2.1131004782714586</v>
      </c>
      <c r="D65" s="27">
        <f>100*D38/D52</f>
        <v>13.659866103089403</v>
      </c>
      <c r="E65" s="27"/>
      <c r="G65" s="15"/>
    </row>
    <row r="66" spans="1:7" x14ac:dyDescent="0.3">
      <c r="A66" s="41" t="s">
        <v>15</v>
      </c>
      <c r="B66" s="45"/>
      <c r="C66" s="27">
        <f t="shared" ref="C66:D66" si="7">SUM(C62:C65)</f>
        <v>100</v>
      </c>
      <c r="D66" s="27">
        <f t="shared" si="7"/>
        <v>100</v>
      </c>
      <c r="E66" s="27"/>
      <c r="G66" s="15"/>
    </row>
    <row r="67" spans="1:7" x14ac:dyDescent="0.3">
      <c r="A67" s="41"/>
      <c r="B67" s="45"/>
      <c r="G67" s="15"/>
    </row>
    <row r="68" spans="1:7" x14ac:dyDescent="0.3">
      <c r="A68" s="41" t="s">
        <v>25</v>
      </c>
      <c r="B68" s="45" t="s">
        <v>33</v>
      </c>
      <c r="C68" s="28">
        <f>100*C42/C54</f>
        <v>23.944593143255208</v>
      </c>
      <c r="D68" s="28">
        <f>100*D42/D54</f>
        <v>20.336020974541007</v>
      </c>
      <c r="E68" s="28"/>
      <c r="G68" s="15"/>
    </row>
    <row r="69" spans="1:7" x14ac:dyDescent="0.3">
      <c r="A69" s="41" t="s">
        <v>24</v>
      </c>
      <c r="B69" s="45" t="s">
        <v>33</v>
      </c>
      <c r="C69" s="28">
        <f>100*C44/C54</f>
        <v>50.689034469005641</v>
      </c>
      <c r="D69" s="28">
        <f>100*D44/D54</f>
        <v>48.983527272511935</v>
      </c>
      <c r="E69" s="28"/>
      <c r="G69" s="15"/>
    </row>
    <row r="70" spans="1:7" x14ac:dyDescent="0.3">
      <c r="A70" s="41" t="s">
        <v>55</v>
      </c>
      <c r="B70" s="45" t="s">
        <v>33</v>
      </c>
      <c r="C70" s="28">
        <f>100*C48/C54</f>
        <v>25.366372387739158</v>
      </c>
      <c r="D70" s="28">
        <f>100*D48/D54</f>
        <v>30.680451752947064</v>
      </c>
    </row>
    <row r="71" spans="1:7" x14ac:dyDescent="0.3">
      <c r="A71" s="41" t="s">
        <v>125</v>
      </c>
      <c r="B71" s="44"/>
      <c r="C71" s="27">
        <f>SUM(C68:C70)</f>
        <v>100.00000000000001</v>
      </c>
      <c r="D71" s="27">
        <f>SUM(D68:D70)</f>
        <v>100.00000000000001</v>
      </c>
      <c r="E71" s="28"/>
      <c r="G71" s="15"/>
    </row>
    <row r="72" spans="1:7" x14ac:dyDescent="0.3">
      <c r="E72" s="27"/>
      <c r="G72" s="15"/>
    </row>
    <row r="73" spans="1:7" x14ac:dyDescent="0.3">
      <c r="A73" s="41" t="s">
        <v>40</v>
      </c>
      <c r="B73" s="45" t="s">
        <v>33</v>
      </c>
      <c r="C73" s="28">
        <f>100*C45/C54</f>
        <v>1.4978088459223364</v>
      </c>
      <c r="D73" s="28">
        <f>100*D45/D54</f>
        <v>8.514633394108106</v>
      </c>
      <c r="E73" s="28"/>
      <c r="G73" s="15"/>
    </row>
    <row r="74" spans="1:7" x14ac:dyDescent="0.3">
      <c r="A74" s="41"/>
      <c r="B74" s="45"/>
      <c r="C74" s="28"/>
      <c r="D74" s="28"/>
      <c r="E74" s="28"/>
      <c r="G74" s="15"/>
    </row>
    <row r="75" spans="1:7" ht="16.2" x14ac:dyDescent="0.3">
      <c r="A75" s="23" t="s">
        <v>131</v>
      </c>
      <c r="B75" s="15"/>
      <c r="G75" s="15"/>
    </row>
    <row r="76" spans="1:7" x14ac:dyDescent="0.3">
      <c r="A76" s="23" t="s">
        <v>103</v>
      </c>
      <c r="B76" s="37"/>
      <c r="C76" s="39">
        <v>7633.4</v>
      </c>
      <c r="D76" s="39">
        <v>4976.24</v>
      </c>
      <c r="E76" s="39"/>
      <c r="G76" s="15"/>
    </row>
    <row r="77" spans="1:7" x14ac:dyDescent="0.3">
      <c r="A77" s="23" t="s">
        <v>104</v>
      </c>
      <c r="B77" s="37"/>
      <c r="C77" s="39">
        <v>41426.5</v>
      </c>
      <c r="D77" s="39">
        <v>31938.83</v>
      </c>
      <c r="E77" s="39"/>
      <c r="G77" s="15"/>
    </row>
    <row r="78" spans="1:7" x14ac:dyDescent="0.3">
      <c r="A78" s="23" t="s">
        <v>105</v>
      </c>
      <c r="B78" s="37"/>
      <c r="C78" s="39">
        <v>2984</v>
      </c>
      <c r="D78" s="39">
        <v>2673</v>
      </c>
      <c r="E78" s="39"/>
      <c r="G78" s="15"/>
    </row>
    <row r="79" spans="1:7" x14ac:dyDescent="0.3">
      <c r="A79" s="23" t="s">
        <v>118</v>
      </c>
      <c r="B79" s="37"/>
      <c r="C79" s="39">
        <v>4517</v>
      </c>
      <c r="D79" s="39">
        <v>1520</v>
      </c>
      <c r="E79" s="39"/>
      <c r="G79" s="15"/>
    </row>
    <row r="80" spans="1:7" x14ac:dyDescent="0.3">
      <c r="A80" s="23" t="s">
        <v>106</v>
      </c>
      <c r="B80" s="37"/>
      <c r="C80" s="39">
        <v>13893.2</v>
      </c>
      <c r="D80" s="39">
        <v>4280.22</v>
      </c>
      <c r="E80" s="39"/>
      <c r="G80" s="15"/>
    </row>
    <row r="81" spans="1:7" x14ac:dyDescent="0.3">
      <c r="A81" s="23" t="s">
        <v>107</v>
      </c>
      <c r="B81" s="37"/>
      <c r="C81" s="39">
        <v>2499.19</v>
      </c>
      <c r="D81" s="39"/>
      <c r="E81" s="39"/>
      <c r="G81" s="15"/>
    </row>
    <row r="82" spans="1:7" x14ac:dyDescent="0.3">
      <c r="A82" s="42" t="s">
        <v>108</v>
      </c>
      <c r="B82" s="37"/>
      <c r="C82" s="21">
        <f>SUM(C77:C81)</f>
        <v>65319.89</v>
      </c>
      <c r="D82" s="21">
        <f>SUM(D77:D81)</f>
        <v>40412.050000000003</v>
      </c>
      <c r="E82" s="20"/>
      <c r="G82" s="15"/>
    </row>
    <row r="83" spans="1:7" x14ac:dyDescent="0.3">
      <c r="A83" s="23"/>
      <c r="G83" s="15"/>
    </row>
    <row r="84" spans="1:7" x14ac:dyDescent="0.3">
      <c r="A84" s="23" t="s">
        <v>98</v>
      </c>
      <c r="B84" s="37"/>
      <c r="C84" s="39">
        <v>60554.69</v>
      </c>
      <c r="D84" s="39">
        <v>99654.71</v>
      </c>
      <c r="E84" s="39"/>
      <c r="G84" s="15"/>
    </row>
    <row r="85" spans="1:7" x14ac:dyDescent="0.3">
      <c r="A85" s="23" t="s">
        <v>99</v>
      </c>
      <c r="B85" s="37"/>
      <c r="C85" s="39">
        <v>108810.76999999999</v>
      </c>
      <c r="D85" s="39">
        <v>168401.53000000003</v>
      </c>
      <c r="E85" s="39"/>
      <c r="G85" s="15"/>
    </row>
    <row r="86" spans="1:7" x14ac:dyDescent="0.3">
      <c r="A86" s="23" t="s">
        <v>100</v>
      </c>
      <c r="B86" s="37"/>
      <c r="C86" s="39">
        <v>54452.3</v>
      </c>
      <c r="D86" s="39">
        <v>105476.99</v>
      </c>
      <c r="E86" s="39"/>
      <c r="G86" s="15"/>
    </row>
    <row r="87" spans="1:7" x14ac:dyDescent="0.3">
      <c r="A87" s="23" t="s">
        <v>101</v>
      </c>
      <c r="B87" s="37"/>
      <c r="C87" s="39">
        <v>207427.32</v>
      </c>
      <c r="D87" s="39">
        <v>157664.81</v>
      </c>
      <c r="E87" s="39"/>
      <c r="G87" s="15"/>
    </row>
    <row r="88" spans="1:7" x14ac:dyDescent="0.3">
      <c r="A88" s="42" t="s">
        <v>110</v>
      </c>
      <c r="B88" s="37"/>
      <c r="C88" s="21">
        <f>SUM(C84:C87)</f>
        <v>431245.08</v>
      </c>
      <c r="D88" s="21">
        <f t="shared" ref="D88" si="8">SUM(D84:D87)</f>
        <v>531198.04</v>
      </c>
      <c r="E88" s="20"/>
      <c r="G88" s="15"/>
    </row>
    <row r="89" spans="1:7" x14ac:dyDescent="0.3">
      <c r="A89" s="23"/>
      <c r="B89" s="15"/>
      <c r="G89" s="15"/>
    </row>
    <row r="90" spans="1:7" x14ac:dyDescent="0.3">
      <c r="A90" s="23" t="s">
        <v>97</v>
      </c>
      <c r="B90" s="37"/>
      <c r="C90" s="39">
        <v>32118.86</v>
      </c>
      <c r="D90" s="29">
        <v>5907</v>
      </c>
      <c r="E90" s="29"/>
      <c r="G90" s="15"/>
    </row>
    <row r="91" spans="1:7" x14ac:dyDescent="0.3">
      <c r="A91" s="42" t="s">
        <v>91</v>
      </c>
      <c r="B91" s="37"/>
      <c r="C91" s="29">
        <v>24567</v>
      </c>
      <c r="D91" s="29">
        <v>12952</v>
      </c>
      <c r="E91" s="29"/>
      <c r="G91" s="15"/>
    </row>
    <row r="92" spans="1:7" x14ac:dyDescent="0.3">
      <c r="A92" s="41" t="s">
        <v>102</v>
      </c>
      <c r="B92" s="37"/>
      <c r="C92" s="20">
        <f>1.45*C90</f>
        <v>46572.347000000002</v>
      </c>
      <c r="D92" s="20">
        <f>1.45*D90</f>
        <v>8565.15</v>
      </c>
      <c r="E92" s="30" t="s">
        <v>113</v>
      </c>
      <c r="F92" s="15" t="s">
        <v>114</v>
      </c>
      <c r="G92" s="15"/>
    </row>
    <row r="93" spans="1:7" x14ac:dyDescent="0.3">
      <c r="A93" s="41" t="s">
        <v>132</v>
      </c>
      <c r="C93" s="25">
        <f>C92/(C92+C91)</f>
        <v>0.65466368421964849</v>
      </c>
      <c r="D93" s="25">
        <f>D92/(D92+D91)</f>
        <v>0.39806154625496404</v>
      </c>
      <c r="E93" s="25"/>
      <c r="G93" s="15"/>
    </row>
    <row r="94" spans="1:7" x14ac:dyDescent="0.3">
      <c r="A94" s="42"/>
      <c r="G94" s="15"/>
    </row>
    <row r="95" spans="1:7" x14ac:dyDescent="0.3">
      <c r="A95" s="42" t="s">
        <v>29</v>
      </c>
      <c r="C95" s="31">
        <f t="shared" ref="C95:D95" si="9">C86/C85</f>
        <v>0.5004311613638982</v>
      </c>
      <c r="D95" s="31">
        <f t="shared" si="9"/>
        <v>0.62634223097616737</v>
      </c>
      <c r="E95" s="26"/>
      <c r="G95" s="15"/>
    </row>
    <row r="96" spans="1:7" x14ac:dyDescent="0.3">
      <c r="A96" s="42" t="s">
        <v>109</v>
      </c>
      <c r="C96" s="31">
        <f t="shared" ref="C96:D96" si="10">C88/(2*C82)</f>
        <v>3.3010242362624922</v>
      </c>
      <c r="D96" s="31">
        <f t="shared" si="10"/>
        <v>6.5722728740561296</v>
      </c>
      <c r="E96" s="26"/>
      <c r="G96" s="15"/>
    </row>
    <row r="97" spans="1:10" x14ac:dyDescent="0.3">
      <c r="A97" s="23"/>
      <c r="G97" s="15"/>
    </row>
    <row r="98" spans="1:10" x14ac:dyDescent="0.3">
      <c r="A98" s="42" t="s">
        <v>37</v>
      </c>
      <c r="B98" s="45" t="s">
        <v>33</v>
      </c>
      <c r="C98" s="32">
        <f>100*C77/C82</f>
        <v>63.420957996101954</v>
      </c>
      <c r="D98" s="32">
        <f>100*D77/D82</f>
        <v>79.032936958159752</v>
      </c>
      <c r="E98" s="32"/>
      <c r="G98" s="15"/>
    </row>
    <row r="99" spans="1:10" x14ac:dyDescent="0.3">
      <c r="A99" s="42" t="s">
        <v>38</v>
      </c>
      <c r="B99" s="45" t="s">
        <v>33</v>
      </c>
      <c r="C99" s="32">
        <f>100*C78/C82</f>
        <v>4.5682869337348855</v>
      </c>
      <c r="D99" s="32">
        <f>100*D78/D82</f>
        <v>6.614363785059159</v>
      </c>
      <c r="E99" s="32"/>
      <c r="G99" s="15"/>
    </row>
    <row r="100" spans="1:10" s="34" customFormat="1" x14ac:dyDescent="0.3">
      <c r="A100" s="42" t="s">
        <v>13</v>
      </c>
      <c r="B100" s="45" t="s">
        <v>33</v>
      </c>
      <c r="C100" s="32">
        <f>100*(C79+C80)/C82</f>
        <v>28.184676979707099</v>
      </c>
      <c r="D100" s="32">
        <f>100*(D79+D80)/D82</f>
        <v>14.352699256781083</v>
      </c>
      <c r="E100" s="32"/>
      <c r="F100" s="15"/>
      <c r="G100" s="15"/>
      <c r="H100" s="15"/>
      <c r="I100" s="15"/>
      <c r="J100" s="46"/>
    </row>
    <row r="101" spans="1:10" x14ac:dyDescent="0.3">
      <c r="A101" s="42" t="s">
        <v>39</v>
      </c>
      <c r="B101" s="45" t="s">
        <v>33</v>
      </c>
      <c r="C101" s="32">
        <f>100*C81/C82</f>
        <v>3.8260780904560616</v>
      </c>
      <c r="D101" s="32">
        <f>100*D81/D82</f>
        <v>0</v>
      </c>
      <c r="E101" s="32"/>
      <c r="F101" s="34"/>
      <c r="G101" s="34"/>
      <c r="H101" s="34"/>
      <c r="I101" s="34"/>
    </row>
    <row r="102" spans="1:10" x14ac:dyDescent="0.3">
      <c r="A102" s="41" t="s">
        <v>15</v>
      </c>
      <c r="B102" s="34"/>
      <c r="C102" s="27">
        <f t="shared" ref="C102:D102" si="11">SUM(C98:C101)</f>
        <v>100</v>
      </c>
      <c r="D102" s="27">
        <f t="shared" si="11"/>
        <v>99.999999999999986</v>
      </c>
      <c r="E102" s="27"/>
    </row>
    <row r="103" spans="1:10" x14ac:dyDescent="0.3">
      <c r="E103" s="47"/>
    </row>
    <row r="104" spans="1:10" x14ac:dyDescent="0.3">
      <c r="A104" s="4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/>
  </sheetViews>
  <sheetFormatPr defaultRowHeight="14.4" x14ac:dyDescent="0.3"/>
  <cols>
    <col min="1" max="3" width="8.88671875" style="2"/>
    <col min="4" max="4" width="9.5546875" style="2" bestFit="1" customWidth="1"/>
    <col min="5" max="16384" width="8.88671875" style="2"/>
  </cols>
  <sheetData>
    <row r="1" spans="1:8" x14ac:dyDescent="0.3">
      <c r="A1" s="10" t="s">
        <v>121</v>
      </c>
    </row>
    <row r="2" spans="1:8" x14ac:dyDescent="0.3">
      <c r="A2" s="2" t="s">
        <v>116</v>
      </c>
      <c r="D2" s="2" t="s">
        <v>117</v>
      </c>
    </row>
    <row r="3" spans="1:8" x14ac:dyDescent="0.3">
      <c r="A3" s="2" t="s">
        <v>115</v>
      </c>
      <c r="B3" s="2" t="s">
        <v>77</v>
      </c>
      <c r="C3" s="1" t="s">
        <v>33</v>
      </c>
      <c r="E3" s="1" t="s">
        <v>33</v>
      </c>
      <c r="H3" s="2" t="s">
        <v>117</v>
      </c>
    </row>
    <row r="4" spans="1:8" x14ac:dyDescent="0.3">
      <c r="A4" s="2">
        <v>1</v>
      </c>
      <c r="B4" s="11">
        <v>2642.81</v>
      </c>
      <c r="C4" s="12">
        <f>100*B4/$B$18</f>
        <v>0.41672816332503293</v>
      </c>
      <c r="D4" s="11">
        <v>44.656999999999996</v>
      </c>
      <c r="E4" s="12">
        <f>100*D4/$D$18</f>
        <v>0.37702161451568245</v>
      </c>
    </row>
    <row r="5" spans="1:8" x14ac:dyDescent="0.3">
      <c r="A5" s="2">
        <v>2</v>
      </c>
      <c r="B5" s="11">
        <v>14118.08</v>
      </c>
      <c r="C5" s="12">
        <f t="shared" ref="C5:C17" si="0">100*B5/$B$18</f>
        <v>2.2261916475553978</v>
      </c>
      <c r="D5" s="11">
        <v>243.071</v>
      </c>
      <c r="E5" s="12">
        <f t="shared" ref="E5:E17" si="1">100*D5/$D$18</f>
        <v>2.0521535450644119</v>
      </c>
      <c r="G5" s="2" t="s">
        <v>126</v>
      </c>
    </row>
    <row r="6" spans="1:8" x14ac:dyDescent="0.3">
      <c r="A6" s="2">
        <v>3</v>
      </c>
      <c r="B6" s="11">
        <v>25556.1</v>
      </c>
      <c r="C6" s="12">
        <f t="shared" si="0"/>
        <v>4.0297814124930937</v>
      </c>
      <c r="D6" s="11">
        <v>417.48500000000001</v>
      </c>
      <c r="E6" s="12">
        <f t="shared" si="1"/>
        <v>3.5246628464984147</v>
      </c>
    </row>
    <row r="7" spans="1:8" x14ac:dyDescent="0.3">
      <c r="A7" s="2">
        <v>4</v>
      </c>
      <c r="B7" s="11">
        <v>28766.32</v>
      </c>
      <c r="C7" s="12">
        <f t="shared" si="0"/>
        <v>4.5359809063913641</v>
      </c>
      <c r="D7" s="11">
        <v>525.02099999999996</v>
      </c>
      <c r="E7" s="12">
        <f t="shared" si="1"/>
        <v>4.4325473066851364</v>
      </c>
    </row>
    <row r="8" spans="1:8" x14ac:dyDescent="0.3">
      <c r="A8" s="2">
        <v>5</v>
      </c>
      <c r="B8" s="11">
        <v>19157.32</v>
      </c>
      <c r="C8" s="12">
        <f t="shared" si="0"/>
        <v>3.0207978544919687</v>
      </c>
      <c r="D8" s="11">
        <v>325.02100000000002</v>
      </c>
      <c r="E8" s="12">
        <f t="shared" si="1"/>
        <v>2.7440253973957418</v>
      </c>
    </row>
    <row r="9" spans="1:8" x14ac:dyDescent="0.3">
      <c r="A9" s="2">
        <v>6</v>
      </c>
      <c r="B9" s="11">
        <v>187505.61</v>
      </c>
      <c r="C9" s="12">
        <f t="shared" si="0"/>
        <v>29.566585743371611</v>
      </c>
      <c r="D9" s="11">
        <v>3833.6979999999999</v>
      </c>
      <c r="E9" s="12">
        <f t="shared" si="1"/>
        <v>32.366415332994663</v>
      </c>
    </row>
    <row r="10" spans="1:8" x14ac:dyDescent="0.3">
      <c r="A10" s="2">
        <v>7</v>
      </c>
      <c r="B10" s="11">
        <v>13005.81</v>
      </c>
      <c r="C10" s="12">
        <f t="shared" si="0"/>
        <v>2.0508047547324044</v>
      </c>
      <c r="D10" s="11">
        <v>217.506</v>
      </c>
      <c r="E10" s="12">
        <f t="shared" si="1"/>
        <v>1.8363182320094951</v>
      </c>
    </row>
    <row r="11" spans="1:8" x14ac:dyDescent="0.3">
      <c r="A11" s="2">
        <v>8</v>
      </c>
      <c r="B11" s="11">
        <v>74482.2</v>
      </c>
      <c r="C11" s="12">
        <f t="shared" si="0"/>
        <v>11.74463181477585</v>
      </c>
      <c r="D11" s="11">
        <v>1329.2840000000001</v>
      </c>
      <c r="E11" s="12">
        <f t="shared" si="1"/>
        <v>11.22262578833922</v>
      </c>
    </row>
    <row r="12" spans="1:8" x14ac:dyDescent="0.3">
      <c r="A12" s="2">
        <v>9</v>
      </c>
      <c r="B12" s="11">
        <v>42785.35</v>
      </c>
      <c r="C12" s="12">
        <f t="shared" si="0"/>
        <v>6.7465539795591418</v>
      </c>
      <c r="D12" s="11">
        <v>726.79899999999998</v>
      </c>
      <c r="E12" s="12">
        <f t="shared" si="1"/>
        <v>6.1360801757481127</v>
      </c>
      <c r="H12" s="2" t="s">
        <v>116</v>
      </c>
    </row>
    <row r="13" spans="1:8" x14ac:dyDescent="0.3">
      <c r="A13" s="2">
        <v>10</v>
      </c>
      <c r="B13" s="11">
        <v>5595.55</v>
      </c>
      <c r="C13" s="12">
        <f t="shared" si="0"/>
        <v>0.88232724800246254</v>
      </c>
      <c r="D13" s="11">
        <v>57.484999999999999</v>
      </c>
      <c r="E13" s="12">
        <f t="shared" si="1"/>
        <v>0.48532340977750421</v>
      </c>
    </row>
    <row r="14" spans="1:8" x14ac:dyDescent="0.3">
      <c r="A14" s="2">
        <v>11</v>
      </c>
      <c r="B14" s="11">
        <v>178136</v>
      </c>
      <c r="C14" s="12">
        <f t="shared" si="0"/>
        <v>28.089150601847301</v>
      </c>
      <c r="D14" s="11">
        <v>3657.598</v>
      </c>
      <c r="E14" s="12">
        <f t="shared" si="1"/>
        <v>30.879671791865356</v>
      </c>
    </row>
    <row r="15" spans="1:8" x14ac:dyDescent="0.3">
      <c r="A15" s="2">
        <v>12</v>
      </c>
      <c r="B15" s="11">
        <v>3165.04</v>
      </c>
      <c r="C15" s="12">
        <f t="shared" si="0"/>
        <v>0.49907534255215552</v>
      </c>
      <c r="D15" s="11">
        <v>34.950000000000003</v>
      </c>
      <c r="E15" s="12">
        <f t="shared" si="1"/>
        <v>0.29506920364832173</v>
      </c>
    </row>
    <row r="16" spans="1:8" x14ac:dyDescent="0.3">
      <c r="A16" s="2">
        <v>13</v>
      </c>
      <c r="B16" s="11">
        <v>9357.24</v>
      </c>
      <c r="C16" s="12">
        <f t="shared" si="0"/>
        <v>1.4754845936679257</v>
      </c>
      <c r="D16" s="11">
        <v>168.09200000000001</v>
      </c>
      <c r="E16" s="12">
        <f t="shared" si="1"/>
        <v>1.4191351238813645</v>
      </c>
    </row>
    <row r="17" spans="1:5" x14ac:dyDescent="0.3">
      <c r="A17" s="2">
        <v>14</v>
      </c>
      <c r="B17" s="11">
        <v>29907.37</v>
      </c>
      <c r="C17" s="12">
        <f t="shared" si="0"/>
        <v>4.7159059372343037</v>
      </c>
      <c r="D17" s="11">
        <v>264.012</v>
      </c>
      <c r="E17" s="12">
        <f t="shared" si="1"/>
        <v>2.2289502315765581</v>
      </c>
    </row>
    <row r="18" spans="1:5" x14ac:dyDescent="0.3">
      <c r="A18" s="13" t="s">
        <v>15</v>
      </c>
      <c r="B18" s="3">
        <f>SUM(B4:B17)</f>
        <v>634180.79999999993</v>
      </c>
      <c r="C18" s="3">
        <f>SUM(C4:C17)</f>
        <v>100.00000000000003</v>
      </c>
      <c r="D18" s="3">
        <f>SUM(D4:D17)</f>
        <v>11844.679000000002</v>
      </c>
      <c r="E18" s="3">
        <f>SUM(E4:E17)</f>
        <v>99.999999999999986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solubilisation</vt:lpstr>
      <vt:lpstr>evaluation</vt:lpstr>
      <vt:lpstr>Phoretix-ImageJ comparison</vt:lpstr>
    </vt:vector>
  </TitlesOfParts>
  <Company>otthon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Sárvári Éva</dc:creator>
  <cp:lastModifiedBy>Ádám Solti</cp:lastModifiedBy>
  <dcterms:created xsi:type="dcterms:W3CDTF">2019-01-01T09:34:56Z</dcterms:created>
  <dcterms:modified xsi:type="dcterms:W3CDTF">2022-02-21T13:56:20Z</dcterms:modified>
</cp:coreProperties>
</file>