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Trainees and trainee projects\Jaewon\"/>
    </mc:Choice>
  </mc:AlternateContent>
  <bookViews>
    <workbookView xWindow="0" yWindow="0" windowWidth="25200" windowHeight="11850" tabRatio="500"/>
  </bookViews>
  <sheets>
    <sheet name="Sheet1" sheetId="1" r:id="rId1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A3" i="1" l="1"/>
  <c r="AA4" i="1"/>
  <c r="AA5" i="1"/>
  <c r="AA6" i="1"/>
  <c r="AA7" i="1"/>
  <c r="AA8" i="1"/>
  <c r="AA9" i="1"/>
  <c r="AA10" i="1"/>
  <c r="AA11" i="1"/>
  <c r="AA13" i="1"/>
  <c r="AA15" i="1"/>
  <c r="AA16" i="1"/>
  <c r="AA17" i="1"/>
  <c r="AA18" i="1"/>
  <c r="AA19" i="1"/>
  <c r="AA20" i="1"/>
  <c r="AA21" i="1"/>
  <c r="AA22" i="1"/>
  <c r="AA2" i="1"/>
  <c r="BE3" i="1"/>
  <c r="BE4" i="1"/>
  <c r="BE6" i="1"/>
  <c r="BE7" i="1"/>
  <c r="BE9" i="1"/>
  <c r="BE10" i="1"/>
  <c r="BE11" i="1"/>
  <c r="BE13" i="1"/>
  <c r="BE14" i="1"/>
  <c r="BE15" i="1"/>
  <c r="BE16" i="1"/>
  <c r="BE17" i="1"/>
  <c r="BE18" i="1"/>
  <c r="BE19" i="1"/>
  <c r="BE20" i="1"/>
  <c r="BE21" i="1"/>
  <c r="BE22" i="1"/>
  <c r="BE2" i="1"/>
  <c r="AY3" i="1"/>
  <c r="AY4" i="1"/>
  <c r="AY5" i="1"/>
  <c r="AY6" i="1"/>
  <c r="AY7" i="1"/>
  <c r="AY8" i="1"/>
  <c r="AY9" i="1"/>
  <c r="AY13" i="1"/>
  <c r="AY14" i="1"/>
  <c r="AY15" i="1"/>
  <c r="AY16" i="1"/>
  <c r="AY17" i="1"/>
  <c r="AY18" i="1"/>
  <c r="AY19" i="1"/>
  <c r="AY20" i="1"/>
  <c r="AY21" i="1"/>
  <c r="AY22" i="1"/>
  <c r="AY2" i="1"/>
  <c r="BJ3" i="1"/>
  <c r="BJ4" i="1"/>
  <c r="BJ5" i="1"/>
  <c r="BJ6" i="1"/>
  <c r="BJ7" i="1"/>
  <c r="BJ8" i="1"/>
  <c r="BJ9" i="1"/>
  <c r="BJ10" i="1"/>
  <c r="BJ13" i="1"/>
  <c r="BJ14" i="1"/>
  <c r="BJ15" i="1"/>
  <c r="BJ16" i="1"/>
  <c r="BJ17" i="1"/>
  <c r="BJ18" i="1"/>
  <c r="BJ19" i="1"/>
  <c r="BJ20" i="1"/>
  <c r="BJ21" i="1"/>
  <c r="BJ22" i="1"/>
  <c r="BJ2" i="1"/>
  <c r="BD3" i="1"/>
  <c r="BD4" i="1"/>
  <c r="BD5" i="1"/>
  <c r="BD6" i="1"/>
  <c r="BD7" i="1"/>
  <c r="BD8" i="1"/>
  <c r="BD9" i="1"/>
  <c r="BD10" i="1"/>
  <c r="BD11" i="1"/>
  <c r="BD13" i="1"/>
  <c r="BD14" i="1"/>
  <c r="BD15" i="1"/>
  <c r="BD16" i="1"/>
  <c r="BD17" i="1"/>
  <c r="BD18" i="1"/>
  <c r="BD19" i="1"/>
  <c r="BD20" i="1"/>
  <c r="BD21" i="1"/>
  <c r="BD22" i="1"/>
  <c r="BD2" i="1"/>
  <c r="AM11" i="1"/>
  <c r="AQ11" i="1"/>
  <c r="Z11" i="1"/>
  <c r="V11" i="1"/>
  <c r="P11" i="1"/>
  <c r="Q11" i="1"/>
  <c r="R11" i="1"/>
  <c r="O11" i="1"/>
  <c r="N11" i="1"/>
  <c r="D11" i="1"/>
  <c r="AZ10" i="1"/>
  <c r="AI10" i="1"/>
  <c r="AE10" i="1"/>
  <c r="AZ22" i="1"/>
  <c r="AI22" i="1"/>
  <c r="N10" i="1"/>
  <c r="P10" i="1"/>
  <c r="Q10" i="1"/>
  <c r="R10" i="1"/>
  <c r="O10" i="1"/>
  <c r="Z10" i="1"/>
  <c r="V10" i="1"/>
  <c r="AU22" i="1"/>
  <c r="AE22" i="1"/>
  <c r="Z22" i="1"/>
  <c r="AQ22" i="1"/>
  <c r="AM22" i="1"/>
  <c r="V22" i="1"/>
  <c r="P22" i="1"/>
  <c r="Q22" i="1"/>
  <c r="R22" i="1"/>
  <c r="O22" i="1"/>
  <c r="N22" i="1"/>
  <c r="D22" i="1"/>
  <c r="AZ19" i="1"/>
  <c r="AU19" i="1"/>
  <c r="AQ19" i="1"/>
  <c r="AM19" i="1"/>
  <c r="AI19" i="1"/>
  <c r="AE19" i="1"/>
  <c r="Z19" i="1"/>
  <c r="V19" i="1"/>
  <c r="P19" i="1"/>
  <c r="Q19" i="1"/>
  <c r="R19" i="1"/>
  <c r="O19" i="1"/>
  <c r="N19" i="1"/>
  <c r="D19" i="1"/>
  <c r="P18" i="1"/>
  <c r="Q18" i="1"/>
  <c r="R18" i="1"/>
  <c r="O18" i="1"/>
  <c r="N18" i="1"/>
  <c r="D18" i="1"/>
  <c r="AI18" i="1"/>
  <c r="AZ18" i="1"/>
  <c r="AZ9" i="1"/>
  <c r="AI9" i="1"/>
  <c r="AU18" i="1"/>
  <c r="AQ18" i="1"/>
  <c r="AM18" i="1"/>
  <c r="AE18" i="1"/>
  <c r="Z18" i="1"/>
  <c r="V18" i="1"/>
  <c r="AU9" i="1"/>
  <c r="AQ9" i="1"/>
  <c r="AM9" i="1"/>
  <c r="AE9" i="1"/>
  <c r="Z9" i="1"/>
  <c r="V9" i="1"/>
  <c r="P9" i="1"/>
  <c r="Q9" i="1"/>
  <c r="R9" i="1"/>
  <c r="O9" i="1"/>
  <c r="N9" i="1"/>
  <c r="D9" i="1"/>
  <c r="AZ6" i="1"/>
  <c r="AU6" i="1"/>
  <c r="AI6" i="1"/>
  <c r="AE6" i="1"/>
  <c r="AN6" i="1"/>
  <c r="AQ6" i="1"/>
  <c r="AM6" i="1"/>
  <c r="AM5" i="1"/>
  <c r="Z6" i="1"/>
  <c r="V6" i="1"/>
  <c r="P6" i="1"/>
  <c r="Q6" i="1"/>
  <c r="R6" i="1"/>
  <c r="O6" i="1"/>
  <c r="N6" i="1"/>
  <c r="D6" i="1"/>
  <c r="AZ17" i="1"/>
  <c r="AI17" i="1"/>
  <c r="AU17" i="1"/>
  <c r="AE17" i="1"/>
  <c r="AM17" i="1"/>
  <c r="AQ17" i="1"/>
  <c r="Z17" i="1"/>
  <c r="V17" i="1"/>
  <c r="P17" i="1"/>
  <c r="Q17" i="1"/>
  <c r="R17" i="1"/>
  <c r="O17" i="1"/>
  <c r="N17" i="1"/>
  <c r="D17" i="1"/>
  <c r="AZ16" i="1"/>
  <c r="AI16" i="1"/>
  <c r="AU16" i="1"/>
  <c r="AQ16" i="1"/>
  <c r="AM16" i="1"/>
  <c r="AE16" i="1"/>
  <c r="Z16" i="1"/>
  <c r="V16" i="1"/>
  <c r="P16" i="1"/>
  <c r="Q16" i="1"/>
  <c r="R16" i="1"/>
  <c r="O16" i="1"/>
  <c r="N16" i="1"/>
  <c r="D16" i="1"/>
  <c r="AZ8" i="1"/>
  <c r="AU8" i="1"/>
  <c r="AQ8" i="1"/>
  <c r="AM8" i="1"/>
  <c r="AI8" i="1"/>
  <c r="AE8" i="1"/>
  <c r="Z8" i="1"/>
  <c r="V8" i="1"/>
  <c r="P8" i="1"/>
  <c r="Q8" i="1"/>
  <c r="R8" i="1"/>
  <c r="O8" i="1"/>
  <c r="N8" i="1"/>
  <c r="D8" i="1"/>
  <c r="AZ7" i="1"/>
  <c r="AI7" i="1"/>
  <c r="AU7" i="1"/>
  <c r="AQ7" i="1"/>
  <c r="AM7" i="1"/>
  <c r="AE7" i="1"/>
  <c r="Z7" i="1"/>
  <c r="V7" i="1"/>
  <c r="P7" i="1"/>
  <c r="Q7" i="1"/>
  <c r="R7" i="1"/>
  <c r="O7" i="1"/>
  <c r="N7" i="1"/>
  <c r="D7" i="1"/>
  <c r="AZ21" i="1"/>
  <c r="AI21" i="1"/>
  <c r="AU21" i="1"/>
  <c r="AE21" i="1"/>
  <c r="AQ21" i="1"/>
  <c r="AM21" i="1"/>
  <c r="W21" i="1"/>
  <c r="Z21" i="1"/>
  <c r="V21" i="1"/>
  <c r="P21" i="1"/>
  <c r="Q21" i="1"/>
  <c r="R21" i="1"/>
  <c r="O21" i="1"/>
  <c r="N21" i="1"/>
  <c r="D21" i="1"/>
  <c r="AZ5" i="1"/>
  <c r="AI5" i="1"/>
  <c r="P5" i="1"/>
  <c r="Q5" i="1"/>
  <c r="R5" i="1"/>
  <c r="O5" i="1"/>
  <c r="AU5" i="1"/>
  <c r="AQ5" i="1"/>
  <c r="AE5" i="1"/>
  <c r="Z5" i="1"/>
  <c r="V5" i="1"/>
  <c r="N5" i="1"/>
  <c r="AZ15" i="1"/>
  <c r="AI15" i="1"/>
  <c r="AU15" i="1"/>
  <c r="AE15" i="1"/>
  <c r="AQ15" i="1"/>
  <c r="AM15" i="1"/>
  <c r="Z15" i="1"/>
  <c r="V15" i="1"/>
  <c r="P20" i="1"/>
  <c r="Q20" i="1"/>
  <c r="R20" i="1"/>
  <c r="O20" i="1"/>
  <c r="P15" i="1"/>
  <c r="Q15" i="1"/>
  <c r="R15" i="1"/>
  <c r="O15" i="1"/>
  <c r="P14" i="1"/>
  <c r="Q14" i="1"/>
  <c r="R14" i="1"/>
  <c r="O14" i="1"/>
  <c r="P13" i="1"/>
  <c r="Q13" i="1"/>
  <c r="R13" i="1"/>
  <c r="O13" i="1"/>
  <c r="P4" i="1"/>
  <c r="Q4" i="1"/>
  <c r="R4" i="1"/>
  <c r="O4" i="1"/>
  <c r="P3" i="1"/>
  <c r="Q3" i="1"/>
  <c r="R3" i="1"/>
  <c r="O3" i="1"/>
  <c r="P2" i="1"/>
  <c r="Q2" i="1"/>
  <c r="R2" i="1"/>
  <c r="O2" i="1"/>
  <c r="N15" i="1"/>
  <c r="AZ14" i="1"/>
  <c r="AI14" i="1"/>
  <c r="AU14" i="1"/>
  <c r="AQ14" i="1"/>
  <c r="AE14" i="1"/>
  <c r="AM14" i="1"/>
  <c r="V14" i="1"/>
  <c r="N14" i="1"/>
  <c r="AZ4" i="1"/>
  <c r="AI4" i="1"/>
  <c r="AU4" i="1"/>
  <c r="AQ4" i="1"/>
  <c r="AM4" i="1"/>
  <c r="AE4" i="1"/>
  <c r="Z4" i="1"/>
  <c r="V4" i="1"/>
  <c r="N4" i="1"/>
  <c r="AU2" i="1"/>
  <c r="AI2" i="1"/>
  <c r="AZ3" i="1"/>
  <c r="AI3" i="1"/>
  <c r="AU3" i="1"/>
  <c r="AE3" i="1"/>
  <c r="AQ3" i="1"/>
  <c r="Z3" i="1"/>
  <c r="AM3" i="1"/>
  <c r="V3" i="1"/>
  <c r="N3" i="1"/>
  <c r="D3" i="1"/>
  <c r="AZ13" i="1"/>
  <c r="AI13" i="1"/>
  <c r="AU13" i="1"/>
  <c r="AE13" i="1"/>
  <c r="AQ13" i="1"/>
  <c r="Z13" i="1"/>
  <c r="AM13" i="1"/>
  <c r="V13" i="1"/>
  <c r="N13" i="1"/>
  <c r="D13" i="1"/>
  <c r="AZ20" i="1"/>
  <c r="AI20" i="1"/>
  <c r="AU20" i="1"/>
  <c r="AE20" i="1"/>
  <c r="AQ20" i="1"/>
  <c r="Z20" i="1"/>
  <c r="AM20" i="1"/>
  <c r="V20" i="1"/>
  <c r="D20" i="1"/>
  <c r="AZ2" i="1"/>
  <c r="AE2" i="1"/>
  <c r="AQ2" i="1"/>
  <c r="Z2" i="1"/>
  <c r="AM2" i="1"/>
  <c r="V2" i="1"/>
</calcChain>
</file>

<file path=xl/sharedStrings.xml><?xml version="1.0" encoding="utf-8"?>
<sst xmlns="http://schemas.openxmlformats.org/spreadsheetml/2006/main" count="581" uniqueCount="168">
  <si>
    <t>Participant</t>
  </si>
  <si>
    <t>AGE</t>
  </si>
  <si>
    <t>SEX</t>
  </si>
  <si>
    <t>Affected arm</t>
  </si>
  <si>
    <t>Dominant arm</t>
  </si>
  <si>
    <t>Job involving repetitive movement</t>
  </si>
  <si>
    <t>Job involving lifting &amp; carrying</t>
  </si>
  <si>
    <t>Sports</t>
  </si>
  <si>
    <t>NRS_baseline</t>
  </si>
  <si>
    <t>NRS_Day 1_bedtime</t>
  </si>
  <si>
    <t>NRS_Day2_morning</t>
  </si>
  <si>
    <t>NRS_Day2_midday</t>
  </si>
  <si>
    <t>NRS_Day2_Bedtime</t>
  </si>
  <si>
    <t>NRS_Day3_Morning</t>
  </si>
  <si>
    <t>NRS_Day3_Midday</t>
  </si>
  <si>
    <t>NRS_Day3_Bedtime</t>
  </si>
  <si>
    <t>NRS_Day4_Morning</t>
  </si>
  <si>
    <t>NRS_after Tx</t>
  </si>
  <si>
    <t>NRS_24hr_Onsite</t>
  </si>
  <si>
    <t>NRS_72hr_Onsite</t>
  </si>
  <si>
    <t>Allocation</t>
  </si>
  <si>
    <t>EA</t>
  </si>
  <si>
    <t>SA</t>
  </si>
  <si>
    <t>F</t>
  </si>
  <si>
    <t>M</t>
  </si>
  <si>
    <t>L</t>
  </si>
  <si>
    <t>R</t>
  </si>
  <si>
    <t>Duration (month)</t>
  </si>
  <si>
    <t>no</t>
  </si>
  <si>
    <t>Employed?</t>
  </si>
  <si>
    <t>TAMPA(/44)</t>
  </si>
  <si>
    <t>PRTEE_Pain subscale</t>
  </si>
  <si>
    <t>PRTEE_specific activities</t>
  </si>
  <si>
    <t>PRTEE_usual activities</t>
  </si>
  <si>
    <t>PRTEE_Total(/100)</t>
  </si>
  <si>
    <t>GROC_24hr</t>
  </si>
  <si>
    <t>Time</t>
  </si>
  <si>
    <t>Assessor_guess</t>
  </si>
  <si>
    <t>Assessor_confidence level</t>
  </si>
  <si>
    <t>Participant_guess</t>
  </si>
  <si>
    <t>Participant_confidence level</t>
  </si>
  <si>
    <t>14:00:00 PM</t>
  </si>
  <si>
    <t>slightly better</t>
  </si>
  <si>
    <t>Confident</t>
  </si>
  <si>
    <t>Not confident at all</t>
  </si>
  <si>
    <t>yes</t>
  </si>
  <si>
    <t>Very confident</t>
  </si>
  <si>
    <t>#</t>
  </si>
  <si>
    <t>15A002</t>
  </si>
  <si>
    <t>15A001</t>
  </si>
  <si>
    <t>15A003</t>
  </si>
  <si>
    <t>15A004</t>
  </si>
  <si>
    <t>moderately worse</t>
  </si>
  <si>
    <t>yes_4</t>
  </si>
  <si>
    <t>Wake up at night?_pain level</t>
  </si>
  <si>
    <t>Wake up at night?_Pain level</t>
  </si>
  <si>
    <t>yes_3</t>
  </si>
  <si>
    <t>Missing data</t>
  </si>
  <si>
    <t>MGS_base1</t>
  </si>
  <si>
    <t>MGS_base 2</t>
  </si>
  <si>
    <t>MGS_base3</t>
  </si>
  <si>
    <t>MGS_after Tx1</t>
  </si>
  <si>
    <t>MGS_after Tx2</t>
  </si>
  <si>
    <t>MGS_after Tx3</t>
  </si>
  <si>
    <t>MGS_baseline_mean</t>
  </si>
  <si>
    <t>MGS_24hr_1</t>
  </si>
  <si>
    <t>MGS_24hr_2</t>
  </si>
  <si>
    <t>MGS_24hr_3</t>
  </si>
  <si>
    <t>MGS_72hr_1</t>
  </si>
  <si>
    <t>MGS_72hr_2</t>
  </si>
  <si>
    <t>MGS_72hr_3</t>
  </si>
  <si>
    <t>MGS_72hr_mean</t>
  </si>
  <si>
    <t>PFGS_after Tx_1</t>
  </si>
  <si>
    <t>PFGS_after Tx_2</t>
  </si>
  <si>
    <t>PFGS_after TX_3</t>
  </si>
  <si>
    <t>PFGS_24hr_1</t>
  </si>
  <si>
    <t>PFGS_24hr_2</t>
  </si>
  <si>
    <t>PFGS_24hr_3</t>
  </si>
  <si>
    <t>PFGS_72hr_1</t>
  </si>
  <si>
    <t>PFGS_72hr_2</t>
  </si>
  <si>
    <t>PFGS_72hr_3</t>
  </si>
  <si>
    <t>MGS_after Tx_mean</t>
  </si>
  <si>
    <t>MGS_24hr_mean</t>
  </si>
  <si>
    <t>PFGS_after Tx_mean</t>
  </si>
  <si>
    <t>PFGS_24hr_mean</t>
  </si>
  <si>
    <t>PFGS_72hr_mean</t>
  </si>
  <si>
    <t>15A006</t>
  </si>
  <si>
    <t>slightly worse</t>
  </si>
  <si>
    <t>Somewhat confident</t>
  </si>
  <si>
    <t>15A007</t>
  </si>
  <si>
    <t>?</t>
  </si>
  <si>
    <t>yes_7</t>
  </si>
  <si>
    <t>15A008</t>
  </si>
  <si>
    <t>unchanged</t>
  </si>
  <si>
    <t xml:space="preserve">Very confident </t>
  </si>
  <si>
    <t>15A011</t>
  </si>
  <si>
    <t>15A012</t>
  </si>
  <si>
    <t>T</t>
  </si>
  <si>
    <t>Assessor</t>
  </si>
  <si>
    <t>yes_5</t>
  </si>
  <si>
    <t>Neutral</t>
  </si>
  <si>
    <t>15A015</t>
  </si>
  <si>
    <t>15A014</t>
  </si>
  <si>
    <t>weight, running</t>
  </si>
  <si>
    <t>15A016</t>
  </si>
  <si>
    <t>tennis, skiing, swimming</t>
  </si>
  <si>
    <t>Neutral (50% confident)</t>
  </si>
  <si>
    <t>15A017</t>
  </si>
  <si>
    <t>NRS_Day 1_midday</t>
  </si>
  <si>
    <t>15A019</t>
  </si>
  <si>
    <t>running, biking, yoga, hiking</t>
  </si>
  <si>
    <t>much worse</t>
  </si>
  <si>
    <t>yes_8</t>
  </si>
  <si>
    <t>yes_6</t>
  </si>
  <si>
    <t>jogging, cycling, gym</t>
  </si>
  <si>
    <t>biking</t>
  </si>
  <si>
    <t>golf, tennis, walk</t>
  </si>
  <si>
    <t>pushup, cardio, biking</t>
  </si>
  <si>
    <t xml:space="preserve">martial arts </t>
  </si>
  <si>
    <t>PFGS_base1</t>
  </si>
  <si>
    <t>PFGS_base2</t>
  </si>
  <si>
    <t>PFGS_base3</t>
  </si>
  <si>
    <t>PFGS_base_mean</t>
  </si>
  <si>
    <t>15A021</t>
  </si>
  <si>
    <t>15A020</t>
  </si>
  <si>
    <t xml:space="preserve">tennis </t>
  </si>
  <si>
    <t xml:space="preserve">Confident </t>
  </si>
  <si>
    <t xml:space="preserve">running </t>
  </si>
  <si>
    <t>yes_2</t>
  </si>
  <si>
    <t>15A022</t>
  </si>
  <si>
    <t>running, cardio (bike, elliptical), used to play tennis</t>
  </si>
  <si>
    <t>15A023</t>
  </si>
  <si>
    <t>gym, swimming</t>
  </si>
  <si>
    <t>15A024</t>
  </si>
  <si>
    <t>tennis, table tennis</t>
  </si>
  <si>
    <t>much better</t>
  </si>
  <si>
    <t>GROC_72hr</t>
  </si>
  <si>
    <t>moderately better</t>
  </si>
  <si>
    <t>missing data</t>
  </si>
  <si>
    <t>Yes_5</t>
  </si>
  <si>
    <t>5*</t>
  </si>
  <si>
    <t>Prev. experience of acupuncture</t>
  </si>
  <si>
    <t>Participant #</t>
  </si>
  <si>
    <t>Coffee/tea intake D1</t>
  </si>
  <si>
    <t>Coffee/tea intake D2</t>
  </si>
  <si>
    <t>Coffee/tea intake D3</t>
  </si>
  <si>
    <t>NSAIDS/Painkiller intake</t>
  </si>
  <si>
    <t>Therapy</t>
  </si>
  <si>
    <t>Activities</t>
  </si>
  <si>
    <t>yes:some lifting</t>
  </si>
  <si>
    <t>yes/EA</t>
  </si>
  <si>
    <t>no record</t>
  </si>
  <si>
    <t>no but IMS</t>
  </si>
  <si>
    <t>Others</t>
  </si>
  <si>
    <t>Take aleve (naproxen) everyday</t>
  </si>
  <si>
    <t>yes_job:use computer all day</t>
  </si>
  <si>
    <t>Take motrin occasionally</t>
  </si>
  <si>
    <t>take aleve, use voltaren (diclovenac)</t>
  </si>
  <si>
    <t>take advil sometimes</t>
  </si>
  <si>
    <t>take advil, aleve</t>
  </si>
  <si>
    <t xml:space="preserve">no </t>
  </si>
  <si>
    <t>pain disturb sleep everyday</t>
  </si>
  <si>
    <t>took advil for a month</t>
  </si>
  <si>
    <t>Brace, sometimes NSAIDS</t>
  </si>
  <si>
    <t>15A025</t>
  </si>
  <si>
    <t>Ambidextrous</t>
  </si>
  <si>
    <t>tennis (professional)</t>
  </si>
  <si>
    <t>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</si>
</sst>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hh:mm:ss;@"/>
    <numFmt numFmtId="165" formatCode="h:mm:ss;@"/>
    <numFmt numFmtId="166" formatCode="0.0"/>
    <numFmt numFmtId="167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</borders>
  <cellStyleXfs count="12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Alignment="1">
      <alignment horizontal="center"/>
    </xf>
    <xf numFmtId="1" fontId="0" fillId="6" borderId="5" xfId="0" applyNumberFormat="1" applyFill="1" applyBorder="1" applyAlignment="1">
      <alignment horizontal="center"/>
    </xf>
    <xf numFmtId="1" fontId="0" fillId="6" borderId="11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Fill="1"/>
    <xf numFmtId="0" fontId="1" fillId="3" borderId="0" xfId="0" applyFont="1" applyFill="1"/>
    <xf numFmtId="0" fontId="0" fillId="0" borderId="0" xfId="0" applyFont="1" applyFill="1"/>
    <xf numFmtId="0" fontId="0" fillId="3" borderId="0" xfId="0" applyFont="1" applyFill="1"/>
    <xf numFmtId="0" fontId="1" fillId="2" borderId="0" xfId="0" applyFont="1" applyFill="1"/>
    <xf numFmtId="1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167" fontId="0" fillId="0" borderId="0" xfId="0" applyNumberFormat="1" applyFill="1"/>
    <xf numFmtId="1" fontId="0" fillId="7" borderId="5" xfId="0" applyNumberFormat="1" applyFill="1" applyBorder="1" applyAlignment="1">
      <alignment horizontal="center"/>
    </xf>
    <xf numFmtId="1" fontId="0" fillId="8" borderId="5" xfId="0" applyNumberFormat="1" applyFill="1" applyBorder="1" applyAlignment="1">
      <alignment horizontal="center"/>
    </xf>
    <xf numFmtId="2" fontId="1" fillId="0" borderId="0" xfId="0" applyNumberFormat="1" applyFont="1" applyFill="1"/>
    <xf numFmtId="1" fontId="1" fillId="0" borderId="0" xfId="0" applyNumberFormat="1" applyFont="1" applyFill="1"/>
    <xf numFmtId="0" fontId="0" fillId="0" borderId="0" xfId="0" applyFill="1" applyBorder="1"/>
    <xf numFmtId="0" fontId="1" fillId="0" borderId="0" xfId="0" applyFont="1" applyFill="1" applyBorder="1"/>
    <xf numFmtId="0" fontId="0" fillId="0" borderId="1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center"/>
    </xf>
    <xf numFmtId="1" fontId="0" fillId="0" borderId="4" xfId="0" applyNumberFormat="1" applyFill="1" applyBorder="1" applyAlignment="1">
      <alignment horizontal="center"/>
    </xf>
    <xf numFmtId="1" fontId="0" fillId="0" borderId="14" xfId="0" applyNumberFormat="1" applyFill="1" applyBorder="1" applyAlignment="1">
      <alignment horizontal="center"/>
    </xf>
    <xf numFmtId="1" fontId="0" fillId="0" borderId="5" xfId="0" applyNumberFormat="1" applyFill="1" applyBorder="1" applyAlignment="1">
      <alignment horizontal="center"/>
    </xf>
    <xf numFmtId="166" fontId="0" fillId="0" borderId="5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1" fontId="1" fillId="0" borderId="5" xfId="0" applyNumberFormat="1" applyFont="1" applyFill="1" applyBorder="1" applyAlignment="1">
      <alignment horizontal="center"/>
    </xf>
    <xf numFmtId="2" fontId="0" fillId="0" borderId="5" xfId="0" applyNumberFormat="1" applyFon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5" fontId="0" fillId="0" borderId="5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165" fontId="0" fillId="0" borderId="11" xfId="0" applyNumberForma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166" fontId="0" fillId="0" borderId="11" xfId="0" applyNumberFormat="1" applyFill="1" applyBorder="1" applyAlignment="1">
      <alignment horizontal="center"/>
    </xf>
    <xf numFmtId="1" fontId="0" fillId="0" borderId="7" xfId="0" applyNumberFormat="1" applyFill="1" applyBorder="1" applyAlignment="1">
      <alignment horizontal="center"/>
    </xf>
    <xf numFmtId="1" fontId="0" fillId="0" borderId="15" xfId="0" applyNumberForma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2" fontId="0" fillId="0" borderId="8" xfId="0" applyNumberFormat="1" applyFon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5" fontId="0" fillId="0" borderId="8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5" fontId="0" fillId="0" borderId="12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center"/>
    </xf>
  </cellXfs>
  <cellStyles count="1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10"/>
  <sheetViews>
    <sheetView tabSelected="1" workbookViewId="0">
      <selection activeCell="CW29" sqref="CW29"/>
    </sheetView>
  </sheetViews>
  <sheetFormatPr defaultColWidth="11" defaultRowHeight="15.75" x14ac:dyDescent="0.25"/>
  <cols>
    <col min="2" max="2" width="7.5" bestFit="1" customWidth="1"/>
    <col min="4" max="4" width="6" style="4" bestFit="1" customWidth="1"/>
    <col min="5" max="5" width="4.125" style="4" bestFit="1" customWidth="1"/>
    <col min="6" max="6" width="11.875" style="4" bestFit="1" customWidth="1"/>
    <col min="7" max="7" width="13" style="4" bestFit="1" customWidth="1"/>
    <col min="8" max="8" width="15.5" style="4" bestFit="1" customWidth="1"/>
    <col min="9" max="9" width="10.125" style="4" bestFit="1" customWidth="1"/>
    <col min="10" max="10" width="5.125" style="4" customWidth="1"/>
    <col min="11" max="11" width="5.375" style="4" customWidth="1"/>
    <col min="12" max="12" width="6.5" style="4" bestFit="1" customWidth="1"/>
    <col min="13" max="13" width="20.125" style="4" customWidth="1"/>
    <col min="14" max="14" width="10.875" style="4"/>
    <col min="15" max="15" width="16.375" style="2" bestFit="1" customWidth="1"/>
    <col min="16" max="16" width="18.125" style="2" bestFit="1" customWidth="1"/>
    <col min="17" max="17" width="21" style="2" bestFit="1" customWidth="1"/>
    <col min="18" max="18" width="19.125" style="2" bestFit="1" customWidth="1"/>
    <col min="19" max="19" width="11" style="2" bestFit="1" customWidth="1"/>
    <col min="20" max="20" width="11.375" style="2" bestFit="1" customWidth="1"/>
    <col min="21" max="21" width="11" style="2" bestFit="1" customWidth="1"/>
    <col min="22" max="22" width="18.875" style="12" bestFit="1" customWidth="1"/>
    <col min="23" max="24" width="12.875" style="14" customWidth="1"/>
    <col min="25" max="25" width="13.375" style="14" bestFit="1" customWidth="1"/>
    <col min="26" max="26" width="18.375" style="12" bestFit="1" customWidth="1"/>
    <col min="27" max="27" width="18.375" style="12" customWidth="1"/>
    <col min="28" max="30" width="12.375" style="2" customWidth="1"/>
    <col min="31" max="31" width="15.625" style="12" bestFit="1" customWidth="1"/>
    <col min="32" max="34" width="11.875" style="2" bestFit="1" customWidth="1"/>
    <col min="35" max="35" width="15.5" style="12" bestFit="1" customWidth="1"/>
    <col min="36" max="38" width="11.125" style="2" bestFit="1" customWidth="1"/>
    <col min="39" max="39" width="16" style="15" bestFit="1" customWidth="1"/>
    <col min="40" max="41" width="14.625" style="1" bestFit="1" customWidth="1"/>
    <col min="42" max="42" width="14.875" style="1" bestFit="1" customWidth="1"/>
    <col min="43" max="43" width="18.125" style="15" bestFit="1" customWidth="1"/>
    <col min="44" max="46" width="13.125" style="1" customWidth="1"/>
    <col min="47" max="47" width="16" style="15" bestFit="1" customWidth="1"/>
    <col min="48" max="50" width="12.125" style="1" bestFit="1" customWidth="1"/>
    <col min="51" max="51" width="12.125" style="1" customWidth="1"/>
    <col min="52" max="52" width="16" style="15" bestFit="1" customWidth="1"/>
    <col min="53" max="53" width="12.375" style="6" bestFit="1" customWidth="1"/>
    <col min="54" max="54" width="8.375" style="6" bestFit="1" customWidth="1"/>
    <col min="55" max="57" width="12.375" style="6" customWidth="1"/>
    <col min="58" max="58" width="8.375" style="6" bestFit="1" customWidth="1"/>
    <col min="59" max="59" width="15.625" style="6" bestFit="1" customWidth="1"/>
    <col min="60" max="60" width="11.625" style="6" bestFit="1" customWidth="1"/>
    <col min="61" max="61" width="15.625" style="5" bestFit="1" customWidth="1"/>
    <col min="62" max="62" width="15.625" style="5" customWidth="1"/>
    <col min="63" max="63" width="11.875" style="5" customWidth="1"/>
    <col min="64" max="64" width="17.125" style="5" bestFit="1" customWidth="1"/>
    <col min="65" max="65" width="16.625" style="5" customWidth="1"/>
    <col min="66" max="66" width="18" style="5" bestFit="1" customWidth="1"/>
    <col min="67" max="67" width="18" style="5" customWidth="1"/>
    <col min="68" max="68" width="24.875" style="5" bestFit="1" customWidth="1"/>
    <col min="69" max="69" width="17.5" style="5" bestFit="1" customWidth="1"/>
    <col min="70" max="70" width="17.5" style="5" customWidth="1"/>
    <col min="71" max="71" width="16.625" style="5" bestFit="1" customWidth="1"/>
    <col min="72" max="72" width="16.625" style="5" customWidth="1"/>
    <col min="73" max="73" width="17.5" style="5" bestFit="1" customWidth="1"/>
    <col min="74" max="74" width="17.5" style="5" customWidth="1"/>
    <col min="75" max="75" width="24.875" style="5" bestFit="1" customWidth="1"/>
    <col min="76" max="76" width="17.625" style="5" bestFit="1" customWidth="1"/>
    <col min="77" max="77" width="17.625" style="5" customWidth="1"/>
    <col min="78" max="78" width="16.875" style="5" bestFit="1" customWidth="1"/>
    <col min="79" max="79" width="16.875" style="5" customWidth="1"/>
    <col min="80" max="80" width="17.5" style="5" bestFit="1" customWidth="1"/>
    <col min="81" max="81" width="17.5" style="5" customWidth="1"/>
    <col min="82" max="82" width="24.875" style="5" bestFit="1" customWidth="1"/>
    <col min="83" max="83" width="17.625" style="5" bestFit="1" customWidth="1"/>
    <col min="84" max="87" width="17.625" style="5" customWidth="1"/>
    <col min="88" max="88" width="16" style="6" bestFit="1" customWidth="1"/>
    <col min="89" max="89" width="16" style="6" customWidth="1"/>
    <col min="91" max="91" width="13.875" bestFit="1" customWidth="1"/>
    <col min="92" max="92" width="22.5" bestFit="1" customWidth="1"/>
    <col min="93" max="93" width="15.625" bestFit="1" customWidth="1"/>
    <col min="94" max="94" width="24.375" bestFit="1" customWidth="1"/>
    <col min="95" max="98" width="24.375" customWidth="1"/>
    <col min="99" max="99" width="30.5" bestFit="1" customWidth="1"/>
    <col min="100" max="100" width="30.875" bestFit="1" customWidth="1"/>
  </cols>
  <sheetData>
    <row r="1" spans="1:100" s="7" customFormat="1" x14ac:dyDescent="0.25">
      <c r="A1" s="26" t="s">
        <v>0</v>
      </c>
      <c r="B1" s="27" t="s">
        <v>47</v>
      </c>
      <c r="C1" s="28" t="s">
        <v>20</v>
      </c>
      <c r="D1" s="28" t="s">
        <v>1</v>
      </c>
      <c r="E1" s="28" t="s">
        <v>2</v>
      </c>
      <c r="F1" s="28" t="s">
        <v>3</v>
      </c>
      <c r="G1" s="28" t="s">
        <v>4</v>
      </c>
      <c r="H1" s="28" t="s">
        <v>27</v>
      </c>
      <c r="I1" s="28" t="s">
        <v>29</v>
      </c>
      <c r="J1" s="28" t="s">
        <v>5</v>
      </c>
      <c r="K1" s="28" t="s">
        <v>6</v>
      </c>
      <c r="L1" s="28" t="s">
        <v>7</v>
      </c>
      <c r="M1" s="28"/>
      <c r="N1" s="28" t="s">
        <v>30</v>
      </c>
      <c r="O1" s="28" t="s">
        <v>34</v>
      </c>
      <c r="P1" s="28" t="s">
        <v>31</v>
      </c>
      <c r="Q1" s="28" t="s">
        <v>32</v>
      </c>
      <c r="R1" s="28" t="s">
        <v>33</v>
      </c>
      <c r="S1" s="28" t="s">
        <v>58</v>
      </c>
      <c r="T1" s="28" t="s">
        <v>59</v>
      </c>
      <c r="U1" s="28" t="s">
        <v>60</v>
      </c>
      <c r="V1" s="29" t="s">
        <v>64</v>
      </c>
      <c r="W1" s="30" t="s">
        <v>61</v>
      </c>
      <c r="X1" s="30" t="s">
        <v>62</v>
      </c>
      <c r="Y1" s="30" t="s">
        <v>63</v>
      </c>
      <c r="Z1" s="29" t="s">
        <v>81</v>
      </c>
      <c r="AA1" s="29"/>
      <c r="AB1" s="28" t="s">
        <v>65</v>
      </c>
      <c r="AC1" s="28" t="s">
        <v>66</v>
      </c>
      <c r="AD1" s="28" t="s">
        <v>67</v>
      </c>
      <c r="AE1" s="29" t="s">
        <v>82</v>
      </c>
      <c r="AF1" s="28" t="s">
        <v>68</v>
      </c>
      <c r="AG1" s="28" t="s">
        <v>69</v>
      </c>
      <c r="AH1" s="28" t="s">
        <v>70</v>
      </c>
      <c r="AI1" s="29" t="s">
        <v>71</v>
      </c>
      <c r="AJ1" s="28" t="s">
        <v>119</v>
      </c>
      <c r="AK1" s="28" t="s">
        <v>120</v>
      </c>
      <c r="AL1" s="28" t="s">
        <v>121</v>
      </c>
      <c r="AM1" s="29" t="s">
        <v>122</v>
      </c>
      <c r="AN1" s="28" t="s">
        <v>72</v>
      </c>
      <c r="AO1" s="28" t="s">
        <v>73</v>
      </c>
      <c r="AP1" s="28" t="s">
        <v>74</v>
      </c>
      <c r="AQ1" s="29" t="s">
        <v>83</v>
      </c>
      <c r="AR1" s="28" t="s">
        <v>75</v>
      </c>
      <c r="AS1" s="28" t="s">
        <v>76</v>
      </c>
      <c r="AT1" s="28" t="s">
        <v>77</v>
      </c>
      <c r="AU1" s="29" t="s">
        <v>84</v>
      </c>
      <c r="AV1" s="28" t="s">
        <v>78</v>
      </c>
      <c r="AW1" s="28" t="s">
        <v>79</v>
      </c>
      <c r="AX1" s="28" t="s">
        <v>80</v>
      </c>
      <c r="AY1" s="28" t="s">
        <v>167</v>
      </c>
      <c r="AZ1" s="29" t="s">
        <v>85</v>
      </c>
      <c r="BA1" s="28" t="s">
        <v>8</v>
      </c>
      <c r="BB1" s="28" t="s">
        <v>36</v>
      </c>
      <c r="BC1" s="28" t="s">
        <v>17</v>
      </c>
      <c r="BD1" s="28" t="s">
        <v>167</v>
      </c>
      <c r="BE1" s="28"/>
      <c r="BF1" s="28" t="s">
        <v>36</v>
      </c>
      <c r="BG1" s="28" t="s">
        <v>18</v>
      </c>
      <c r="BH1" s="28" t="s">
        <v>36</v>
      </c>
      <c r="BI1" s="31" t="s">
        <v>19</v>
      </c>
      <c r="BJ1" s="31" t="s">
        <v>167</v>
      </c>
      <c r="BK1" s="31" t="s">
        <v>36</v>
      </c>
      <c r="BL1" s="31" t="s">
        <v>108</v>
      </c>
      <c r="BM1" s="28" t="s">
        <v>36</v>
      </c>
      <c r="BN1" s="28" t="s">
        <v>9</v>
      </c>
      <c r="BO1" s="28" t="s">
        <v>36</v>
      </c>
      <c r="BP1" s="28" t="s">
        <v>54</v>
      </c>
      <c r="BQ1" s="28" t="s">
        <v>10</v>
      </c>
      <c r="BR1" s="28" t="s">
        <v>36</v>
      </c>
      <c r="BS1" s="28" t="s">
        <v>11</v>
      </c>
      <c r="BT1" s="28" t="s">
        <v>36</v>
      </c>
      <c r="BU1" s="28" t="s">
        <v>12</v>
      </c>
      <c r="BV1" s="28" t="s">
        <v>36</v>
      </c>
      <c r="BW1" s="28" t="s">
        <v>54</v>
      </c>
      <c r="BX1" s="28" t="s">
        <v>13</v>
      </c>
      <c r="BY1" s="28" t="s">
        <v>36</v>
      </c>
      <c r="BZ1" s="28" t="s">
        <v>14</v>
      </c>
      <c r="CA1" s="28" t="s">
        <v>36</v>
      </c>
      <c r="CB1" s="28" t="s">
        <v>15</v>
      </c>
      <c r="CC1" s="28" t="s">
        <v>36</v>
      </c>
      <c r="CD1" s="28" t="s">
        <v>55</v>
      </c>
      <c r="CE1" s="28" t="s">
        <v>16</v>
      </c>
      <c r="CF1" s="31" t="s">
        <v>36</v>
      </c>
      <c r="CG1" s="31" t="s">
        <v>143</v>
      </c>
      <c r="CH1" s="31" t="s">
        <v>144</v>
      </c>
      <c r="CI1" s="31" t="s">
        <v>145</v>
      </c>
      <c r="CJ1" s="28" t="s">
        <v>35</v>
      </c>
      <c r="CK1" s="28" t="s">
        <v>136</v>
      </c>
      <c r="CL1" s="28" t="s">
        <v>98</v>
      </c>
      <c r="CM1" s="28" t="s">
        <v>37</v>
      </c>
      <c r="CN1" s="28" t="s">
        <v>38</v>
      </c>
      <c r="CO1" s="28" t="s">
        <v>39</v>
      </c>
      <c r="CP1" s="28" t="s">
        <v>40</v>
      </c>
      <c r="CQ1" s="28" t="s">
        <v>146</v>
      </c>
      <c r="CR1" s="28" t="s">
        <v>147</v>
      </c>
      <c r="CS1" s="32" t="s">
        <v>148</v>
      </c>
      <c r="CT1" s="33" t="s">
        <v>142</v>
      </c>
      <c r="CU1" s="33" t="s">
        <v>141</v>
      </c>
      <c r="CV1" s="33" t="s">
        <v>153</v>
      </c>
    </row>
    <row r="2" spans="1:100" s="10" customFormat="1" x14ac:dyDescent="0.25">
      <c r="A2" s="34">
        <v>1</v>
      </c>
      <c r="B2" s="35" t="s">
        <v>49</v>
      </c>
      <c r="C2" s="36" t="s">
        <v>21</v>
      </c>
      <c r="D2" s="36">
        <v>33</v>
      </c>
      <c r="E2" s="36" t="s">
        <v>23</v>
      </c>
      <c r="F2" s="36" t="s">
        <v>25</v>
      </c>
      <c r="G2" s="36" t="s">
        <v>26</v>
      </c>
      <c r="H2" s="37">
        <v>24</v>
      </c>
      <c r="I2" s="36" t="s">
        <v>28</v>
      </c>
      <c r="J2" s="36"/>
      <c r="K2" s="36"/>
      <c r="L2" s="36" t="s">
        <v>28</v>
      </c>
      <c r="M2" s="36"/>
      <c r="N2" s="36">
        <v>24</v>
      </c>
      <c r="O2" s="36">
        <f t="shared" ref="O2:O11" si="0">P2+(Q2+R2)/2</f>
        <v>48</v>
      </c>
      <c r="P2" s="36">
        <f>5+7+7+3+8</f>
        <v>30</v>
      </c>
      <c r="Q2" s="36">
        <f>2+6+4+4+3+4</f>
        <v>23</v>
      </c>
      <c r="R2" s="36">
        <f>2+4+2+5</f>
        <v>13</v>
      </c>
      <c r="S2" s="38">
        <v>280.7</v>
      </c>
      <c r="T2" s="38">
        <v>282.33</v>
      </c>
      <c r="U2" s="38">
        <v>253.06</v>
      </c>
      <c r="V2" s="39">
        <f>(280.7+282.33+253.06)/3</f>
        <v>272.02999999999997</v>
      </c>
      <c r="W2" s="40">
        <v>247.37</v>
      </c>
      <c r="X2" s="40">
        <v>241.67</v>
      </c>
      <c r="Y2" s="40">
        <v>256.31</v>
      </c>
      <c r="Z2" s="39">
        <f>(247.37+241.67+256.31)/3</f>
        <v>248.44999999999996</v>
      </c>
      <c r="AA2" s="39">
        <f>(Z2-V2)</f>
        <v>-23.580000000000013</v>
      </c>
      <c r="AB2" s="38">
        <v>250.62</v>
      </c>
      <c r="AC2" s="38">
        <v>253.46</v>
      </c>
      <c r="AD2" s="38">
        <v>257.94</v>
      </c>
      <c r="AE2" s="39">
        <f>(250.62+253.46+257.94)/3</f>
        <v>254.00666666666666</v>
      </c>
      <c r="AF2" s="38">
        <v>281.52</v>
      </c>
      <c r="AG2" s="38">
        <v>276.23</v>
      </c>
      <c r="AH2" s="38">
        <v>268.51</v>
      </c>
      <c r="AI2" s="39">
        <f>(281.52+276.23+268.51)/3</f>
        <v>275.42</v>
      </c>
      <c r="AJ2" s="38">
        <v>185.57</v>
      </c>
      <c r="AK2" s="38">
        <v>185.98</v>
      </c>
      <c r="AL2" s="38">
        <v>157.93</v>
      </c>
      <c r="AM2" s="39">
        <f>(185.57+185.98+157.93)/3</f>
        <v>176.49333333333334</v>
      </c>
      <c r="AN2" s="38">
        <v>162.4</v>
      </c>
      <c r="AO2" s="38">
        <v>151.83000000000001</v>
      </c>
      <c r="AP2" s="38">
        <v>169.72</v>
      </c>
      <c r="AQ2" s="39">
        <f>(162.4+151.83+169.72)/3</f>
        <v>161.31666666666669</v>
      </c>
      <c r="AR2" s="38">
        <v>188.01</v>
      </c>
      <c r="AS2" s="38">
        <v>174.59</v>
      </c>
      <c r="AT2" s="38">
        <v>183.13</v>
      </c>
      <c r="AU2" s="39">
        <f>(AR2+AS2+AT2)/3</f>
        <v>181.91</v>
      </c>
      <c r="AV2" s="38">
        <v>131.5</v>
      </c>
      <c r="AW2" s="38">
        <v>126.62</v>
      </c>
      <c r="AX2" s="38">
        <v>137.6</v>
      </c>
      <c r="AY2" s="38">
        <f>AZ2-AM2</f>
        <v>-44.586666666666673</v>
      </c>
      <c r="AZ2" s="39">
        <f>(131.5+126.62+137.6)/3</f>
        <v>131.90666666666667</v>
      </c>
      <c r="BA2" s="36">
        <v>4</v>
      </c>
      <c r="BB2" s="41">
        <v>0.55694444444444446</v>
      </c>
      <c r="BC2" s="36">
        <v>4</v>
      </c>
      <c r="BD2" s="36">
        <f>BA2-BC2</f>
        <v>0</v>
      </c>
      <c r="BE2" s="36">
        <f>(BC2-BA2)/BA2*100</f>
        <v>0</v>
      </c>
      <c r="BF2" s="42">
        <v>0.59375</v>
      </c>
      <c r="BG2" s="36">
        <v>4</v>
      </c>
      <c r="BH2" s="42" t="s">
        <v>41</v>
      </c>
      <c r="BI2" s="43">
        <v>1</v>
      </c>
      <c r="BJ2" s="43">
        <f t="shared" ref="BJ2:BJ10" si="1">BA2-BI2</f>
        <v>3</v>
      </c>
      <c r="BK2" s="44">
        <v>0.59027777777777779</v>
      </c>
      <c r="BL2" s="36">
        <v>4</v>
      </c>
      <c r="BM2" s="42">
        <v>0.75</v>
      </c>
      <c r="BN2" s="36">
        <v>3</v>
      </c>
      <c r="BO2" s="42">
        <v>0.95833333333333337</v>
      </c>
      <c r="BP2" s="42" t="s">
        <v>28</v>
      </c>
      <c r="BQ2" s="36">
        <v>3</v>
      </c>
      <c r="BR2" s="42">
        <v>0.33333333333333331</v>
      </c>
      <c r="BS2" s="36">
        <v>2</v>
      </c>
      <c r="BT2" s="42">
        <v>0.75</v>
      </c>
      <c r="BU2" s="36">
        <v>2</v>
      </c>
      <c r="BV2" s="42">
        <v>0.95833333333333337</v>
      </c>
      <c r="BW2" s="42" t="s">
        <v>28</v>
      </c>
      <c r="BX2" s="36">
        <v>2</v>
      </c>
      <c r="BY2" s="42">
        <v>0.41666666666666669</v>
      </c>
      <c r="BZ2" s="36">
        <v>2</v>
      </c>
      <c r="CA2" s="42">
        <v>0.75</v>
      </c>
      <c r="CB2" s="36">
        <v>2</v>
      </c>
      <c r="CC2" s="42">
        <v>0.95833333333333337</v>
      </c>
      <c r="CD2" s="42" t="s">
        <v>28</v>
      </c>
      <c r="CE2" s="36">
        <v>2</v>
      </c>
      <c r="CF2" s="45">
        <v>0.33333333333333331</v>
      </c>
      <c r="CG2" s="43">
        <v>0</v>
      </c>
      <c r="CH2" s="43">
        <v>1</v>
      </c>
      <c r="CI2" s="43">
        <v>0</v>
      </c>
      <c r="CJ2" s="36" t="s">
        <v>42</v>
      </c>
      <c r="CK2" s="36"/>
      <c r="CL2" s="36"/>
      <c r="CM2" s="36" t="s">
        <v>22</v>
      </c>
      <c r="CN2" s="36" t="s">
        <v>44</v>
      </c>
      <c r="CO2" s="36" t="s">
        <v>21</v>
      </c>
      <c r="CP2" s="36" t="s">
        <v>43</v>
      </c>
      <c r="CQ2" s="36" t="s">
        <v>28</v>
      </c>
      <c r="CR2" s="36" t="s">
        <v>28</v>
      </c>
      <c r="CS2" s="46" t="s">
        <v>28</v>
      </c>
      <c r="CT2" s="35" t="s">
        <v>49</v>
      </c>
      <c r="CU2" s="47" t="s">
        <v>160</v>
      </c>
      <c r="CV2" s="47"/>
    </row>
    <row r="3" spans="1:100" s="10" customFormat="1" x14ac:dyDescent="0.25">
      <c r="A3" s="34">
        <v>2</v>
      </c>
      <c r="B3" s="35" t="s">
        <v>51</v>
      </c>
      <c r="C3" s="36" t="s">
        <v>21</v>
      </c>
      <c r="D3" s="36">
        <f>2015-1972</f>
        <v>43</v>
      </c>
      <c r="E3" s="36" t="s">
        <v>23</v>
      </c>
      <c r="F3" s="36" t="s">
        <v>26</v>
      </c>
      <c r="G3" s="36" t="s">
        <v>26</v>
      </c>
      <c r="H3" s="37">
        <v>2</v>
      </c>
      <c r="I3" s="36" t="s">
        <v>45</v>
      </c>
      <c r="J3" s="36" t="s">
        <v>45</v>
      </c>
      <c r="K3" s="36" t="s">
        <v>28</v>
      </c>
      <c r="L3" s="36" t="s">
        <v>45</v>
      </c>
      <c r="M3" s="36" t="s">
        <v>117</v>
      </c>
      <c r="N3" s="36">
        <f>1*3+2*5+3*3</f>
        <v>22</v>
      </c>
      <c r="O3" s="36">
        <f t="shared" si="0"/>
        <v>59</v>
      </c>
      <c r="P3" s="36">
        <f>4+6+8+2+8</f>
        <v>28</v>
      </c>
      <c r="Q3" s="36">
        <f>6+7+6+9+5+7</f>
        <v>40</v>
      </c>
      <c r="R3" s="36">
        <f>3+7+5+7</f>
        <v>22</v>
      </c>
      <c r="S3" s="38">
        <v>232.32</v>
      </c>
      <c r="T3" s="38">
        <v>239.64</v>
      </c>
      <c r="U3" s="38">
        <v>223.79</v>
      </c>
      <c r="V3" s="39">
        <f>(232.32+239.64+223.79)/3</f>
        <v>231.91666666666666</v>
      </c>
      <c r="W3" s="40">
        <v>255.5</v>
      </c>
      <c r="X3" s="40">
        <v>270.95</v>
      </c>
      <c r="Y3" s="40">
        <v>260.37</v>
      </c>
      <c r="Z3" s="39">
        <f>(255.5+270.95+260.37)/3</f>
        <v>262.27333333333337</v>
      </c>
      <c r="AA3" s="39">
        <f t="shared" ref="AA3:AA22" si="2">(Z3-V3)</f>
        <v>30.356666666666712</v>
      </c>
      <c r="AB3" s="38">
        <v>227.04</v>
      </c>
      <c r="AC3" s="38">
        <v>247.37</v>
      </c>
      <c r="AD3" s="38">
        <v>225.82</v>
      </c>
      <c r="AE3" s="39">
        <f>(227.04+247.37+225.82)/3</f>
        <v>233.41</v>
      </c>
      <c r="AF3" s="38">
        <v>221.35</v>
      </c>
      <c r="AG3" s="38">
        <v>226.23</v>
      </c>
      <c r="AH3" s="38">
        <v>241.27</v>
      </c>
      <c r="AI3" s="39">
        <f>(221.35+226.23+241.27)/3</f>
        <v>229.61666666666667</v>
      </c>
      <c r="AJ3" s="38">
        <v>99.79</v>
      </c>
      <c r="AK3" s="38">
        <v>107.51</v>
      </c>
      <c r="AL3" s="38">
        <v>94.91</v>
      </c>
      <c r="AM3" s="39">
        <f>(99.79+107.51+94.91)/3</f>
        <v>100.73666666666668</v>
      </c>
      <c r="AN3" s="38">
        <v>120.52</v>
      </c>
      <c r="AO3" s="38">
        <v>125.81</v>
      </c>
      <c r="AP3" s="38">
        <v>121.34</v>
      </c>
      <c r="AQ3" s="39">
        <f>(120.52+125.81+121.34)/3</f>
        <v>122.55666666666666</v>
      </c>
      <c r="AR3" s="38">
        <v>153.44999999999999</v>
      </c>
      <c r="AS3" s="38">
        <v>140.85</v>
      </c>
      <c r="AT3" s="38">
        <v>158.74</v>
      </c>
      <c r="AU3" s="39">
        <f>(153.45+140.85+158.74)/3</f>
        <v>151.01333333333332</v>
      </c>
      <c r="AV3" s="38">
        <v>146.94999999999999</v>
      </c>
      <c r="AW3" s="38">
        <v>159.15</v>
      </c>
      <c r="AX3" s="38">
        <v>134.75</v>
      </c>
      <c r="AY3" s="38">
        <f t="shared" ref="AY3:AY22" si="3">AZ3-AM3</f>
        <v>46.213333333333338</v>
      </c>
      <c r="AZ3" s="39">
        <f>(146.95+159.15+134.75)/3</f>
        <v>146.95000000000002</v>
      </c>
      <c r="BA3" s="36">
        <v>7</v>
      </c>
      <c r="BB3" s="41">
        <v>0.46736111111111112</v>
      </c>
      <c r="BC3" s="36">
        <v>6</v>
      </c>
      <c r="BD3" s="36">
        <f t="shared" ref="BD3:BD22" si="4">BA3-BC3</f>
        <v>1</v>
      </c>
      <c r="BE3" s="36">
        <f t="shared" ref="BE3:BE22" si="5">(BC3-BA3)/BA3*100</f>
        <v>-14.285714285714285</v>
      </c>
      <c r="BF3" s="42">
        <v>0.50486111111111109</v>
      </c>
      <c r="BG3" s="36">
        <v>6</v>
      </c>
      <c r="BH3" s="42">
        <v>0.51944444444444449</v>
      </c>
      <c r="BI3" s="43">
        <v>6</v>
      </c>
      <c r="BJ3" s="43">
        <f t="shared" si="1"/>
        <v>1</v>
      </c>
      <c r="BK3" s="44">
        <v>0.51250000000000007</v>
      </c>
      <c r="BL3" s="36">
        <v>6</v>
      </c>
      <c r="BM3" s="42">
        <v>0.70208333333333339</v>
      </c>
      <c r="BN3" s="36">
        <v>7</v>
      </c>
      <c r="BO3" s="42">
        <v>0.88958333333333339</v>
      </c>
      <c r="BP3" s="42" t="s">
        <v>28</v>
      </c>
      <c r="BQ3" s="36">
        <v>7</v>
      </c>
      <c r="BR3" s="42">
        <v>0.23055555555555554</v>
      </c>
      <c r="BS3" s="36">
        <v>6</v>
      </c>
      <c r="BT3" s="42">
        <v>0.57638888888888895</v>
      </c>
      <c r="BU3" s="36">
        <v>7</v>
      </c>
      <c r="BV3" s="42" t="s">
        <v>57</v>
      </c>
      <c r="BW3" s="42" t="s">
        <v>28</v>
      </c>
      <c r="BX3" s="36">
        <v>5</v>
      </c>
      <c r="BY3" s="42">
        <v>0.23958333333333334</v>
      </c>
      <c r="BZ3" s="36">
        <v>6</v>
      </c>
      <c r="CA3" s="42" t="s">
        <v>57</v>
      </c>
      <c r="CB3" s="36">
        <v>6</v>
      </c>
      <c r="CC3" s="42" t="s">
        <v>57</v>
      </c>
      <c r="CD3" s="42" t="s">
        <v>28</v>
      </c>
      <c r="CE3" s="36">
        <v>6</v>
      </c>
      <c r="CF3" s="45">
        <v>0.23958333333333334</v>
      </c>
      <c r="CG3" s="43">
        <v>2</v>
      </c>
      <c r="CH3" s="43">
        <v>2</v>
      </c>
      <c r="CI3" s="43">
        <v>2</v>
      </c>
      <c r="CJ3" s="36" t="s">
        <v>42</v>
      </c>
      <c r="CK3" s="36"/>
      <c r="CL3" s="36"/>
      <c r="CM3" s="36" t="s">
        <v>21</v>
      </c>
      <c r="CN3" s="36" t="s">
        <v>44</v>
      </c>
      <c r="CO3" s="36" t="s">
        <v>21</v>
      </c>
      <c r="CP3" s="36" t="s">
        <v>46</v>
      </c>
      <c r="CQ3" s="36" t="s">
        <v>28</v>
      </c>
      <c r="CR3" s="36" t="s">
        <v>28</v>
      </c>
      <c r="CS3" s="46" t="s">
        <v>28</v>
      </c>
      <c r="CT3" s="35" t="s">
        <v>51</v>
      </c>
      <c r="CU3" s="47" t="s">
        <v>151</v>
      </c>
      <c r="CV3" s="47"/>
    </row>
    <row r="4" spans="1:100" s="10" customFormat="1" x14ac:dyDescent="0.25">
      <c r="A4" s="34">
        <v>3</v>
      </c>
      <c r="B4" s="35" t="s">
        <v>86</v>
      </c>
      <c r="C4" s="36" t="s">
        <v>21</v>
      </c>
      <c r="D4" s="36">
        <v>44</v>
      </c>
      <c r="E4" s="36" t="s">
        <v>23</v>
      </c>
      <c r="F4" s="36" t="s">
        <v>26</v>
      </c>
      <c r="G4" s="36" t="s">
        <v>26</v>
      </c>
      <c r="H4" s="37">
        <v>4</v>
      </c>
      <c r="I4" s="36" t="s">
        <v>45</v>
      </c>
      <c r="J4" s="36" t="s">
        <v>45</v>
      </c>
      <c r="K4" s="36" t="s">
        <v>28</v>
      </c>
      <c r="L4" s="36" t="s">
        <v>28</v>
      </c>
      <c r="M4" s="36"/>
      <c r="N4" s="36">
        <f>1*5+2*4+3*2</f>
        <v>19</v>
      </c>
      <c r="O4" s="36">
        <f t="shared" si="0"/>
        <v>46</v>
      </c>
      <c r="P4" s="36">
        <f>2+6+8+1+8</f>
        <v>25</v>
      </c>
      <c r="Q4" s="36">
        <f>4+8+3+7+3+5</f>
        <v>30</v>
      </c>
      <c r="R4" s="36">
        <f>2+3+5+2</f>
        <v>12</v>
      </c>
      <c r="S4" s="38">
        <v>253.87</v>
      </c>
      <c r="T4" s="38">
        <v>244.93</v>
      </c>
      <c r="U4" s="38">
        <v>227.04</v>
      </c>
      <c r="V4" s="39">
        <f t="shared" ref="V4:V11" si="6">(S4+T4+U4)/3</f>
        <v>241.94666666666669</v>
      </c>
      <c r="W4" s="40">
        <v>241.27</v>
      </c>
      <c r="X4" s="40">
        <v>259.56</v>
      </c>
      <c r="Y4" s="40">
        <v>259.56</v>
      </c>
      <c r="Z4" s="39">
        <f t="shared" ref="Z4:Z11" si="7">(W4+X4+Y4)/3</f>
        <v>253.46333333333337</v>
      </c>
      <c r="AA4" s="39">
        <f t="shared" si="2"/>
        <v>11.51666666666668</v>
      </c>
      <c r="AB4" s="38">
        <v>325.02</v>
      </c>
      <c r="AC4" s="38">
        <v>329.08</v>
      </c>
      <c r="AD4" s="38">
        <v>323.39</v>
      </c>
      <c r="AE4" s="39">
        <f t="shared" ref="AE4:AE10" si="8">(AB4+AC4+AD4)/3</f>
        <v>325.83</v>
      </c>
      <c r="AF4" s="38">
        <v>266.47000000000003</v>
      </c>
      <c r="AG4" s="38">
        <v>248.18</v>
      </c>
      <c r="AH4" s="38">
        <v>260.77999999999997</v>
      </c>
      <c r="AI4" s="39">
        <f t="shared" ref="AI4:AI10" si="9">(AF4+AG4+AH4)/3</f>
        <v>258.47666666666669</v>
      </c>
      <c r="AJ4" s="38">
        <v>64.010000000000005</v>
      </c>
      <c r="AK4" s="38">
        <v>81.900000000000006</v>
      </c>
      <c r="AL4" s="38">
        <v>76.62</v>
      </c>
      <c r="AM4" s="39">
        <f t="shared" ref="AM4:AM11" si="10">(AJ4+AK4+AL4)/3</f>
        <v>74.176666666666677</v>
      </c>
      <c r="AN4" s="38">
        <v>87.59</v>
      </c>
      <c r="AO4" s="38">
        <v>93.29</v>
      </c>
      <c r="AP4" s="38">
        <v>111.58</v>
      </c>
      <c r="AQ4" s="39">
        <f t="shared" ref="AQ4:AQ11" si="11">(AN4+AO4+AP4)/3</f>
        <v>97.486666666666665</v>
      </c>
      <c r="AR4" s="38">
        <v>116.46</v>
      </c>
      <c r="AS4" s="38">
        <v>123.37</v>
      </c>
      <c r="AT4" s="38">
        <v>118.08</v>
      </c>
      <c r="AU4" s="39">
        <f t="shared" ref="AU4:AU9" si="12">(AR4+AS4+AT4)/3</f>
        <v>119.30333333333333</v>
      </c>
      <c r="AV4" s="38">
        <v>118.49</v>
      </c>
      <c r="AW4" s="38">
        <v>120.93</v>
      </c>
      <c r="AX4" s="38">
        <v>119.3</v>
      </c>
      <c r="AY4" s="38">
        <f t="shared" si="3"/>
        <v>45.396666666666661</v>
      </c>
      <c r="AZ4" s="39">
        <f t="shared" ref="AZ4:AZ10" si="13">(AV4+AW4+AX4)/3</f>
        <v>119.57333333333334</v>
      </c>
      <c r="BA4" s="36">
        <v>6</v>
      </c>
      <c r="BB4" s="41">
        <v>0.65763888888888888</v>
      </c>
      <c r="BC4" s="36">
        <v>0</v>
      </c>
      <c r="BD4" s="36">
        <f t="shared" si="4"/>
        <v>6</v>
      </c>
      <c r="BE4" s="36">
        <f t="shared" si="5"/>
        <v>-100</v>
      </c>
      <c r="BF4" s="42">
        <v>0.69444444444444453</v>
      </c>
      <c r="BG4" s="36">
        <v>6</v>
      </c>
      <c r="BH4" s="42">
        <v>0.69444444444444453</v>
      </c>
      <c r="BI4" s="43">
        <v>3</v>
      </c>
      <c r="BJ4" s="43">
        <f t="shared" si="1"/>
        <v>3</v>
      </c>
      <c r="BK4" s="44">
        <v>0.69236111111111109</v>
      </c>
      <c r="BL4" s="36">
        <v>6</v>
      </c>
      <c r="BM4" s="42">
        <v>0.875</v>
      </c>
      <c r="BN4" s="36">
        <v>6</v>
      </c>
      <c r="BO4" s="42">
        <v>0.95833333333333337</v>
      </c>
      <c r="BP4" s="42" t="s">
        <v>56</v>
      </c>
      <c r="BQ4" s="36">
        <v>6</v>
      </c>
      <c r="BR4" s="42">
        <v>0.29166666666666669</v>
      </c>
      <c r="BS4" s="36">
        <v>7</v>
      </c>
      <c r="BT4" s="42">
        <v>0.54166666666666663</v>
      </c>
      <c r="BU4" s="36">
        <v>6</v>
      </c>
      <c r="BV4" s="42">
        <v>0.95833333333333337</v>
      </c>
      <c r="BW4" s="42" t="s">
        <v>28</v>
      </c>
      <c r="BX4" s="36">
        <v>6</v>
      </c>
      <c r="BY4" s="42">
        <v>0.3125</v>
      </c>
      <c r="BZ4" s="36">
        <v>6</v>
      </c>
      <c r="CA4" s="42">
        <v>0.5</v>
      </c>
      <c r="CB4" s="36">
        <v>6</v>
      </c>
      <c r="CC4" s="42">
        <v>0.91666666666666663</v>
      </c>
      <c r="CD4" s="42" t="s">
        <v>28</v>
      </c>
      <c r="CE4" s="36">
        <v>6</v>
      </c>
      <c r="CF4" s="45">
        <v>0.3125</v>
      </c>
      <c r="CG4" s="43">
        <v>1</v>
      </c>
      <c r="CH4" s="43">
        <v>1</v>
      </c>
      <c r="CI4" s="43">
        <v>2</v>
      </c>
      <c r="CJ4" s="36" t="s">
        <v>87</v>
      </c>
      <c r="CK4" s="36"/>
      <c r="CL4" s="36"/>
      <c r="CM4" s="36" t="s">
        <v>21</v>
      </c>
      <c r="CN4" s="36" t="s">
        <v>88</v>
      </c>
      <c r="CO4" s="36" t="s">
        <v>21</v>
      </c>
      <c r="CP4" s="36" t="s">
        <v>46</v>
      </c>
      <c r="CQ4" s="36" t="s">
        <v>28</v>
      </c>
      <c r="CR4" s="36" t="s">
        <v>28</v>
      </c>
      <c r="CS4" s="46" t="s">
        <v>28</v>
      </c>
      <c r="CT4" s="35" t="s">
        <v>86</v>
      </c>
      <c r="CU4" s="47" t="s">
        <v>151</v>
      </c>
      <c r="CV4" s="47" t="s">
        <v>163</v>
      </c>
    </row>
    <row r="5" spans="1:100" s="10" customFormat="1" x14ac:dyDescent="0.25">
      <c r="A5" s="34">
        <v>4</v>
      </c>
      <c r="B5" s="35" t="s">
        <v>95</v>
      </c>
      <c r="C5" s="36" t="s">
        <v>21</v>
      </c>
      <c r="D5" s="36">
        <v>43</v>
      </c>
      <c r="E5" s="36" t="s">
        <v>23</v>
      </c>
      <c r="F5" s="36" t="s">
        <v>25</v>
      </c>
      <c r="G5" s="36" t="s">
        <v>26</v>
      </c>
      <c r="H5" s="37">
        <v>8</v>
      </c>
      <c r="I5" s="36" t="s">
        <v>45</v>
      </c>
      <c r="J5" s="36" t="s">
        <v>45</v>
      </c>
      <c r="K5" s="36" t="s">
        <v>28</v>
      </c>
      <c r="L5" s="36" t="s">
        <v>45</v>
      </c>
      <c r="M5" s="36" t="s">
        <v>115</v>
      </c>
      <c r="N5" s="36">
        <f>1*2+2*5+3*4</f>
        <v>24</v>
      </c>
      <c r="O5" s="36">
        <f t="shared" si="0"/>
        <v>51</v>
      </c>
      <c r="P5" s="36">
        <f>5+5+7+2+7</f>
        <v>26</v>
      </c>
      <c r="Q5" s="36">
        <f>5+6+4+5+3+6</f>
        <v>29</v>
      </c>
      <c r="R5" s="36">
        <f>5+5+6+5</f>
        <v>21</v>
      </c>
      <c r="S5" s="38">
        <v>202.65</v>
      </c>
      <c r="T5" s="38">
        <v>211.59</v>
      </c>
      <c r="U5" s="38">
        <v>221.35</v>
      </c>
      <c r="V5" s="39">
        <f t="shared" si="6"/>
        <v>211.86333333333334</v>
      </c>
      <c r="W5" s="40">
        <v>235.17</v>
      </c>
      <c r="X5" s="40">
        <v>266.88</v>
      </c>
      <c r="Y5" s="40">
        <v>232.73</v>
      </c>
      <c r="Z5" s="39">
        <f t="shared" si="7"/>
        <v>244.92666666666665</v>
      </c>
      <c r="AA5" s="39">
        <f t="shared" si="2"/>
        <v>33.063333333333304</v>
      </c>
      <c r="AB5" s="38">
        <v>248.99</v>
      </c>
      <c r="AC5" s="38">
        <v>229.48</v>
      </c>
      <c r="AD5" s="38">
        <v>248.18</v>
      </c>
      <c r="AE5" s="39">
        <f t="shared" si="8"/>
        <v>242.2166666666667</v>
      </c>
      <c r="AF5" s="38">
        <v>222.16</v>
      </c>
      <c r="AG5" s="38">
        <v>247.37</v>
      </c>
      <c r="AH5" s="38">
        <v>269.32</v>
      </c>
      <c r="AI5" s="39">
        <f t="shared" si="9"/>
        <v>246.2833333333333</v>
      </c>
      <c r="AJ5" s="38">
        <v>124.18</v>
      </c>
      <c r="AK5" s="38">
        <v>109.95</v>
      </c>
      <c r="AL5" s="38">
        <v>126.62</v>
      </c>
      <c r="AM5" s="39">
        <f t="shared" si="10"/>
        <v>120.25</v>
      </c>
      <c r="AN5" s="38">
        <v>89.63</v>
      </c>
      <c r="AO5" s="38">
        <v>100.2</v>
      </c>
      <c r="AP5" s="38">
        <v>103.04</v>
      </c>
      <c r="AQ5" s="39">
        <f t="shared" si="11"/>
        <v>97.623333333333335</v>
      </c>
      <c r="AR5" s="38">
        <v>113.61</v>
      </c>
      <c r="AS5" s="38">
        <v>111.99</v>
      </c>
      <c r="AT5" s="38">
        <v>82.72</v>
      </c>
      <c r="AU5" s="39">
        <f t="shared" si="12"/>
        <v>102.77333333333333</v>
      </c>
      <c r="AV5" s="38">
        <v>131.09</v>
      </c>
      <c r="AW5" s="38">
        <v>158.74</v>
      </c>
      <c r="AX5" s="38">
        <v>158.74</v>
      </c>
      <c r="AY5" s="38">
        <f t="shared" si="3"/>
        <v>29.273333333333341</v>
      </c>
      <c r="AZ5" s="39">
        <f t="shared" si="13"/>
        <v>149.52333333333334</v>
      </c>
      <c r="BA5" s="36">
        <v>0</v>
      </c>
      <c r="BB5" s="41">
        <v>0.73125000000000007</v>
      </c>
      <c r="BC5" s="36">
        <v>0</v>
      </c>
      <c r="BD5" s="36">
        <f t="shared" si="4"/>
        <v>0</v>
      </c>
      <c r="BE5" s="36"/>
      <c r="BF5" s="42">
        <v>0.76527777777777783</v>
      </c>
      <c r="BG5" s="36">
        <v>0</v>
      </c>
      <c r="BH5" s="42">
        <v>0.71736111111111101</v>
      </c>
      <c r="BI5" s="43">
        <v>0</v>
      </c>
      <c r="BJ5" s="43">
        <f t="shared" si="1"/>
        <v>0</v>
      </c>
      <c r="BK5" s="44">
        <v>0.71736111111111101</v>
      </c>
      <c r="BL5" s="36">
        <v>1</v>
      </c>
      <c r="BM5" s="42">
        <v>0.875</v>
      </c>
      <c r="BN5" s="36">
        <v>0</v>
      </c>
      <c r="BO5" s="42">
        <v>0.97916666666666663</v>
      </c>
      <c r="BP5" s="42" t="s">
        <v>28</v>
      </c>
      <c r="BQ5" s="36">
        <v>2</v>
      </c>
      <c r="BR5" s="42">
        <v>0.27083333333333331</v>
      </c>
      <c r="BS5" s="36">
        <v>5</v>
      </c>
      <c r="BT5" s="42">
        <v>0.3125</v>
      </c>
      <c r="BU5" s="36">
        <v>1</v>
      </c>
      <c r="BV5" s="42">
        <v>0.97916666666666663</v>
      </c>
      <c r="BW5" s="42" t="s">
        <v>28</v>
      </c>
      <c r="BX5" s="36">
        <v>0</v>
      </c>
      <c r="BY5" s="42">
        <v>0.28472222222222221</v>
      </c>
      <c r="BZ5" s="36">
        <v>0</v>
      </c>
      <c r="CA5" s="42">
        <v>0.54166666666666663</v>
      </c>
      <c r="CB5" s="36">
        <v>0</v>
      </c>
      <c r="CC5" s="42">
        <v>0.97916666666666663</v>
      </c>
      <c r="CD5" s="42" t="s">
        <v>28</v>
      </c>
      <c r="CE5" s="36">
        <v>0</v>
      </c>
      <c r="CF5" s="45">
        <v>0.28472222222222221</v>
      </c>
      <c r="CG5" s="43">
        <v>1</v>
      </c>
      <c r="CH5" s="43">
        <v>1</v>
      </c>
      <c r="CI5" s="43">
        <v>1</v>
      </c>
      <c r="CJ5" s="36" t="s">
        <v>87</v>
      </c>
      <c r="CK5" s="36"/>
      <c r="CL5" s="36"/>
      <c r="CM5" s="36" t="s">
        <v>21</v>
      </c>
      <c r="CN5" s="36" t="s">
        <v>44</v>
      </c>
      <c r="CO5" s="36" t="s">
        <v>21</v>
      </c>
      <c r="CP5" s="36" t="s">
        <v>46</v>
      </c>
      <c r="CQ5" s="36" t="s">
        <v>28</v>
      </c>
      <c r="CR5" s="36" t="s">
        <v>28</v>
      </c>
      <c r="CS5" s="46" t="s">
        <v>28</v>
      </c>
      <c r="CT5" s="35" t="s">
        <v>95</v>
      </c>
      <c r="CU5" s="47" t="s">
        <v>151</v>
      </c>
      <c r="CV5" s="47"/>
    </row>
    <row r="6" spans="1:100" s="10" customFormat="1" x14ac:dyDescent="0.25">
      <c r="A6" s="34">
        <v>5</v>
      </c>
      <c r="B6" s="35" t="s">
        <v>109</v>
      </c>
      <c r="C6" s="36" t="s">
        <v>21</v>
      </c>
      <c r="D6" s="36">
        <f>2015-1963</f>
        <v>52</v>
      </c>
      <c r="E6" s="36" t="s">
        <v>23</v>
      </c>
      <c r="F6" s="36" t="s">
        <v>26</v>
      </c>
      <c r="G6" s="36" t="s">
        <v>26</v>
      </c>
      <c r="H6" s="37">
        <v>5</v>
      </c>
      <c r="I6" s="36" t="s">
        <v>45</v>
      </c>
      <c r="J6" s="36" t="s">
        <v>28</v>
      </c>
      <c r="K6" s="36" t="s">
        <v>45</v>
      </c>
      <c r="L6" s="36" t="s">
        <v>45</v>
      </c>
      <c r="M6" s="36" t="s">
        <v>110</v>
      </c>
      <c r="N6" s="36">
        <f>4*7+3*4</f>
        <v>40</v>
      </c>
      <c r="O6" s="36">
        <f t="shared" si="0"/>
        <v>93.5</v>
      </c>
      <c r="P6" s="36">
        <f>8+10+10+7+10</f>
        <v>45</v>
      </c>
      <c r="Q6" s="36">
        <f>10+10+10+10+9+10</f>
        <v>59</v>
      </c>
      <c r="R6" s="36">
        <f>9+10+10+9</f>
        <v>38</v>
      </c>
      <c r="S6" s="38">
        <v>259.97000000000003</v>
      </c>
      <c r="T6" s="38">
        <v>288.02</v>
      </c>
      <c r="U6" s="38">
        <v>290.45999999999998</v>
      </c>
      <c r="V6" s="39">
        <f t="shared" si="6"/>
        <v>279.48333333333335</v>
      </c>
      <c r="W6" s="40">
        <v>280.7</v>
      </c>
      <c r="X6" s="40">
        <v>276.23</v>
      </c>
      <c r="Y6" s="40">
        <v>270.95</v>
      </c>
      <c r="Z6" s="39">
        <f t="shared" si="7"/>
        <v>275.96000000000004</v>
      </c>
      <c r="AA6" s="39">
        <f t="shared" si="2"/>
        <v>-3.5233333333333121</v>
      </c>
      <c r="AB6" s="38">
        <v>289.64999999999998</v>
      </c>
      <c r="AC6" s="38">
        <v>296.56</v>
      </c>
      <c r="AD6" s="38">
        <v>285.99</v>
      </c>
      <c r="AE6" s="39">
        <f t="shared" si="8"/>
        <v>290.73333333333335</v>
      </c>
      <c r="AF6" s="38">
        <v>299.39999999999998</v>
      </c>
      <c r="AG6" s="38">
        <v>310.38</v>
      </c>
      <c r="AH6" s="38">
        <v>299</v>
      </c>
      <c r="AI6" s="39">
        <f t="shared" si="9"/>
        <v>302.92666666666668</v>
      </c>
      <c r="AJ6" s="38">
        <v>78.239999999999995</v>
      </c>
      <c r="AK6" s="38">
        <v>62.39</v>
      </c>
      <c r="AL6" s="38">
        <v>91.66</v>
      </c>
      <c r="AM6" s="39">
        <f t="shared" si="10"/>
        <v>77.429999999999993</v>
      </c>
      <c r="AN6" s="38">
        <f>79.06</f>
        <v>79.06</v>
      </c>
      <c r="AO6" s="38">
        <v>78.239999999999995</v>
      </c>
      <c r="AP6" s="38">
        <v>68.489999999999995</v>
      </c>
      <c r="AQ6" s="39">
        <f t="shared" si="11"/>
        <v>75.263333333333335</v>
      </c>
      <c r="AR6" s="38">
        <v>114.83</v>
      </c>
      <c r="AS6" s="38">
        <v>121.74</v>
      </c>
      <c r="AT6" s="38">
        <v>120.93</v>
      </c>
      <c r="AU6" s="39">
        <f t="shared" si="12"/>
        <v>119.16666666666667</v>
      </c>
      <c r="AV6" s="38">
        <v>113.61</v>
      </c>
      <c r="AW6" s="38">
        <v>118.49</v>
      </c>
      <c r="AX6" s="38">
        <v>125.4</v>
      </c>
      <c r="AY6" s="38">
        <f t="shared" si="3"/>
        <v>41.736666666666679</v>
      </c>
      <c r="AZ6" s="39">
        <f t="shared" si="13"/>
        <v>119.16666666666667</v>
      </c>
      <c r="BA6" s="36">
        <v>9</v>
      </c>
      <c r="BB6" s="41">
        <v>0.48055555555555557</v>
      </c>
      <c r="BC6" s="36">
        <v>9</v>
      </c>
      <c r="BD6" s="36">
        <f t="shared" si="4"/>
        <v>0</v>
      </c>
      <c r="BE6" s="36">
        <f t="shared" si="5"/>
        <v>0</v>
      </c>
      <c r="BF6" s="42">
        <v>0.52083333333333337</v>
      </c>
      <c r="BG6" s="36">
        <v>8</v>
      </c>
      <c r="BH6" s="42">
        <v>0.51458333333333328</v>
      </c>
      <c r="BI6" s="43">
        <v>6</v>
      </c>
      <c r="BJ6" s="43">
        <f t="shared" si="1"/>
        <v>3</v>
      </c>
      <c r="BK6" s="44">
        <v>0.50555555555555554</v>
      </c>
      <c r="BL6" s="36">
        <v>8</v>
      </c>
      <c r="BM6" s="42">
        <v>0.75</v>
      </c>
      <c r="BN6" s="36">
        <v>8</v>
      </c>
      <c r="BO6" s="42">
        <v>0.9375</v>
      </c>
      <c r="BP6" s="42" t="s">
        <v>112</v>
      </c>
      <c r="BQ6" s="36">
        <v>9</v>
      </c>
      <c r="BR6" s="42">
        <v>0.33333333333333331</v>
      </c>
      <c r="BS6" s="36">
        <v>8</v>
      </c>
      <c r="BT6" s="42">
        <v>0.79166666666666663</v>
      </c>
      <c r="BU6" s="36">
        <v>8</v>
      </c>
      <c r="BV6" s="42">
        <v>0.98958333333333337</v>
      </c>
      <c r="BW6" s="42" t="s">
        <v>113</v>
      </c>
      <c r="BX6" s="36">
        <v>7</v>
      </c>
      <c r="BY6" s="42">
        <v>0.41666666666666669</v>
      </c>
      <c r="BZ6" s="36">
        <v>7</v>
      </c>
      <c r="CA6" s="42">
        <v>0.66666666666666663</v>
      </c>
      <c r="CB6" s="36">
        <v>6</v>
      </c>
      <c r="CC6" s="42">
        <v>0.92708333333333337</v>
      </c>
      <c r="CD6" s="42" t="s">
        <v>91</v>
      </c>
      <c r="CE6" s="36">
        <v>7</v>
      </c>
      <c r="CF6" s="45">
        <v>0.375</v>
      </c>
      <c r="CG6" s="43" t="s">
        <v>138</v>
      </c>
      <c r="CH6" s="43">
        <v>1</v>
      </c>
      <c r="CI6" s="43">
        <v>1</v>
      </c>
      <c r="CJ6" s="36" t="s">
        <v>111</v>
      </c>
      <c r="CK6" s="36" t="s">
        <v>42</v>
      </c>
      <c r="CL6" s="36"/>
      <c r="CM6" s="36" t="s">
        <v>21</v>
      </c>
      <c r="CN6" s="36" t="s">
        <v>44</v>
      </c>
      <c r="CO6" s="36" t="s">
        <v>21</v>
      </c>
      <c r="CP6" s="36" t="s">
        <v>94</v>
      </c>
      <c r="CQ6" s="36" t="s">
        <v>28</v>
      </c>
      <c r="CR6" s="36" t="s">
        <v>28</v>
      </c>
      <c r="CS6" s="46" t="s">
        <v>28</v>
      </c>
      <c r="CT6" s="35" t="s">
        <v>109</v>
      </c>
      <c r="CU6" s="47" t="s">
        <v>152</v>
      </c>
      <c r="CV6" s="47" t="s">
        <v>154</v>
      </c>
    </row>
    <row r="7" spans="1:100" s="10" customFormat="1" x14ac:dyDescent="0.25">
      <c r="A7" s="34">
        <v>6</v>
      </c>
      <c r="B7" s="35" t="s">
        <v>102</v>
      </c>
      <c r="C7" s="36" t="s">
        <v>21</v>
      </c>
      <c r="D7" s="36">
        <f>2015-1970</f>
        <v>45</v>
      </c>
      <c r="E7" s="36" t="s">
        <v>24</v>
      </c>
      <c r="F7" s="36" t="s">
        <v>25</v>
      </c>
      <c r="G7" s="36" t="s">
        <v>26</v>
      </c>
      <c r="H7" s="37">
        <v>6</v>
      </c>
      <c r="I7" s="36" t="s">
        <v>45</v>
      </c>
      <c r="J7" s="36" t="s">
        <v>28</v>
      </c>
      <c r="K7" s="36" t="s">
        <v>28</v>
      </c>
      <c r="L7" s="36" t="s">
        <v>28</v>
      </c>
      <c r="M7" s="36"/>
      <c r="N7" s="36">
        <f>3*10+2</f>
        <v>32</v>
      </c>
      <c r="O7" s="36">
        <f t="shared" si="0"/>
        <v>48.5</v>
      </c>
      <c r="P7" s="36">
        <f>3+8+8+2+8</f>
        <v>29</v>
      </c>
      <c r="Q7" s="36">
        <f>3+5+4+4+1+5</f>
        <v>22</v>
      </c>
      <c r="R7" s="36">
        <f>1+3+5+8</f>
        <v>17</v>
      </c>
      <c r="S7" s="38">
        <v>614.88</v>
      </c>
      <c r="T7" s="38">
        <v>601.05999999999995</v>
      </c>
      <c r="U7" s="38">
        <v>574.63</v>
      </c>
      <c r="V7" s="39">
        <f t="shared" si="6"/>
        <v>596.85666666666668</v>
      </c>
      <c r="W7" s="40">
        <v>531.54</v>
      </c>
      <c r="X7" s="40">
        <v>520.97</v>
      </c>
      <c r="Y7" s="40">
        <v>526.25</v>
      </c>
      <c r="Z7" s="39">
        <f t="shared" si="7"/>
        <v>526.25333333333333</v>
      </c>
      <c r="AA7" s="39">
        <f t="shared" si="2"/>
        <v>-70.603333333333353</v>
      </c>
      <c r="AB7" s="38">
        <v>516.09</v>
      </c>
      <c r="AC7" s="38">
        <v>491.7</v>
      </c>
      <c r="AD7" s="38">
        <v>520.55999999999995</v>
      </c>
      <c r="AE7" s="39">
        <f t="shared" si="8"/>
        <v>509.45</v>
      </c>
      <c r="AF7" s="38">
        <v>536.41999999999996</v>
      </c>
      <c r="AG7" s="38">
        <v>538.45000000000005</v>
      </c>
      <c r="AH7" s="38">
        <v>542.91999999999996</v>
      </c>
      <c r="AI7" s="39">
        <f t="shared" si="9"/>
        <v>539.26333333333332</v>
      </c>
      <c r="AJ7" s="38">
        <v>432.34</v>
      </c>
      <c r="AK7" s="38">
        <v>461.61</v>
      </c>
      <c r="AL7" s="38">
        <v>502.68</v>
      </c>
      <c r="AM7" s="39">
        <f t="shared" si="10"/>
        <v>465.54333333333335</v>
      </c>
      <c r="AN7" s="38">
        <v>377.87</v>
      </c>
      <c r="AO7" s="38">
        <v>400.63</v>
      </c>
      <c r="AP7" s="38">
        <v>388.03</v>
      </c>
      <c r="AQ7" s="39">
        <f t="shared" si="11"/>
        <v>388.84333333333331</v>
      </c>
      <c r="AR7" s="38">
        <v>455.52</v>
      </c>
      <c r="AS7" s="38">
        <v>491.29</v>
      </c>
      <c r="AT7" s="38">
        <v>439.25</v>
      </c>
      <c r="AU7" s="39">
        <f t="shared" si="12"/>
        <v>462.02</v>
      </c>
      <c r="AV7" s="38">
        <v>457.14</v>
      </c>
      <c r="AW7" s="38">
        <v>485.6</v>
      </c>
      <c r="AX7" s="38">
        <v>447.39</v>
      </c>
      <c r="AY7" s="38">
        <f t="shared" si="3"/>
        <v>-2.1666666666666288</v>
      </c>
      <c r="AZ7" s="39">
        <f t="shared" si="13"/>
        <v>463.37666666666672</v>
      </c>
      <c r="BA7" s="36">
        <v>7</v>
      </c>
      <c r="BB7" s="41">
        <v>0.62083333333333335</v>
      </c>
      <c r="BC7" s="36">
        <v>7</v>
      </c>
      <c r="BD7" s="36">
        <f t="shared" si="4"/>
        <v>0</v>
      </c>
      <c r="BE7" s="36">
        <f t="shared" si="5"/>
        <v>0</v>
      </c>
      <c r="BF7" s="42">
        <v>0.65902777777777777</v>
      </c>
      <c r="BG7" s="36">
        <v>6</v>
      </c>
      <c r="BH7" s="42">
        <v>0.63124999999999998</v>
      </c>
      <c r="BI7" s="43">
        <v>3</v>
      </c>
      <c r="BJ7" s="43">
        <f t="shared" si="1"/>
        <v>4</v>
      </c>
      <c r="BK7" s="44">
        <v>0.54999999999999993</v>
      </c>
      <c r="BL7" s="36">
        <v>7</v>
      </c>
      <c r="BM7" s="42">
        <v>0.625</v>
      </c>
      <c r="BN7" s="36">
        <v>6</v>
      </c>
      <c r="BO7" s="42">
        <v>0.93402777777777779</v>
      </c>
      <c r="BP7" s="42" t="s">
        <v>99</v>
      </c>
      <c r="BQ7" s="36">
        <v>5</v>
      </c>
      <c r="BR7" s="42">
        <v>0.30208333333333331</v>
      </c>
      <c r="BS7" s="36">
        <v>5</v>
      </c>
      <c r="BT7" s="42">
        <v>0.5</v>
      </c>
      <c r="BU7" s="36">
        <v>4</v>
      </c>
      <c r="BV7" s="42">
        <v>0.9375</v>
      </c>
      <c r="BW7" s="42" t="s">
        <v>56</v>
      </c>
      <c r="BX7" s="36">
        <v>3</v>
      </c>
      <c r="BY7" s="42">
        <v>0.25</v>
      </c>
      <c r="BZ7" s="36">
        <v>3</v>
      </c>
      <c r="CA7" s="42">
        <v>0.63541666666666663</v>
      </c>
      <c r="CB7" s="36">
        <v>3</v>
      </c>
      <c r="CC7" s="42">
        <v>0.9375</v>
      </c>
      <c r="CD7" s="42" t="s">
        <v>28</v>
      </c>
      <c r="CE7" s="36">
        <v>3</v>
      </c>
      <c r="CF7" s="45">
        <v>0.29166666666666669</v>
      </c>
      <c r="CG7" s="43">
        <v>2</v>
      </c>
      <c r="CH7" s="43">
        <v>2</v>
      </c>
      <c r="CI7" s="43">
        <v>2</v>
      </c>
      <c r="CJ7" s="36" t="s">
        <v>42</v>
      </c>
      <c r="CK7" s="36"/>
      <c r="CL7" s="36" t="s">
        <v>97</v>
      </c>
      <c r="CM7" s="36" t="s">
        <v>22</v>
      </c>
      <c r="CN7" s="36" t="s">
        <v>100</v>
      </c>
      <c r="CO7" s="36" t="s">
        <v>21</v>
      </c>
      <c r="CP7" s="36" t="s">
        <v>43</v>
      </c>
      <c r="CQ7" s="36" t="s">
        <v>28</v>
      </c>
      <c r="CR7" s="36" t="s">
        <v>28</v>
      </c>
      <c r="CS7" s="46" t="s">
        <v>28</v>
      </c>
      <c r="CT7" s="35" t="s">
        <v>102</v>
      </c>
      <c r="CU7" s="47" t="s">
        <v>160</v>
      </c>
      <c r="CV7" s="47" t="s">
        <v>159</v>
      </c>
    </row>
    <row r="8" spans="1:100" s="10" customFormat="1" x14ac:dyDescent="0.25">
      <c r="A8" s="34">
        <v>7</v>
      </c>
      <c r="B8" s="35" t="s">
        <v>101</v>
      </c>
      <c r="C8" s="36" t="s">
        <v>21</v>
      </c>
      <c r="D8" s="36">
        <f>2015-1958</f>
        <v>57</v>
      </c>
      <c r="E8" s="36" t="s">
        <v>24</v>
      </c>
      <c r="F8" s="36" t="s">
        <v>25</v>
      </c>
      <c r="G8" s="36" t="s">
        <v>26</v>
      </c>
      <c r="H8" s="37">
        <v>6</v>
      </c>
      <c r="I8" s="36" t="s">
        <v>45</v>
      </c>
      <c r="J8" s="36" t="s">
        <v>45</v>
      </c>
      <c r="K8" s="36" t="s">
        <v>28</v>
      </c>
      <c r="L8" s="36" t="s">
        <v>45</v>
      </c>
      <c r="M8" s="36" t="s">
        <v>103</v>
      </c>
      <c r="N8" s="36">
        <f>4*2+3*5+2*3+1</f>
        <v>30</v>
      </c>
      <c r="O8" s="36">
        <f t="shared" si="0"/>
        <v>13.5</v>
      </c>
      <c r="P8" s="36">
        <f>0+0+1+0+5</f>
        <v>6</v>
      </c>
      <c r="Q8" s="36">
        <f>0+1+1+1+0+5</f>
        <v>8</v>
      </c>
      <c r="R8" s="36">
        <f>0+1+1+5</f>
        <v>7</v>
      </c>
      <c r="S8" s="38">
        <v>270.13</v>
      </c>
      <c r="T8" s="38">
        <v>262.81</v>
      </c>
      <c r="U8" s="38">
        <v>307.13</v>
      </c>
      <c r="V8" s="39">
        <f t="shared" si="6"/>
        <v>280.02333333333337</v>
      </c>
      <c r="W8" s="40">
        <v>283.55</v>
      </c>
      <c r="X8" s="40">
        <v>278.67</v>
      </c>
      <c r="Y8" s="40">
        <v>256.72000000000003</v>
      </c>
      <c r="Z8" s="39">
        <f t="shared" si="7"/>
        <v>272.98</v>
      </c>
      <c r="AA8" s="39">
        <f t="shared" si="2"/>
        <v>-7.0433333333333508</v>
      </c>
      <c r="AB8" s="38">
        <v>247.77</v>
      </c>
      <c r="AC8" s="38">
        <v>263.63</v>
      </c>
      <c r="AD8" s="38">
        <v>258.33999999999997</v>
      </c>
      <c r="AE8" s="39">
        <f t="shared" si="8"/>
        <v>256.58</v>
      </c>
      <c r="AF8" s="38">
        <v>187.6</v>
      </c>
      <c r="AG8" s="38">
        <v>205.08</v>
      </c>
      <c r="AH8" s="38">
        <v>216.87</v>
      </c>
      <c r="AI8" s="39">
        <f t="shared" si="9"/>
        <v>203.18333333333331</v>
      </c>
      <c r="AJ8" s="38">
        <v>68.08</v>
      </c>
      <c r="AK8" s="38">
        <v>56.29</v>
      </c>
      <c r="AL8" s="38">
        <v>55.48</v>
      </c>
      <c r="AM8" s="39">
        <f t="shared" si="10"/>
        <v>59.949999999999996</v>
      </c>
      <c r="AN8" s="38">
        <v>61.98</v>
      </c>
      <c r="AO8" s="38">
        <v>68.89</v>
      </c>
      <c r="AP8" s="38">
        <v>69.709999999999994</v>
      </c>
      <c r="AQ8" s="39">
        <f t="shared" si="11"/>
        <v>66.86</v>
      </c>
      <c r="AR8" s="38">
        <v>80.28</v>
      </c>
      <c r="AS8" s="38">
        <v>82.72</v>
      </c>
      <c r="AT8" s="38">
        <v>77.84</v>
      </c>
      <c r="AU8" s="39">
        <f t="shared" si="12"/>
        <v>80.28</v>
      </c>
      <c r="AV8" s="38">
        <v>83.12</v>
      </c>
      <c r="AW8" s="38">
        <v>85.15</v>
      </c>
      <c r="AX8" s="38">
        <v>85.15</v>
      </c>
      <c r="AY8" s="38">
        <f t="shared" si="3"/>
        <v>24.523333333333348</v>
      </c>
      <c r="AZ8" s="39">
        <f t="shared" si="13"/>
        <v>84.473333333333343</v>
      </c>
      <c r="BA8" s="36">
        <v>0</v>
      </c>
      <c r="BB8" s="41">
        <v>0.52777777777777779</v>
      </c>
      <c r="BC8" s="36">
        <v>0</v>
      </c>
      <c r="BD8" s="36">
        <f t="shared" si="4"/>
        <v>0</v>
      </c>
      <c r="BE8" s="36"/>
      <c r="BF8" s="42">
        <v>0.56319444444444444</v>
      </c>
      <c r="BG8" s="36">
        <v>0</v>
      </c>
      <c r="BH8" s="42">
        <v>0.54652777777777783</v>
      </c>
      <c r="BI8" s="43">
        <v>0</v>
      </c>
      <c r="BJ8" s="43">
        <f t="shared" si="1"/>
        <v>0</v>
      </c>
      <c r="BK8" s="44">
        <v>0.54513888888888895</v>
      </c>
      <c r="BL8" s="36" t="s">
        <v>57</v>
      </c>
      <c r="BM8" s="42">
        <v>0.75</v>
      </c>
      <c r="BN8" s="36">
        <v>0</v>
      </c>
      <c r="BO8" s="42">
        <v>0.95833333333333337</v>
      </c>
      <c r="BP8" s="42" t="s">
        <v>28</v>
      </c>
      <c r="BQ8" s="36">
        <v>0</v>
      </c>
      <c r="BR8" s="42">
        <v>0.29166666666666669</v>
      </c>
      <c r="BS8" s="36">
        <v>0</v>
      </c>
      <c r="BT8" s="42">
        <v>0.79166666666666663</v>
      </c>
      <c r="BU8" s="36">
        <v>0</v>
      </c>
      <c r="BV8" s="42">
        <v>0.97916666666666663</v>
      </c>
      <c r="BW8" s="42" t="s">
        <v>28</v>
      </c>
      <c r="BX8" s="36">
        <v>0</v>
      </c>
      <c r="BY8" s="42">
        <v>0.29166666666666669</v>
      </c>
      <c r="BZ8" s="36">
        <v>0</v>
      </c>
      <c r="CA8" s="42">
        <v>0.54166666666666663</v>
      </c>
      <c r="CB8" s="36">
        <v>0</v>
      </c>
      <c r="CC8" s="42">
        <v>0.91666666666666663</v>
      </c>
      <c r="CD8" s="42" t="s">
        <v>28</v>
      </c>
      <c r="CE8" s="36">
        <v>0</v>
      </c>
      <c r="CF8" s="45">
        <v>0.29166666666666669</v>
      </c>
      <c r="CG8" s="43">
        <v>1</v>
      </c>
      <c r="CH8" s="43">
        <v>1</v>
      </c>
      <c r="CI8" s="43">
        <v>1</v>
      </c>
      <c r="CJ8" s="36" t="s">
        <v>42</v>
      </c>
      <c r="CK8" s="36"/>
      <c r="CL8" s="36"/>
      <c r="CM8" s="36" t="s">
        <v>22</v>
      </c>
      <c r="CN8" s="36" t="s">
        <v>44</v>
      </c>
      <c r="CO8" s="36" t="s">
        <v>21</v>
      </c>
      <c r="CP8" s="36" t="s">
        <v>94</v>
      </c>
      <c r="CQ8" s="36" t="s">
        <v>28</v>
      </c>
      <c r="CR8" s="36" t="s">
        <v>28</v>
      </c>
      <c r="CS8" s="46" t="s">
        <v>28</v>
      </c>
      <c r="CT8" s="35" t="s">
        <v>101</v>
      </c>
      <c r="CU8" s="47" t="s">
        <v>28</v>
      </c>
      <c r="CV8" s="47"/>
    </row>
    <row r="9" spans="1:100" s="10" customFormat="1" x14ac:dyDescent="0.25">
      <c r="A9" s="34">
        <v>8</v>
      </c>
      <c r="B9" s="35" t="s">
        <v>124</v>
      </c>
      <c r="C9" s="36" t="s">
        <v>21</v>
      </c>
      <c r="D9" s="36">
        <f>2015-1976</f>
        <v>39</v>
      </c>
      <c r="E9" s="36" t="s">
        <v>24</v>
      </c>
      <c r="F9" s="36" t="s">
        <v>25</v>
      </c>
      <c r="G9" s="36" t="s">
        <v>25</v>
      </c>
      <c r="H9" s="37">
        <v>60</v>
      </c>
      <c r="I9" s="36" t="s">
        <v>45</v>
      </c>
      <c r="J9" s="36" t="s">
        <v>28</v>
      </c>
      <c r="K9" s="36" t="s">
        <v>28</v>
      </c>
      <c r="L9" s="36" t="s">
        <v>45</v>
      </c>
      <c r="M9" s="36" t="s">
        <v>125</v>
      </c>
      <c r="N9" s="36">
        <f>2*6+3*3+4*2</f>
        <v>29</v>
      </c>
      <c r="O9" s="36">
        <f t="shared" si="0"/>
        <v>46.5</v>
      </c>
      <c r="P9" s="36">
        <f>2+6+6+1+7</f>
        <v>22</v>
      </c>
      <c r="Q9" s="36">
        <f>5+5+5+4+3+5</f>
        <v>27</v>
      </c>
      <c r="R9" s="36">
        <f>4+5+5+8</f>
        <v>22</v>
      </c>
      <c r="S9" s="38">
        <v>428.28</v>
      </c>
      <c r="T9" s="38">
        <v>444.13</v>
      </c>
      <c r="U9" s="38">
        <v>427.06</v>
      </c>
      <c r="V9" s="39">
        <f t="shared" si="6"/>
        <v>433.15666666666669</v>
      </c>
      <c r="W9" s="40">
        <v>434.78</v>
      </c>
      <c r="X9" s="40">
        <v>414.05</v>
      </c>
      <c r="Y9" s="40">
        <v>441.29</v>
      </c>
      <c r="Z9" s="39">
        <f t="shared" si="7"/>
        <v>430.03999999999996</v>
      </c>
      <c r="AA9" s="39">
        <f t="shared" si="2"/>
        <v>-3.1166666666667311</v>
      </c>
      <c r="AB9" s="38">
        <v>446.57</v>
      </c>
      <c r="AC9" s="38">
        <v>448.2</v>
      </c>
      <c r="AD9" s="38">
        <v>399.01</v>
      </c>
      <c r="AE9" s="39">
        <f t="shared" si="8"/>
        <v>431.26</v>
      </c>
      <c r="AF9" s="38">
        <v>423.81</v>
      </c>
      <c r="AG9" s="38">
        <v>443.73</v>
      </c>
      <c r="AH9" s="38">
        <v>411.61</v>
      </c>
      <c r="AI9" s="39">
        <f t="shared" si="9"/>
        <v>426.38333333333338</v>
      </c>
      <c r="AJ9" s="38">
        <v>229.48</v>
      </c>
      <c r="AK9" s="38">
        <v>259.97000000000003</v>
      </c>
      <c r="AL9" s="38">
        <v>233.54</v>
      </c>
      <c r="AM9" s="39">
        <f t="shared" si="10"/>
        <v>240.99666666666667</v>
      </c>
      <c r="AN9" s="38">
        <v>227.04</v>
      </c>
      <c r="AO9" s="38">
        <v>205.9</v>
      </c>
      <c r="AP9" s="38">
        <v>181.91</v>
      </c>
      <c r="AQ9" s="39">
        <f t="shared" si="11"/>
        <v>204.95000000000002</v>
      </c>
      <c r="AR9" s="38">
        <v>270.13</v>
      </c>
      <c r="AS9" s="38">
        <v>288.02</v>
      </c>
      <c r="AT9" s="38">
        <v>235.98</v>
      </c>
      <c r="AU9" s="39">
        <f t="shared" si="12"/>
        <v>264.70999999999998</v>
      </c>
      <c r="AV9" s="38">
        <v>332.74</v>
      </c>
      <c r="AW9" s="38">
        <v>329.08</v>
      </c>
      <c r="AX9" s="38">
        <v>314.04000000000002</v>
      </c>
      <c r="AY9" s="38">
        <f t="shared" si="3"/>
        <v>84.289999999999964</v>
      </c>
      <c r="AZ9" s="39">
        <f t="shared" si="13"/>
        <v>325.28666666666663</v>
      </c>
      <c r="BA9" s="36">
        <v>2</v>
      </c>
      <c r="BB9" s="41">
        <v>0.39374999999999999</v>
      </c>
      <c r="BC9" s="36">
        <v>2</v>
      </c>
      <c r="BD9" s="36">
        <f t="shared" si="4"/>
        <v>0</v>
      </c>
      <c r="BE9" s="36">
        <f t="shared" si="5"/>
        <v>0</v>
      </c>
      <c r="BF9" s="42">
        <v>0.43333333333333335</v>
      </c>
      <c r="BG9" s="36">
        <v>1</v>
      </c>
      <c r="BH9" s="42">
        <v>0.38611111111111113</v>
      </c>
      <c r="BI9" s="43">
        <v>1</v>
      </c>
      <c r="BJ9" s="43">
        <f t="shared" si="1"/>
        <v>1</v>
      </c>
      <c r="BK9" s="44">
        <v>0.3833333333333333</v>
      </c>
      <c r="BL9" s="36">
        <v>2</v>
      </c>
      <c r="BM9" s="42">
        <v>0.54166666666666663</v>
      </c>
      <c r="BN9" s="36">
        <v>3</v>
      </c>
      <c r="BO9" s="42">
        <v>0.95833333333333337</v>
      </c>
      <c r="BP9" s="42" t="s">
        <v>28</v>
      </c>
      <c r="BQ9" s="36">
        <v>0</v>
      </c>
      <c r="BR9" s="42">
        <v>0.41666666666666669</v>
      </c>
      <c r="BS9" s="36">
        <v>0</v>
      </c>
      <c r="BT9" s="42">
        <v>0.58333333333333337</v>
      </c>
      <c r="BU9" s="36">
        <v>1</v>
      </c>
      <c r="BV9" s="42">
        <v>1</v>
      </c>
      <c r="BW9" s="42" t="s">
        <v>28</v>
      </c>
      <c r="BX9" s="36">
        <v>0</v>
      </c>
      <c r="BY9" s="42">
        <v>0.39583333333333331</v>
      </c>
      <c r="BZ9" s="36">
        <v>0</v>
      </c>
      <c r="CA9" s="42">
        <v>0.54166666666666663</v>
      </c>
      <c r="CB9" s="36">
        <v>1</v>
      </c>
      <c r="CC9" s="42">
        <v>0.97916666666666663</v>
      </c>
      <c r="CD9" s="42" t="s">
        <v>28</v>
      </c>
      <c r="CE9" s="36">
        <v>0</v>
      </c>
      <c r="CF9" s="45">
        <v>0.33333333333333331</v>
      </c>
      <c r="CG9" s="43">
        <v>1</v>
      </c>
      <c r="CH9" s="43">
        <v>1</v>
      </c>
      <c r="CI9" s="43">
        <v>1</v>
      </c>
      <c r="CJ9" s="36" t="s">
        <v>42</v>
      </c>
      <c r="CK9" s="36" t="s">
        <v>137</v>
      </c>
      <c r="CL9" s="36" t="s">
        <v>97</v>
      </c>
      <c r="CM9" s="36" t="s">
        <v>22</v>
      </c>
      <c r="CN9" s="36" t="s">
        <v>100</v>
      </c>
      <c r="CO9" s="36" t="s">
        <v>21</v>
      </c>
      <c r="CP9" s="36" t="s">
        <v>126</v>
      </c>
      <c r="CQ9" s="36" t="s">
        <v>28</v>
      </c>
      <c r="CR9" s="36" t="s">
        <v>28</v>
      </c>
      <c r="CS9" s="46" t="s">
        <v>28</v>
      </c>
      <c r="CT9" s="35" t="s">
        <v>124</v>
      </c>
      <c r="CU9" s="47" t="s">
        <v>151</v>
      </c>
      <c r="CV9" s="47" t="s">
        <v>158</v>
      </c>
    </row>
    <row r="10" spans="1:100" s="10" customFormat="1" x14ac:dyDescent="0.25">
      <c r="A10" s="34">
        <v>9</v>
      </c>
      <c r="B10" s="35" t="s">
        <v>133</v>
      </c>
      <c r="C10" s="36" t="s">
        <v>21</v>
      </c>
      <c r="D10" s="36">
        <v>65</v>
      </c>
      <c r="E10" s="36" t="s">
        <v>24</v>
      </c>
      <c r="F10" s="36" t="s">
        <v>26</v>
      </c>
      <c r="G10" s="36" t="s">
        <v>26</v>
      </c>
      <c r="H10" s="37">
        <v>65</v>
      </c>
      <c r="I10" s="36" t="s">
        <v>28</v>
      </c>
      <c r="J10" s="36"/>
      <c r="K10" s="36"/>
      <c r="L10" s="36" t="s">
        <v>45</v>
      </c>
      <c r="M10" s="36" t="s">
        <v>134</v>
      </c>
      <c r="N10" s="36">
        <f>1*3+2*4+3*4</f>
        <v>23</v>
      </c>
      <c r="O10" s="36">
        <f t="shared" si="0"/>
        <v>40.5</v>
      </c>
      <c r="P10" s="36">
        <f>3+6+5+1+8</f>
        <v>23</v>
      </c>
      <c r="Q10" s="36">
        <f>3+4+2+5+2+4</f>
        <v>20</v>
      </c>
      <c r="R10" s="36">
        <f>2+3+4+6</f>
        <v>15</v>
      </c>
      <c r="S10" s="38">
        <v>391.28</v>
      </c>
      <c r="T10" s="38">
        <v>384.37</v>
      </c>
      <c r="U10" s="38">
        <v>386</v>
      </c>
      <c r="V10" s="39">
        <f t="shared" si="6"/>
        <v>387.2166666666667</v>
      </c>
      <c r="W10" s="40">
        <v>359.57</v>
      </c>
      <c r="X10" s="40">
        <v>354.69</v>
      </c>
      <c r="Y10" s="40">
        <v>330.71</v>
      </c>
      <c r="Z10" s="39">
        <f t="shared" si="7"/>
        <v>348.32333333333332</v>
      </c>
      <c r="AA10" s="39">
        <f t="shared" si="2"/>
        <v>-38.893333333333374</v>
      </c>
      <c r="AB10" s="38">
        <v>394.94</v>
      </c>
      <c r="AC10" s="38">
        <v>412.02</v>
      </c>
      <c r="AD10" s="38">
        <v>416.08</v>
      </c>
      <c r="AE10" s="39">
        <f t="shared" si="8"/>
        <v>407.68</v>
      </c>
      <c r="AF10" s="38">
        <v>405.92</v>
      </c>
      <c r="AG10" s="38">
        <v>394.13</v>
      </c>
      <c r="AH10" s="38">
        <v>393.72</v>
      </c>
      <c r="AI10" s="39">
        <f t="shared" si="9"/>
        <v>397.92333333333335</v>
      </c>
      <c r="AJ10" s="38" t="s">
        <v>90</v>
      </c>
      <c r="AK10" s="38" t="s">
        <v>90</v>
      </c>
      <c r="AL10" s="38" t="s">
        <v>90</v>
      </c>
      <c r="AM10" s="39" t="s">
        <v>90</v>
      </c>
      <c r="AN10" s="38" t="s">
        <v>90</v>
      </c>
      <c r="AO10" s="38" t="s">
        <v>90</v>
      </c>
      <c r="AP10" s="38" t="s">
        <v>90</v>
      </c>
      <c r="AQ10" s="39" t="s">
        <v>90</v>
      </c>
      <c r="AR10" s="38" t="s">
        <v>90</v>
      </c>
      <c r="AS10" s="38" t="s">
        <v>90</v>
      </c>
      <c r="AT10" s="38" t="s">
        <v>90</v>
      </c>
      <c r="AU10" s="39" t="s">
        <v>90</v>
      </c>
      <c r="AV10" s="38">
        <v>246.96</v>
      </c>
      <c r="AW10" s="38">
        <v>218.5</v>
      </c>
      <c r="AX10" s="38">
        <v>221.75</v>
      </c>
      <c r="AY10" s="38"/>
      <c r="AZ10" s="39">
        <f t="shared" si="13"/>
        <v>229.07000000000002</v>
      </c>
      <c r="BA10" s="36">
        <v>2</v>
      </c>
      <c r="BB10" s="41">
        <v>0.50486111111111109</v>
      </c>
      <c r="BC10" s="36">
        <v>0</v>
      </c>
      <c r="BD10" s="36">
        <f t="shared" si="4"/>
        <v>2</v>
      </c>
      <c r="BE10" s="36">
        <f t="shared" si="5"/>
        <v>-100</v>
      </c>
      <c r="BF10" s="42">
        <v>0.54027777777777775</v>
      </c>
      <c r="BG10" s="36">
        <v>3</v>
      </c>
      <c r="BH10" s="42">
        <v>0.54861111111111105</v>
      </c>
      <c r="BI10" s="43">
        <v>1</v>
      </c>
      <c r="BJ10" s="43">
        <f t="shared" si="1"/>
        <v>1</v>
      </c>
      <c r="BK10" s="44">
        <v>0.59097222222222223</v>
      </c>
      <c r="BL10" s="36">
        <v>3</v>
      </c>
      <c r="BM10" s="42">
        <v>0.75</v>
      </c>
      <c r="BN10" s="36">
        <v>4</v>
      </c>
      <c r="BO10" s="42">
        <v>0.91666666666666663</v>
      </c>
      <c r="BP10" s="42" t="s">
        <v>28</v>
      </c>
      <c r="BQ10" s="36">
        <v>3</v>
      </c>
      <c r="BR10" s="42">
        <v>0.375</v>
      </c>
      <c r="BS10" s="36">
        <v>3</v>
      </c>
      <c r="BT10" s="42">
        <v>0.5</v>
      </c>
      <c r="BU10" s="36">
        <v>4</v>
      </c>
      <c r="BV10" s="42">
        <v>0.91666666666666663</v>
      </c>
      <c r="BW10" s="42" t="s">
        <v>28</v>
      </c>
      <c r="BX10" s="36">
        <v>2</v>
      </c>
      <c r="BY10" s="42">
        <v>0.375</v>
      </c>
      <c r="BZ10" s="36">
        <v>1</v>
      </c>
      <c r="CA10" s="42">
        <v>0.54166666666666663</v>
      </c>
      <c r="CB10" s="36">
        <v>3</v>
      </c>
      <c r="CC10" s="42">
        <v>0.91666666666666663</v>
      </c>
      <c r="CD10" s="42" t="s">
        <v>56</v>
      </c>
      <c r="CE10" s="36">
        <v>1</v>
      </c>
      <c r="CF10" s="45">
        <v>0.375</v>
      </c>
      <c r="CG10" s="43">
        <v>1</v>
      </c>
      <c r="CH10" s="43">
        <v>2</v>
      </c>
      <c r="CI10" s="43">
        <v>2</v>
      </c>
      <c r="CJ10" s="36" t="s">
        <v>42</v>
      </c>
      <c r="CK10" s="36" t="s">
        <v>42</v>
      </c>
      <c r="CL10" s="36"/>
      <c r="CM10" s="36" t="s">
        <v>22</v>
      </c>
      <c r="CN10" s="36" t="s">
        <v>44</v>
      </c>
      <c r="CO10" s="36" t="s">
        <v>21</v>
      </c>
      <c r="CP10" s="36" t="s">
        <v>46</v>
      </c>
      <c r="CQ10" s="36" t="s">
        <v>28</v>
      </c>
      <c r="CR10" s="36" t="s">
        <v>28</v>
      </c>
      <c r="CS10" s="46" t="s">
        <v>28</v>
      </c>
      <c r="CT10" s="35" t="s">
        <v>133</v>
      </c>
      <c r="CU10" s="47" t="s">
        <v>28</v>
      </c>
      <c r="CV10" s="47"/>
    </row>
    <row r="11" spans="1:100" s="10" customFormat="1" x14ac:dyDescent="0.25">
      <c r="A11" s="34">
        <v>10</v>
      </c>
      <c r="B11" s="35" t="s">
        <v>164</v>
      </c>
      <c r="C11" s="36" t="s">
        <v>21</v>
      </c>
      <c r="D11" s="36">
        <f>2015-1971</f>
        <v>44</v>
      </c>
      <c r="E11" s="36" t="s">
        <v>24</v>
      </c>
      <c r="F11" s="36" t="s">
        <v>26</v>
      </c>
      <c r="G11" s="36" t="s">
        <v>165</v>
      </c>
      <c r="H11" s="37">
        <v>4.5</v>
      </c>
      <c r="I11" s="36" t="s">
        <v>45</v>
      </c>
      <c r="J11" s="36" t="s">
        <v>45</v>
      </c>
      <c r="K11" s="36" t="s">
        <v>28</v>
      </c>
      <c r="L11" s="36" t="s">
        <v>45</v>
      </c>
      <c r="M11" s="36" t="s">
        <v>166</v>
      </c>
      <c r="N11" s="36">
        <f>2*2+3*7+4*2</f>
        <v>33</v>
      </c>
      <c r="O11" s="36">
        <f t="shared" si="0"/>
        <v>76</v>
      </c>
      <c r="P11" s="36">
        <f>4+8+8+5+10</f>
        <v>35</v>
      </c>
      <c r="Q11" s="36">
        <f>6+9+6+9+8+10</f>
        <v>48</v>
      </c>
      <c r="R11" s="36">
        <f>8+9+9+8</f>
        <v>34</v>
      </c>
      <c r="S11" s="38">
        <v>484.38</v>
      </c>
      <c r="T11" s="38">
        <v>538.04</v>
      </c>
      <c r="U11" s="38">
        <v>513.65</v>
      </c>
      <c r="V11" s="39">
        <f t="shared" si="6"/>
        <v>512.02333333333331</v>
      </c>
      <c r="W11" s="40">
        <v>419.74</v>
      </c>
      <c r="X11" s="40">
        <v>451.04</v>
      </c>
      <c r="Y11" s="40">
        <v>416.49</v>
      </c>
      <c r="Z11" s="39">
        <f t="shared" si="7"/>
        <v>429.09</v>
      </c>
      <c r="AA11" s="39">
        <f t="shared" si="2"/>
        <v>-82.933333333333337</v>
      </c>
      <c r="AB11" s="38"/>
      <c r="AC11" s="38"/>
      <c r="AD11" s="38"/>
      <c r="AE11" s="39"/>
      <c r="AF11" s="38"/>
      <c r="AG11" s="38"/>
      <c r="AH11" s="38"/>
      <c r="AI11" s="39"/>
      <c r="AJ11" s="38">
        <v>115.24</v>
      </c>
      <c r="AK11" s="38">
        <v>139.63</v>
      </c>
      <c r="AL11" s="38">
        <v>73.77</v>
      </c>
      <c r="AM11" s="39">
        <f t="shared" si="10"/>
        <v>109.54666666666667</v>
      </c>
      <c r="AN11" s="38">
        <v>125.81</v>
      </c>
      <c r="AO11" s="38">
        <v>161.18</v>
      </c>
      <c r="AP11" s="38">
        <v>146.54</v>
      </c>
      <c r="AQ11" s="39">
        <f t="shared" si="11"/>
        <v>144.51</v>
      </c>
      <c r="AR11" s="38"/>
      <c r="AS11" s="38"/>
      <c r="AT11" s="38"/>
      <c r="AU11" s="39"/>
      <c r="AV11" s="38"/>
      <c r="AW11" s="38"/>
      <c r="AX11" s="38"/>
      <c r="AY11" s="38"/>
      <c r="AZ11" s="39"/>
      <c r="BA11" s="36">
        <v>10</v>
      </c>
      <c r="BB11" s="41">
        <v>0.90277777777777779</v>
      </c>
      <c r="BC11" s="36">
        <v>8</v>
      </c>
      <c r="BD11" s="36">
        <f t="shared" si="4"/>
        <v>2</v>
      </c>
      <c r="BE11" s="36">
        <f t="shared" si="5"/>
        <v>-20</v>
      </c>
      <c r="BF11" s="42">
        <v>0.93958333333333333</v>
      </c>
      <c r="BG11" s="36"/>
      <c r="BH11" s="42"/>
      <c r="BI11" s="43"/>
      <c r="BJ11" s="43"/>
      <c r="BK11" s="44"/>
      <c r="BL11" s="36"/>
      <c r="BM11" s="42"/>
      <c r="BN11" s="36"/>
      <c r="BO11" s="42"/>
      <c r="BP11" s="42"/>
      <c r="BQ11" s="36"/>
      <c r="BR11" s="42"/>
      <c r="BS11" s="36"/>
      <c r="BT11" s="42"/>
      <c r="BU11" s="36"/>
      <c r="BV11" s="42"/>
      <c r="BW11" s="42"/>
      <c r="BX11" s="36"/>
      <c r="BY11" s="42"/>
      <c r="BZ11" s="36"/>
      <c r="CA11" s="42"/>
      <c r="CB11" s="36"/>
      <c r="CC11" s="42"/>
      <c r="CD11" s="42"/>
      <c r="CE11" s="36"/>
      <c r="CF11" s="45"/>
      <c r="CG11" s="43"/>
      <c r="CH11" s="43"/>
      <c r="CI11" s="43"/>
      <c r="CJ11" s="36"/>
      <c r="CK11" s="36"/>
      <c r="CL11" s="36"/>
      <c r="CM11" s="36"/>
      <c r="CN11" s="36"/>
      <c r="CO11" s="36"/>
      <c r="CP11" s="36"/>
      <c r="CQ11" s="36"/>
      <c r="CR11" s="36"/>
      <c r="CS11" s="46"/>
      <c r="CT11" s="35" t="s">
        <v>164</v>
      </c>
      <c r="CU11" s="47" t="s">
        <v>45</v>
      </c>
      <c r="CV11" s="47"/>
    </row>
    <row r="12" spans="1:100" s="10" customFormat="1" x14ac:dyDescent="0.25">
      <c r="A12" s="34"/>
      <c r="B12" s="35"/>
      <c r="C12" s="36"/>
      <c r="D12" s="36"/>
      <c r="E12" s="36"/>
      <c r="F12" s="36"/>
      <c r="G12" s="36"/>
      <c r="H12" s="37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8"/>
      <c r="T12" s="38"/>
      <c r="U12" s="38"/>
      <c r="V12" s="39"/>
      <c r="W12" s="40"/>
      <c r="X12" s="40"/>
      <c r="Y12" s="40"/>
      <c r="Z12" s="39"/>
      <c r="AA12" s="39"/>
      <c r="AB12" s="38"/>
      <c r="AC12" s="38"/>
      <c r="AD12" s="38"/>
      <c r="AE12" s="39"/>
      <c r="AF12" s="38"/>
      <c r="AG12" s="38"/>
      <c r="AH12" s="38"/>
      <c r="AI12" s="39"/>
      <c r="AJ12" s="38"/>
      <c r="AK12" s="38"/>
      <c r="AL12" s="38"/>
      <c r="AM12" s="39"/>
      <c r="AN12" s="38"/>
      <c r="AO12" s="38"/>
      <c r="AP12" s="38"/>
      <c r="AQ12" s="39"/>
      <c r="AR12" s="38"/>
      <c r="AS12" s="38"/>
      <c r="AT12" s="38"/>
      <c r="AU12" s="39"/>
      <c r="AV12" s="38"/>
      <c r="AW12" s="38"/>
      <c r="AX12" s="38"/>
      <c r="AY12" s="38"/>
      <c r="AZ12" s="39"/>
      <c r="BA12" s="36"/>
      <c r="BB12" s="41"/>
      <c r="BC12" s="36"/>
      <c r="BD12" s="36"/>
      <c r="BE12" s="36"/>
      <c r="BF12" s="42"/>
      <c r="BG12" s="36"/>
      <c r="BH12" s="42"/>
      <c r="BI12" s="43"/>
      <c r="BJ12" s="43"/>
      <c r="BK12" s="44"/>
      <c r="BL12" s="36"/>
      <c r="BM12" s="42"/>
      <c r="BN12" s="36"/>
      <c r="BO12" s="42"/>
      <c r="BP12" s="42"/>
      <c r="BQ12" s="36"/>
      <c r="BR12" s="42"/>
      <c r="BS12" s="36"/>
      <c r="BT12" s="42"/>
      <c r="BU12" s="36"/>
      <c r="BV12" s="42"/>
      <c r="BW12" s="42"/>
      <c r="BX12" s="36"/>
      <c r="BY12" s="42"/>
      <c r="BZ12" s="36"/>
      <c r="CA12" s="42"/>
      <c r="CB12" s="36"/>
      <c r="CC12" s="42"/>
      <c r="CD12" s="42"/>
      <c r="CE12" s="36"/>
      <c r="CF12" s="45"/>
      <c r="CG12" s="43"/>
      <c r="CH12" s="43"/>
      <c r="CI12" s="43"/>
      <c r="CJ12" s="36"/>
      <c r="CK12" s="36"/>
      <c r="CL12" s="36"/>
      <c r="CM12" s="36"/>
      <c r="CN12" s="36"/>
      <c r="CO12" s="36"/>
      <c r="CP12" s="36"/>
      <c r="CQ12" s="36"/>
      <c r="CR12" s="36"/>
      <c r="CS12" s="46"/>
      <c r="CT12" s="35"/>
      <c r="CU12" s="47"/>
      <c r="CV12" s="47"/>
    </row>
    <row r="13" spans="1:100" s="10" customFormat="1" x14ac:dyDescent="0.25">
      <c r="A13" s="34">
        <v>1</v>
      </c>
      <c r="B13" s="35" t="s">
        <v>50</v>
      </c>
      <c r="C13" s="36" t="s">
        <v>22</v>
      </c>
      <c r="D13" s="36">
        <f>2015-1965</f>
        <v>50</v>
      </c>
      <c r="E13" s="36" t="s">
        <v>23</v>
      </c>
      <c r="F13" s="36" t="s">
        <v>26</v>
      </c>
      <c r="G13" s="36" t="s">
        <v>26</v>
      </c>
      <c r="H13" s="37">
        <v>10</v>
      </c>
      <c r="I13" s="36" t="s">
        <v>28</v>
      </c>
      <c r="J13" s="36" t="s">
        <v>45</v>
      </c>
      <c r="K13" s="36" t="s">
        <v>45</v>
      </c>
      <c r="L13" s="36" t="s">
        <v>28</v>
      </c>
      <c r="M13" s="36"/>
      <c r="N13" s="36">
        <f>1*5+2*2+3*3+4</f>
        <v>22</v>
      </c>
      <c r="O13" s="36">
        <f t="shared" ref="O13:O22" si="14">P13+(Q13+R13)/2</f>
        <v>35.5</v>
      </c>
      <c r="P13" s="36">
        <f>1+5+5+0+8</f>
        <v>19</v>
      </c>
      <c r="Q13" s="36">
        <f>2+4+3+6+1+3</f>
        <v>19</v>
      </c>
      <c r="R13" s="36">
        <f>1+4+4+5</f>
        <v>14</v>
      </c>
      <c r="S13" s="38">
        <v>207.12</v>
      </c>
      <c r="T13" s="38">
        <v>218.06</v>
      </c>
      <c r="U13" s="38">
        <v>219.31</v>
      </c>
      <c r="V13" s="39">
        <f>(207.12+218.09+219.31)/3</f>
        <v>214.84</v>
      </c>
      <c r="W13" s="40">
        <v>234.76</v>
      </c>
      <c r="X13" s="40">
        <v>242.08</v>
      </c>
      <c r="Y13" s="40">
        <v>230.29</v>
      </c>
      <c r="Z13" s="39">
        <f>(234.76+242.08+230.29)/3</f>
        <v>235.71</v>
      </c>
      <c r="AA13" s="39">
        <f t="shared" si="2"/>
        <v>20.870000000000005</v>
      </c>
      <c r="AB13" s="38">
        <v>237.2</v>
      </c>
      <c r="AC13" s="38">
        <v>230.29</v>
      </c>
      <c r="AD13" s="38">
        <v>222.16</v>
      </c>
      <c r="AE13" s="39">
        <f>(237.2+230.29+222.16)/3</f>
        <v>229.88333333333333</v>
      </c>
      <c r="AF13" s="38">
        <v>163.62</v>
      </c>
      <c r="AG13" s="38">
        <v>168.9</v>
      </c>
      <c r="AH13" s="38">
        <v>161.58000000000001</v>
      </c>
      <c r="AI13" s="39">
        <f>(163.62+168.9+161.58)/3</f>
        <v>164.70000000000002</v>
      </c>
      <c r="AJ13" s="38">
        <v>77.430000000000007</v>
      </c>
      <c r="AK13" s="38">
        <v>80.28</v>
      </c>
      <c r="AL13" s="38">
        <v>81.09</v>
      </c>
      <c r="AM13" s="39">
        <f>(77.43+80.28+81.09)/3</f>
        <v>79.600000000000009</v>
      </c>
      <c r="AN13" s="38">
        <v>82.72</v>
      </c>
      <c r="AO13" s="38">
        <v>90.85</v>
      </c>
      <c r="AP13" s="38">
        <v>76.62</v>
      </c>
      <c r="AQ13" s="39">
        <f>(82.72+90.85+76.62)/3</f>
        <v>83.396666666666661</v>
      </c>
      <c r="AR13" s="38">
        <v>46.53</v>
      </c>
      <c r="AS13" s="38">
        <v>29.46</v>
      </c>
      <c r="AT13" s="38">
        <v>42.06</v>
      </c>
      <c r="AU13" s="39">
        <f>(46.53+29.46+42.06)/3</f>
        <v>39.35</v>
      </c>
      <c r="AV13" s="38">
        <v>57.1</v>
      </c>
      <c r="AW13" s="38">
        <v>59.14</v>
      </c>
      <c r="AX13" s="38">
        <v>58.32</v>
      </c>
      <c r="AY13" s="38">
        <f t="shared" si="3"/>
        <v>-21.413333333333341</v>
      </c>
      <c r="AZ13" s="39">
        <f>(57.1+59.14+58.32)/3</f>
        <v>58.186666666666667</v>
      </c>
      <c r="BA13" s="36">
        <v>2</v>
      </c>
      <c r="BB13" s="41">
        <v>0.65902777777777777</v>
      </c>
      <c r="BC13" s="36">
        <v>1</v>
      </c>
      <c r="BD13" s="36">
        <f t="shared" si="4"/>
        <v>1</v>
      </c>
      <c r="BE13" s="36">
        <f t="shared" si="5"/>
        <v>-50</v>
      </c>
      <c r="BF13" s="42">
        <v>0.69374999999999998</v>
      </c>
      <c r="BG13" s="36">
        <v>2</v>
      </c>
      <c r="BH13" s="42">
        <v>0.69374999999999998</v>
      </c>
      <c r="BI13" s="43">
        <v>3</v>
      </c>
      <c r="BJ13" s="43">
        <f t="shared" ref="BJ13:BJ22" si="15">BA13-BI13</f>
        <v>-1</v>
      </c>
      <c r="BK13" s="44">
        <v>0.69791666666666663</v>
      </c>
      <c r="BL13" s="36">
        <v>3</v>
      </c>
      <c r="BM13" s="42">
        <v>0.75</v>
      </c>
      <c r="BN13" s="36">
        <v>3</v>
      </c>
      <c r="BO13" s="42">
        <v>0.9375</v>
      </c>
      <c r="BP13" s="42" t="s">
        <v>53</v>
      </c>
      <c r="BQ13" s="36">
        <v>2</v>
      </c>
      <c r="BR13" s="42">
        <v>0.33333333333333331</v>
      </c>
      <c r="BS13" s="36">
        <v>2</v>
      </c>
      <c r="BT13" s="42">
        <v>0.54166666666666663</v>
      </c>
      <c r="BU13" s="36">
        <v>1</v>
      </c>
      <c r="BV13" s="42">
        <v>0.91666666666666663</v>
      </c>
      <c r="BW13" s="42" t="s">
        <v>28</v>
      </c>
      <c r="BX13" s="36">
        <v>1</v>
      </c>
      <c r="BY13" s="42">
        <v>0.35416666666666669</v>
      </c>
      <c r="BZ13" s="36">
        <v>2</v>
      </c>
      <c r="CA13" s="42">
        <v>0.5</v>
      </c>
      <c r="CB13" s="36">
        <v>2</v>
      </c>
      <c r="CC13" s="42">
        <v>0.91666666666666663</v>
      </c>
      <c r="CD13" s="42" t="s">
        <v>56</v>
      </c>
      <c r="CE13" s="36">
        <v>3</v>
      </c>
      <c r="CF13" s="45">
        <v>0.29166666666666669</v>
      </c>
      <c r="CG13" s="48">
        <v>1.5</v>
      </c>
      <c r="CH13" s="43">
        <v>1</v>
      </c>
      <c r="CI13" s="43">
        <v>1</v>
      </c>
      <c r="CJ13" s="36" t="s">
        <v>52</v>
      </c>
      <c r="CK13" s="36"/>
      <c r="CL13" s="36"/>
      <c r="CM13" s="36" t="s">
        <v>22</v>
      </c>
      <c r="CN13" s="36" t="s">
        <v>44</v>
      </c>
      <c r="CO13" s="36" t="s">
        <v>21</v>
      </c>
      <c r="CP13" s="36" t="s">
        <v>46</v>
      </c>
      <c r="CQ13" s="36" t="s">
        <v>28</v>
      </c>
      <c r="CR13" s="36" t="s">
        <v>28</v>
      </c>
      <c r="CS13" s="46" t="s">
        <v>28</v>
      </c>
      <c r="CT13" s="35" t="s">
        <v>50</v>
      </c>
      <c r="CU13" s="47" t="s">
        <v>151</v>
      </c>
      <c r="CV13" s="47"/>
    </row>
    <row r="14" spans="1:100" s="10" customFormat="1" x14ac:dyDescent="0.25">
      <c r="A14" s="34">
        <v>2</v>
      </c>
      <c r="B14" s="35" t="s">
        <v>89</v>
      </c>
      <c r="C14" s="36" t="s">
        <v>22</v>
      </c>
      <c r="D14" s="36">
        <v>57</v>
      </c>
      <c r="E14" s="36" t="s">
        <v>23</v>
      </c>
      <c r="F14" s="36" t="s">
        <v>26</v>
      </c>
      <c r="G14" s="36" t="s">
        <v>26</v>
      </c>
      <c r="H14" s="37">
        <v>3</v>
      </c>
      <c r="I14" s="36" t="s">
        <v>28</v>
      </c>
      <c r="J14" s="36"/>
      <c r="K14" s="36"/>
      <c r="L14" s="36" t="s">
        <v>28</v>
      </c>
      <c r="M14" s="36"/>
      <c r="N14" s="36">
        <f>4*2+3*5+2*4</f>
        <v>31</v>
      </c>
      <c r="O14" s="36">
        <f t="shared" si="14"/>
        <v>59</v>
      </c>
      <c r="P14" s="36">
        <f>5+8+9+5+10</f>
        <v>37</v>
      </c>
      <c r="Q14" s="36">
        <f>7+9+4+6+3+7</f>
        <v>36</v>
      </c>
      <c r="R14" s="36">
        <f>4+4</f>
        <v>8</v>
      </c>
      <c r="S14" s="38">
        <v>187.2</v>
      </c>
      <c r="T14" s="38">
        <v>179.07</v>
      </c>
      <c r="U14" s="38">
        <v>168.09</v>
      </c>
      <c r="V14" s="39">
        <f t="shared" ref="V14:V19" si="16">(S14+T14+U14)/3</f>
        <v>178.12</v>
      </c>
      <c r="W14" s="40" t="s">
        <v>90</v>
      </c>
      <c r="X14" s="40" t="s">
        <v>90</v>
      </c>
      <c r="Y14" s="40" t="s">
        <v>90</v>
      </c>
      <c r="Z14" s="39" t="s">
        <v>57</v>
      </c>
      <c r="AA14" s="39"/>
      <c r="AB14" s="38">
        <v>129.87</v>
      </c>
      <c r="AC14" s="38">
        <v>138.41</v>
      </c>
      <c r="AD14" s="38">
        <v>133.53</v>
      </c>
      <c r="AE14" s="39">
        <f t="shared" ref="AE14:AE19" si="17">(AB14+AC14+AD14)/3</f>
        <v>133.93666666666664</v>
      </c>
      <c r="AF14" s="38">
        <v>219.72</v>
      </c>
      <c r="AG14" s="38">
        <v>218.91</v>
      </c>
      <c r="AH14" s="38">
        <v>228.26</v>
      </c>
      <c r="AI14" s="39">
        <f t="shared" ref="AI14:AI19" si="18">(AF14+AG14+AH14)/3</f>
        <v>222.29666666666665</v>
      </c>
      <c r="AJ14" s="38">
        <v>55.88</v>
      </c>
      <c r="AK14" s="38">
        <v>57.92</v>
      </c>
      <c r="AL14" s="38">
        <v>43.28</v>
      </c>
      <c r="AM14" s="39">
        <f t="shared" ref="AM14:AM19" si="19">(AJ14+AK14+AL14)/3</f>
        <v>52.360000000000007</v>
      </c>
      <c r="AN14" s="38">
        <v>48.57</v>
      </c>
      <c r="AO14" s="38">
        <v>58.32</v>
      </c>
      <c r="AP14" s="38">
        <v>65.23</v>
      </c>
      <c r="AQ14" s="39">
        <f t="shared" ref="AQ14:AQ19" si="20">(AN14+AO14+AP14)/3</f>
        <v>57.373333333333335</v>
      </c>
      <c r="AR14" s="38">
        <v>105.89</v>
      </c>
      <c r="AS14" s="38">
        <v>117.68</v>
      </c>
      <c r="AT14" s="38">
        <v>116.86</v>
      </c>
      <c r="AU14" s="39">
        <f t="shared" ref="AU14:AU19" si="21">(AR14+AS14+AT14)/3</f>
        <v>113.47666666666667</v>
      </c>
      <c r="AV14" s="38">
        <v>65.64</v>
      </c>
      <c r="AW14" s="38">
        <v>79.06</v>
      </c>
      <c r="AX14" s="38">
        <v>81.900000000000006</v>
      </c>
      <c r="AY14" s="38">
        <f t="shared" si="3"/>
        <v>23.173333333333325</v>
      </c>
      <c r="AZ14" s="39">
        <f t="shared" ref="AZ14:AZ19" si="22">(AV14+AW14+AX14)/3</f>
        <v>75.533333333333331</v>
      </c>
      <c r="BA14" s="36">
        <v>4</v>
      </c>
      <c r="BB14" s="41">
        <v>0.4368055555555555</v>
      </c>
      <c r="BC14" s="36">
        <v>2</v>
      </c>
      <c r="BD14" s="36">
        <f t="shared" si="4"/>
        <v>2</v>
      </c>
      <c r="BE14" s="36">
        <f t="shared" si="5"/>
        <v>-50</v>
      </c>
      <c r="BF14" s="42">
        <v>0.49374999999999997</v>
      </c>
      <c r="BG14" s="36">
        <v>1</v>
      </c>
      <c r="BH14" s="42">
        <v>0.46527777777777773</v>
      </c>
      <c r="BI14" s="43">
        <v>1</v>
      </c>
      <c r="BJ14" s="43">
        <f t="shared" si="15"/>
        <v>3</v>
      </c>
      <c r="BK14" s="44">
        <v>0.45555555555555555</v>
      </c>
      <c r="BL14" s="36">
        <v>4</v>
      </c>
      <c r="BM14" s="42">
        <v>0.70833333333333337</v>
      </c>
      <c r="BN14" s="36">
        <v>3</v>
      </c>
      <c r="BO14" s="42">
        <v>0.91666666666666663</v>
      </c>
      <c r="BP14" s="42" t="s">
        <v>91</v>
      </c>
      <c r="BQ14" s="36">
        <v>2</v>
      </c>
      <c r="BR14" s="42">
        <v>0.25</v>
      </c>
      <c r="BS14" s="36">
        <v>4</v>
      </c>
      <c r="BT14" s="42">
        <v>0.68055555555555547</v>
      </c>
      <c r="BU14" s="36">
        <v>3</v>
      </c>
      <c r="BV14" s="42">
        <v>0.91666666666666663</v>
      </c>
      <c r="BW14" s="42" t="s">
        <v>28</v>
      </c>
      <c r="BX14" s="36">
        <v>2</v>
      </c>
      <c r="BY14" s="42">
        <v>0.25</v>
      </c>
      <c r="BZ14" s="36">
        <v>3</v>
      </c>
      <c r="CA14" s="42">
        <v>0.65625</v>
      </c>
      <c r="CB14" s="36">
        <v>2</v>
      </c>
      <c r="CC14" s="42">
        <v>0.92708333333333337</v>
      </c>
      <c r="CD14" s="42" t="s">
        <v>28</v>
      </c>
      <c r="CE14" s="36">
        <v>2</v>
      </c>
      <c r="CF14" s="45">
        <v>0.25</v>
      </c>
      <c r="CG14" s="43">
        <v>1</v>
      </c>
      <c r="CH14" s="43">
        <v>1</v>
      </c>
      <c r="CI14" s="43">
        <v>1</v>
      </c>
      <c r="CJ14" s="36" t="s">
        <v>42</v>
      </c>
      <c r="CK14" s="36"/>
      <c r="CL14" s="36"/>
      <c r="CM14" s="36" t="s">
        <v>22</v>
      </c>
      <c r="CN14" s="36" t="s">
        <v>44</v>
      </c>
      <c r="CO14" s="36" t="s">
        <v>21</v>
      </c>
      <c r="CP14" s="36" t="s">
        <v>46</v>
      </c>
      <c r="CQ14" s="36" t="s">
        <v>28</v>
      </c>
      <c r="CR14" s="36" t="s">
        <v>28</v>
      </c>
      <c r="CS14" s="46" t="s">
        <v>28</v>
      </c>
      <c r="CT14" s="35" t="s">
        <v>89</v>
      </c>
      <c r="CU14" s="47"/>
      <c r="CV14" s="47" t="s">
        <v>162</v>
      </c>
    </row>
    <row r="15" spans="1:100" s="10" customFormat="1" x14ac:dyDescent="0.25">
      <c r="A15" s="34">
        <v>3</v>
      </c>
      <c r="B15" s="35" t="s">
        <v>92</v>
      </c>
      <c r="C15" s="36" t="s">
        <v>22</v>
      </c>
      <c r="D15" s="36">
        <v>39</v>
      </c>
      <c r="E15" s="36" t="s">
        <v>23</v>
      </c>
      <c r="F15" s="36" t="s">
        <v>26</v>
      </c>
      <c r="G15" s="36" t="s">
        <v>26</v>
      </c>
      <c r="H15" s="37">
        <v>3.5</v>
      </c>
      <c r="I15" s="36" t="s">
        <v>28</v>
      </c>
      <c r="J15" s="36"/>
      <c r="K15" s="36"/>
      <c r="L15" s="36" t="s">
        <v>45</v>
      </c>
      <c r="M15" s="36" t="s">
        <v>116</v>
      </c>
      <c r="N15" s="36">
        <f>4*4+3*4+2*3</f>
        <v>34</v>
      </c>
      <c r="O15" s="36">
        <f t="shared" si="14"/>
        <v>81.5</v>
      </c>
      <c r="P15" s="36">
        <f>7+10+10+3+10</f>
        <v>40</v>
      </c>
      <c r="Q15" s="36">
        <f>8+8+8+10+8+6</f>
        <v>48</v>
      </c>
      <c r="R15" s="36">
        <f>8+8+10+9</f>
        <v>35</v>
      </c>
      <c r="S15" s="38">
        <v>259.97000000000003</v>
      </c>
      <c r="T15" s="38">
        <v>259.56</v>
      </c>
      <c r="U15" s="38">
        <v>234.76</v>
      </c>
      <c r="V15" s="39">
        <f t="shared" si="16"/>
        <v>251.42999999999998</v>
      </c>
      <c r="W15" s="40">
        <v>282.73</v>
      </c>
      <c r="X15" s="40">
        <v>286.8</v>
      </c>
      <c r="Y15" s="40">
        <v>272.98</v>
      </c>
      <c r="Z15" s="39">
        <f>(W15+X15+Y15)/3</f>
        <v>280.83666666666664</v>
      </c>
      <c r="AA15" s="39">
        <f t="shared" si="2"/>
        <v>29.406666666666666</v>
      </c>
      <c r="AB15" s="38">
        <v>299</v>
      </c>
      <c r="AC15" s="38">
        <v>307.13</v>
      </c>
      <c r="AD15" s="38">
        <v>282.33</v>
      </c>
      <c r="AE15" s="39">
        <f t="shared" si="17"/>
        <v>296.15333333333336</v>
      </c>
      <c r="AF15" s="38">
        <v>328.27</v>
      </c>
      <c r="AG15" s="38">
        <v>307.94</v>
      </c>
      <c r="AH15" s="38">
        <v>298.58999999999997</v>
      </c>
      <c r="AI15" s="39">
        <f t="shared" si="18"/>
        <v>311.59999999999997</v>
      </c>
      <c r="AJ15" s="38">
        <v>41.65</v>
      </c>
      <c r="AK15" s="38">
        <v>40.03</v>
      </c>
      <c r="AL15" s="38">
        <v>48.97</v>
      </c>
      <c r="AM15" s="39">
        <f t="shared" si="19"/>
        <v>43.550000000000004</v>
      </c>
      <c r="AN15" s="38">
        <v>40.840000000000003</v>
      </c>
      <c r="AO15" s="38">
        <v>34.340000000000003</v>
      </c>
      <c r="AP15" s="38">
        <v>31.08</v>
      </c>
      <c r="AQ15" s="39">
        <f t="shared" si="20"/>
        <v>35.42</v>
      </c>
      <c r="AR15" s="38">
        <v>46.94</v>
      </c>
      <c r="AS15" s="38">
        <v>43.28</v>
      </c>
      <c r="AT15" s="38">
        <v>51.82</v>
      </c>
      <c r="AU15" s="39">
        <f t="shared" si="21"/>
        <v>47.346666666666664</v>
      </c>
      <c r="AV15" s="38">
        <v>83.12</v>
      </c>
      <c r="AW15" s="38">
        <v>81.900000000000006</v>
      </c>
      <c r="AX15" s="38">
        <v>76.209999999999994</v>
      </c>
      <c r="AY15" s="38">
        <f t="shared" si="3"/>
        <v>36.860000000000007</v>
      </c>
      <c r="AZ15" s="39">
        <f t="shared" si="22"/>
        <v>80.410000000000011</v>
      </c>
      <c r="BA15" s="36">
        <v>5</v>
      </c>
      <c r="BB15" s="41">
        <v>0.43958333333333338</v>
      </c>
      <c r="BC15" s="36">
        <v>4</v>
      </c>
      <c r="BD15" s="36">
        <f t="shared" si="4"/>
        <v>1</v>
      </c>
      <c r="BE15" s="36">
        <f t="shared" si="5"/>
        <v>-20</v>
      </c>
      <c r="BF15" s="42">
        <v>0.47430555555555554</v>
      </c>
      <c r="BG15" s="36">
        <v>4</v>
      </c>
      <c r="BH15" s="42">
        <v>0.46111111111111108</v>
      </c>
      <c r="BI15" s="43">
        <v>2</v>
      </c>
      <c r="BJ15" s="43">
        <f t="shared" si="15"/>
        <v>3</v>
      </c>
      <c r="BK15" s="44">
        <v>0.47430555555555554</v>
      </c>
      <c r="BL15" s="36">
        <v>8</v>
      </c>
      <c r="BM15" s="42">
        <v>0.6875</v>
      </c>
      <c r="BN15" s="36">
        <v>8</v>
      </c>
      <c r="BO15" s="42">
        <v>0.95833333333333337</v>
      </c>
      <c r="BP15" s="42" t="s">
        <v>91</v>
      </c>
      <c r="BQ15" s="36">
        <v>8</v>
      </c>
      <c r="BR15" s="42">
        <v>0.3125</v>
      </c>
      <c r="BS15" s="36">
        <v>8</v>
      </c>
      <c r="BT15" s="42">
        <v>0.70833333333333337</v>
      </c>
      <c r="BU15" s="36">
        <v>7</v>
      </c>
      <c r="BV15" s="42">
        <v>0.95833333333333337</v>
      </c>
      <c r="BW15" s="42" t="s">
        <v>28</v>
      </c>
      <c r="BX15" s="36">
        <v>7</v>
      </c>
      <c r="BY15" s="42">
        <v>0.3125</v>
      </c>
      <c r="BZ15" s="36">
        <v>8</v>
      </c>
      <c r="CA15" s="42">
        <v>0.6875</v>
      </c>
      <c r="CB15" s="36">
        <v>6</v>
      </c>
      <c r="CC15" s="42">
        <v>0.97916666666666663</v>
      </c>
      <c r="CD15" s="42" t="s">
        <v>28</v>
      </c>
      <c r="CE15" s="36">
        <v>7</v>
      </c>
      <c r="CF15" s="45">
        <v>0.3125</v>
      </c>
      <c r="CG15" s="43">
        <v>1</v>
      </c>
      <c r="CH15" s="43">
        <v>1</v>
      </c>
      <c r="CI15" s="43">
        <v>2</v>
      </c>
      <c r="CJ15" s="36" t="s">
        <v>93</v>
      </c>
      <c r="CK15" s="36"/>
      <c r="CL15" s="36"/>
      <c r="CM15" s="36" t="s">
        <v>22</v>
      </c>
      <c r="CN15" s="36" t="s">
        <v>44</v>
      </c>
      <c r="CO15" s="36" t="s">
        <v>21</v>
      </c>
      <c r="CP15" s="36" t="s">
        <v>94</v>
      </c>
      <c r="CQ15" s="36" t="s">
        <v>28</v>
      </c>
      <c r="CR15" s="36" t="s">
        <v>28</v>
      </c>
      <c r="CS15" s="46" t="s">
        <v>28</v>
      </c>
      <c r="CT15" s="35" t="s">
        <v>92</v>
      </c>
      <c r="CU15" s="47" t="s">
        <v>151</v>
      </c>
      <c r="CV15" s="47" t="s">
        <v>161</v>
      </c>
    </row>
    <row r="16" spans="1:100" s="10" customFormat="1" x14ac:dyDescent="0.25">
      <c r="A16" s="34">
        <v>4</v>
      </c>
      <c r="B16" s="35" t="s">
        <v>104</v>
      </c>
      <c r="C16" s="36" t="s">
        <v>22</v>
      </c>
      <c r="D16" s="36">
        <f>2015-1965</f>
        <v>50</v>
      </c>
      <c r="E16" s="36" t="s">
        <v>23</v>
      </c>
      <c r="F16" s="36" t="s">
        <v>26</v>
      </c>
      <c r="G16" s="36" t="s">
        <v>26</v>
      </c>
      <c r="H16" s="37">
        <v>6</v>
      </c>
      <c r="I16" s="36" t="s">
        <v>45</v>
      </c>
      <c r="J16" s="36" t="s">
        <v>45</v>
      </c>
      <c r="K16" s="36" t="s">
        <v>28</v>
      </c>
      <c r="L16" s="36" t="s">
        <v>45</v>
      </c>
      <c r="M16" s="36" t="s">
        <v>105</v>
      </c>
      <c r="N16" s="36">
        <f>1*5+2*4+3*2</f>
        <v>19</v>
      </c>
      <c r="O16" s="36">
        <f t="shared" si="14"/>
        <v>23.5</v>
      </c>
      <c r="P16" s="36">
        <f>1+4+4+0+5</f>
        <v>14</v>
      </c>
      <c r="Q16" s="36">
        <f>1+2+2+2+1+3</f>
        <v>11</v>
      </c>
      <c r="R16" s="36">
        <f>1+2+1+4</f>
        <v>8</v>
      </c>
      <c r="S16" s="38">
        <v>331.52</v>
      </c>
      <c r="T16" s="38">
        <v>331.52</v>
      </c>
      <c r="U16" s="38">
        <v>333.55</v>
      </c>
      <c r="V16" s="39">
        <f t="shared" si="16"/>
        <v>332.19666666666666</v>
      </c>
      <c r="W16" s="40">
        <v>301.44</v>
      </c>
      <c r="X16" s="40">
        <v>283.55</v>
      </c>
      <c r="Y16" s="40">
        <v>274.60000000000002</v>
      </c>
      <c r="Z16" s="39">
        <f>(W16+X16+Y16)/3</f>
        <v>286.53000000000003</v>
      </c>
      <c r="AA16" s="39">
        <f t="shared" si="2"/>
        <v>-45.666666666666629</v>
      </c>
      <c r="AB16" s="38">
        <v>341.28</v>
      </c>
      <c r="AC16" s="38">
        <v>308.35000000000002</v>
      </c>
      <c r="AD16" s="38">
        <v>336.4</v>
      </c>
      <c r="AE16" s="39">
        <f t="shared" si="17"/>
        <v>328.67666666666668</v>
      </c>
      <c r="AF16" s="38">
        <v>318.51</v>
      </c>
      <c r="AG16" s="38">
        <v>318.51</v>
      </c>
      <c r="AH16" s="38">
        <v>333.96</v>
      </c>
      <c r="AI16" s="39">
        <f t="shared" si="18"/>
        <v>323.66000000000003</v>
      </c>
      <c r="AJ16" s="38">
        <v>79.87</v>
      </c>
      <c r="AK16" s="38">
        <v>78.650000000000006</v>
      </c>
      <c r="AL16" s="38">
        <v>68.489999999999995</v>
      </c>
      <c r="AM16" s="39">
        <f t="shared" si="19"/>
        <v>75.67</v>
      </c>
      <c r="AN16" s="38">
        <v>121.34</v>
      </c>
      <c r="AO16" s="38">
        <v>114.02</v>
      </c>
      <c r="AP16" s="38">
        <v>112.39</v>
      </c>
      <c r="AQ16" s="39">
        <f t="shared" si="20"/>
        <v>115.91666666666667</v>
      </c>
      <c r="AR16" s="38">
        <v>91.66</v>
      </c>
      <c r="AS16" s="38">
        <v>93.69</v>
      </c>
      <c r="AT16" s="38">
        <v>86.37</v>
      </c>
      <c r="AU16" s="39">
        <f t="shared" si="21"/>
        <v>90.573333333333338</v>
      </c>
      <c r="AV16" s="38">
        <v>132.72</v>
      </c>
      <c r="AW16" s="38">
        <v>141.26</v>
      </c>
      <c r="AX16" s="38">
        <v>151.41999999999999</v>
      </c>
      <c r="AY16" s="38">
        <f t="shared" si="3"/>
        <v>66.129999999999981</v>
      </c>
      <c r="AZ16" s="39">
        <f t="shared" si="22"/>
        <v>141.79999999999998</v>
      </c>
      <c r="BA16" s="36">
        <v>5</v>
      </c>
      <c r="BB16" s="41">
        <v>0.49236111111111108</v>
      </c>
      <c r="BC16" s="36">
        <v>5</v>
      </c>
      <c r="BD16" s="36">
        <f t="shared" si="4"/>
        <v>0</v>
      </c>
      <c r="BE16" s="36">
        <f t="shared" si="5"/>
        <v>0</v>
      </c>
      <c r="BF16" s="42">
        <v>0.52777777777777779</v>
      </c>
      <c r="BG16" s="36">
        <v>4</v>
      </c>
      <c r="BH16" s="42">
        <v>0.52916666666666667</v>
      </c>
      <c r="BI16" s="43">
        <v>2</v>
      </c>
      <c r="BJ16" s="43">
        <f t="shared" si="15"/>
        <v>3</v>
      </c>
      <c r="BK16" s="44">
        <v>0.53055555555555556</v>
      </c>
      <c r="BL16" s="36">
        <v>5</v>
      </c>
      <c r="BM16" s="42">
        <v>0.72916666666666663</v>
      </c>
      <c r="BN16" s="36">
        <v>4</v>
      </c>
      <c r="BO16" s="42">
        <v>0.95833333333333337</v>
      </c>
      <c r="BP16" s="42" t="s">
        <v>56</v>
      </c>
      <c r="BQ16" s="36">
        <v>4</v>
      </c>
      <c r="BR16" s="42">
        <v>0.375</v>
      </c>
      <c r="BS16" s="36">
        <v>4</v>
      </c>
      <c r="BT16" s="42">
        <v>0.52083333333333337</v>
      </c>
      <c r="BU16" s="36">
        <v>3</v>
      </c>
      <c r="BV16" s="42">
        <v>0.95833333333333337</v>
      </c>
      <c r="BW16" s="42" t="s">
        <v>28</v>
      </c>
      <c r="BX16" s="36">
        <v>3</v>
      </c>
      <c r="BY16" s="42">
        <v>0.29166666666666669</v>
      </c>
      <c r="BZ16" s="36">
        <v>3</v>
      </c>
      <c r="CA16" s="42">
        <v>0.58333333333333337</v>
      </c>
      <c r="CB16" s="36">
        <v>2</v>
      </c>
      <c r="CC16" s="42">
        <v>0.95833333333333337</v>
      </c>
      <c r="CD16" s="42" t="s">
        <v>28</v>
      </c>
      <c r="CE16" s="36">
        <v>3</v>
      </c>
      <c r="CF16" s="45">
        <v>0.29166666666666669</v>
      </c>
      <c r="CG16" s="43">
        <v>2</v>
      </c>
      <c r="CH16" s="43">
        <v>2</v>
      </c>
      <c r="CI16" s="43">
        <v>2</v>
      </c>
      <c r="CJ16" s="36" t="s">
        <v>93</v>
      </c>
      <c r="CK16" s="36"/>
      <c r="CL16" s="36"/>
      <c r="CM16" s="36" t="s">
        <v>22</v>
      </c>
      <c r="CN16" s="36" t="s">
        <v>88</v>
      </c>
      <c r="CO16" s="36" t="s">
        <v>21</v>
      </c>
      <c r="CP16" s="36" t="s">
        <v>106</v>
      </c>
      <c r="CQ16" s="36" t="s">
        <v>28</v>
      </c>
      <c r="CR16" s="36" t="s">
        <v>28</v>
      </c>
      <c r="CS16" s="46" t="s">
        <v>28</v>
      </c>
      <c r="CT16" s="35" t="s">
        <v>104</v>
      </c>
      <c r="CU16" s="47" t="s">
        <v>28</v>
      </c>
      <c r="CV16" s="47" t="s">
        <v>157</v>
      </c>
    </row>
    <row r="17" spans="1:100" s="10" customFormat="1" x14ac:dyDescent="0.25">
      <c r="A17" s="34">
        <v>5</v>
      </c>
      <c r="B17" s="35" t="s">
        <v>107</v>
      </c>
      <c r="C17" s="36" t="s">
        <v>22</v>
      </c>
      <c r="D17" s="36">
        <f>2015-1964-1</f>
        <v>50</v>
      </c>
      <c r="E17" s="36" t="s">
        <v>23</v>
      </c>
      <c r="F17" s="36" t="s">
        <v>26</v>
      </c>
      <c r="G17" s="36" t="s">
        <v>26</v>
      </c>
      <c r="H17" s="37">
        <v>2</v>
      </c>
      <c r="I17" s="36" t="s">
        <v>45</v>
      </c>
      <c r="J17" s="36" t="s">
        <v>45</v>
      </c>
      <c r="K17" s="36" t="s">
        <v>28</v>
      </c>
      <c r="L17" s="36" t="s">
        <v>28</v>
      </c>
      <c r="M17" s="36"/>
      <c r="N17" s="36">
        <f>2*4+3*6+4</f>
        <v>30</v>
      </c>
      <c r="O17" s="36">
        <f t="shared" si="14"/>
        <v>78</v>
      </c>
      <c r="P17" s="36">
        <f>7+8+9+4+10</f>
        <v>38</v>
      </c>
      <c r="Q17" s="36">
        <f>6+9+9+10+8+8</f>
        <v>50</v>
      </c>
      <c r="R17" s="36">
        <f>8+9+7+6</f>
        <v>30</v>
      </c>
      <c r="S17" s="38">
        <v>273.79000000000002</v>
      </c>
      <c r="T17" s="38">
        <v>277.86</v>
      </c>
      <c r="U17" s="38">
        <v>268.51</v>
      </c>
      <c r="V17" s="39">
        <f t="shared" si="16"/>
        <v>273.38666666666671</v>
      </c>
      <c r="W17" s="40">
        <v>244.11</v>
      </c>
      <c r="X17" s="40">
        <v>220.13</v>
      </c>
      <c r="Y17" s="40">
        <v>232.73</v>
      </c>
      <c r="Z17" s="39">
        <f>(W17+X17+Y17)/3</f>
        <v>232.32333333333335</v>
      </c>
      <c r="AA17" s="39">
        <f t="shared" si="2"/>
        <v>-41.063333333333361</v>
      </c>
      <c r="AB17" s="38">
        <v>295.74</v>
      </c>
      <c r="AC17" s="38">
        <v>294.93</v>
      </c>
      <c r="AD17" s="38">
        <v>279.08</v>
      </c>
      <c r="AE17" s="39">
        <f t="shared" si="17"/>
        <v>289.91666666666669</v>
      </c>
      <c r="AF17" s="38">
        <v>280.3</v>
      </c>
      <c r="AG17" s="38">
        <v>281.52</v>
      </c>
      <c r="AH17" s="38">
        <v>291.68</v>
      </c>
      <c r="AI17" s="39">
        <f t="shared" si="18"/>
        <v>284.5</v>
      </c>
      <c r="AJ17" s="38">
        <v>48.57</v>
      </c>
      <c r="AK17" s="38">
        <v>51</v>
      </c>
      <c r="AL17" s="38">
        <v>48.16</v>
      </c>
      <c r="AM17" s="39">
        <f t="shared" si="19"/>
        <v>49.243333333333332</v>
      </c>
      <c r="AN17" s="38">
        <v>66.86</v>
      </c>
      <c r="AO17" s="38">
        <v>69.709999999999994</v>
      </c>
      <c r="AP17" s="38">
        <v>72.959999999999994</v>
      </c>
      <c r="AQ17" s="39">
        <f t="shared" si="20"/>
        <v>69.84333333333332</v>
      </c>
      <c r="AR17" s="38">
        <v>53.04</v>
      </c>
      <c r="AS17" s="38">
        <v>47.75</v>
      </c>
      <c r="AT17" s="38">
        <v>50.6</v>
      </c>
      <c r="AU17" s="39">
        <f t="shared" si="21"/>
        <v>50.463333333333331</v>
      </c>
      <c r="AV17" s="38">
        <v>57.1</v>
      </c>
      <c r="AW17" s="38">
        <v>56.7</v>
      </c>
      <c r="AX17" s="38">
        <v>50.19</v>
      </c>
      <c r="AY17" s="38">
        <f t="shared" si="3"/>
        <v>5.4200000000000017</v>
      </c>
      <c r="AZ17" s="39">
        <f t="shared" si="22"/>
        <v>54.663333333333334</v>
      </c>
      <c r="BA17" s="36">
        <v>7</v>
      </c>
      <c r="BB17" s="41">
        <v>0.69374999999999998</v>
      </c>
      <c r="BC17" s="36">
        <v>8</v>
      </c>
      <c r="BD17" s="36">
        <f t="shared" si="4"/>
        <v>-1</v>
      </c>
      <c r="BE17" s="36">
        <f t="shared" si="5"/>
        <v>14.285714285714285</v>
      </c>
      <c r="BF17" s="42">
        <v>0.72986111111111107</v>
      </c>
      <c r="BG17" s="36">
        <v>7</v>
      </c>
      <c r="BH17" s="42">
        <v>0.70486111111111116</v>
      </c>
      <c r="BI17" s="43">
        <v>8</v>
      </c>
      <c r="BJ17" s="43">
        <f t="shared" si="15"/>
        <v>-1</v>
      </c>
      <c r="BK17" s="44">
        <v>0.71944444444444444</v>
      </c>
      <c r="BL17" s="36" t="s">
        <v>57</v>
      </c>
      <c r="BM17" s="42"/>
      <c r="BN17" s="36">
        <v>8</v>
      </c>
      <c r="BO17" s="42">
        <v>0.94444444444444453</v>
      </c>
      <c r="BP17" s="42" t="s">
        <v>28</v>
      </c>
      <c r="BQ17" s="36">
        <v>9</v>
      </c>
      <c r="BR17" s="42">
        <v>0.29166666666666669</v>
      </c>
      <c r="BS17" s="36">
        <v>8</v>
      </c>
      <c r="BT17" s="42">
        <v>0.59722222222222221</v>
      </c>
      <c r="BU17" s="36">
        <v>7</v>
      </c>
      <c r="BV17" s="42">
        <v>0.91666666666666663</v>
      </c>
      <c r="BW17" s="42" t="s">
        <v>28</v>
      </c>
      <c r="BX17" s="36">
        <v>8</v>
      </c>
      <c r="BY17" s="42">
        <v>0.3125</v>
      </c>
      <c r="BZ17" s="36">
        <v>9</v>
      </c>
      <c r="CA17" s="42">
        <v>0.61111111111111105</v>
      </c>
      <c r="CB17" s="36">
        <v>8</v>
      </c>
      <c r="CC17" s="42">
        <v>0.9375</v>
      </c>
      <c r="CD17" s="42" t="s">
        <v>28</v>
      </c>
      <c r="CE17" s="36">
        <v>8</v>
      </c>
      <c r="CF17" s="45">
        <v>0.3125</v>
      </c>
      <c r="CG17" s="43">
        <v>2</v>
      </c>
      <c r="CH17" s="43">
        <v>2</v>
      </c>
      <c r="CI17" s="43">
        <v>2</v>
      </c>
      <c r="CJ17" s="36" t="s">
        <v>52</v>
      </c>
      <c r="CK17" s="36"/>
      <c r="CL17" s="36"/>
      <c r="CM17" s="36" t="s">
        <v>22</v>
      </c>
      <c r="CN17" s="36" t="s">
        <v>44</v>
      </c>
      <c r="CO17" s="36" t="s">
        <v>21</v>
      </c>
      <c r="CP17" s="36" t="s">
        <v>46</v>
      </c>
      <c r="CQ17" s="36" t="s">
        <v>28</v>
      </c>
      <c r="CR17" s="36" t="s">
        <v>28</v>
      </c>
      <c r="CS17" s="46" t="s">
        <v>155</v>
      </c>
      <c r="CT17" s="35" t="s">
        <v>107</v>
      </c>
      <c r="CU17" s="47" t="s">
        <v>28</v>
      </c>
      <c r="CV17" s="47" t="s">
        <v>156</v>
      </c>
    </row>
    <row r="18" spans="1:100" s="10" customFormat="1" x14ac:dyDescent="0.25">
      <c r="A18" s="34">
        <v>6</v>
      </c>
      <c r="B18" s="35" t="s">
        <v>123</v>
      </c>
      <c r="C18" s="36" t="s">
        <v>22</v>
      </c>
      <c r="D18" s="36">
        <f>2015-1963</f>
        <v>52</v>
      </c>
      <c r="E18" s="36" t="s">
        <v>23</v>
      </c>
      <c r="F18" s="36" t="s">
        <v>26</v>
      </c>
      <c r="G18" s="36" t="s">
        <v>26</v>
      </c>
      <c r="H18" s="37">
        <v>12</v>
      </c>
      <c r="I18" s="36" t="s">
        <v>28</v>
      </c>
      <c r="J18" s="36"/>
      <c r="K18" s="36"/>
      <c r="L18" s="36" t="s">
        <v>45</v>
      </c>
      <c r="M18" s="36" t="s">
        <v>127</v>
      </c>
      <c r="N18" s="36">
        <f>1+2*4+3*3+4*2</f>
        <v>26</v>
      </c>
      <c r="O18" s="36">
        <f t="shared" si="14"/>
        <v>51</v>
      </c>
      <c r="P18" s="36">
        <f>8+7+9+3+9</f>
        <v>36</v>
      </c>
      <c r="Q18" s="36">
        <f>1+7+0+3+1+4</f>
        <v>16</v>
      </c>
      <c r="R18" s="36">
        <f>1+4+4+5</f>
        <v>14</v>
      </c>
      <c r="S18" s="38">
        <v>261.19</v>
      </c>
      <c r="T18" s="38">
        <v>256.72000000000003</v>
      </c>
      <c r="U18" s="38">
        <v>252.65</v>
      </c>
      <c r="V18" s="39">
        <f t="shared" si="16"/>
        <v>256.85333333333335</v>
      </c>
      <c r="W18" s="40">
        <v>215.25</v>
      </c>
      <c r="X18" s="40">
        <v>227.44</v>
      </c>
      <c r="Y18" s="40">
        <v>220.94</v>
      </c>
      <c r="Z18" s="39">
        <f>(W18+X18+Y18)/3</f>
        <v>221.21</v>
      </c>
      <c r="AA18" s="39">
        <f t="shared" si="2"/>
        <v>-35.643333333333345</v>
      </c>
      <c r="AB18" s="38">
        <v>228.66</v>
      </c>
      <c r="AC18" s="38">
        <v>233.95</v>
      </c>
      <c r="AD18" s="38">
        <v>220.94</v>
      </c>
      <c r="AE18" s="39">
        <f t="shared" si="17"/>
        <v>227.85</v>
      </c>
      <c r="AF18" s="38">
        <v>244.11</v>
      </c>
      <c r="AG18" s="38">
        <v>244.52</v>
      </c>
      <c r="AH18" s="38">
        <v>246.55</v>
      </c>
      <c r="AI18" s="39">
        <f t="shared" si="18"/>
        <v>245.06000000000003</v>
      </c>
      <c r="AJ18" s="38">
        <v>61.58</v>
      </c>
      <c r="AK18" s="38">
        <v>62.39</v>
      </c>
      <c r="AL18" s="38">
        <v>61.17</v>
      </c>
      <c r="AM18" s="39">
        <f t="shared" si="19"/>
        <v>61.713333333333331</v>
      </c>
      <c r="AN18" s="38">
        <v>78.239999999999995</v>
      </c>
      <c r="AO18" s="38">
        <v>71.33</v>
      </c>
      <c r="AP18" s="38">
        <v>73.36</v>
      </c>
      <c r="AQ18" s="39">
        <f t="shared" si="20"/>
        <v>74.31</v>
      </c>
      <c r="AR18" s="38">
        <v>92.88</v>
      </c>
      <c r="AS18" s="38">
        <v>87.19</v>
      </c>
      <c r="AT18" s="38">
        <v>76.62</v>
      </c>
      <c r="AU18" s="39">
        <f t="shared" si="21"/>
        <v>85.563333333333333</v>
      </c>
      <c r="AV18" s="38">
        <v>72.55</v>
      </c>
      <c r="AW18" s="38">
        <v>72.959999999999994</v>
      </c>
      <c r="AX18" s="38">
        <v>73.77</v>
      </c>
      <c r="AY18" s="38">
        <f t="shared" si="3"/>
        <v>11.379999999999988</v>
      </c>
      <c r="AZ18" s="39">
        <f t="shared" si="22"/>
        <v>73.09333333333332</v>
      </c>
      <c r="BA18" s="36">
        <v>6</v>
      </c>
      <c r="BB18" s="41">
        <v>0.56319444444444444</v>
      </c>
      <c r="BC18" s="36">
        <v>4</v>
      </c>
      <c r="BD18" s="36">
        <f t="shared" si="4"/>
        <v>2</v>
      </c>
      <c r="BE18" s="36">
        <f t="shared" si="5"/>
        <v>-33.333333333333329</v>
      </c>
      <c r="BF18" s="42">
        <v>0.60347222222222219</v>
      </c>
      <c r="BG18" s="36">
        <v>4</v>
      </c>
      <c r="BH18" s="42">
        <v>0.59166666666666667</v>
      </c>
      <c r="BI18" s="43">
        <v>4</v>
      </c>
      <c r="BJ18" s="43">
        <f t="shared" si="15"/>
        <v>2</v>
      </c>
      <c r="BK18" s="44">
        <v>0.59305555555555556</v>
      </c>
      <c r="BL18" s="36">
        <v>4</v>
      </c>
      <c r="BM18" s="42"/>
      <c r="BN18" s="36">
        <v>3</v>
      </c>
      <c r="BO18" s="42"/>
      <c r="BP18" s="42" t="s">
        <v>128</v>
      </c>
      <c r="BQ18" s="36">
        <v>2</v>
      </c>
      <c r="BR18" s="42"/>
      <c r="BS18" s="36">
        <v>2</v>
      </c>
      <c r="BT18" s="42"/>
      <c r="BU18" s="36">
        <v>2</v>
      </c>
      <c r="BV18" s="42"/>
      <c r="BW18" s="42" t="s">
        <v>28</v>
      </c>
      <c r="BX18" s="36">
        <v>3</v>
      </c>
      <c r="BY18" s="42"/>
      <c r="BZ18" s="36">
        <v>3</v>
      </c>
      <c r="CA18" s="42"/>
      <c r="CB18" s="36">
        <v>2</v>
      </c>
      <c r="CC18" s="42"/>
      <c r="CD18" s="42" t="s">
        <v>28</v>
      </c>
      <c r="CE18" s="36">
        <v>4</v>
      </c>
      <c r="CF18" s="45" t="s">
        <v>138</v>
      </c>
      <c r="CG18" s="43">
        <v>0</v>
      </c>
      <c r="CH18" s="43">
        <v>0</v>
      </c>
      <c r="CI18" s="43">
        <v>0</v>
      </c>
      <c r="CJ18" s="36" t="s">
        <v>42</v>
      </c>
      <c r="CK18" s="36" t="s">
        <v>137</v>
      </c>
      <c r="CL18" s="36" t="s">
        <v>97</v>
      </c>
      <c r="CM18" s="36" t="s">
        <v>21</v>
      </c>
      <c r="CN18" s="36" t="s">
        <v>44</v>
      </c>
      <c r="CO18" s="36" t="s">
        <v>22</v>
      </c>
      <c r="CP18" s="36" t="s">
        <v>106</v>
      </c>
      <c r="CQ18" s="36" t="s">
        <v>28</v>
      </c>
      <c r="CR18" s="36" t="s">
        <v>28</v>
      </c>
      <c r="CS18" s="46" t="s">
        <v>28</v>
      </c>
      <c r="CT18" s="35" t="s">
        <v>123</v>
      </c>
      <c r="CU18" s="47" t="s">
        <v>150</v>
      </c>
      <c r="CV18" s="47"/>
    </row>
    <row r="19" spans="1:100" s="10" customFormat="1" x14ac:dyDescent="0.25">
      <c r="A19" s="34">
        <v>7</v>
      </c>
      <c r="B19" s="35" t="s">
        <v>129</v>
      </c>
      <c r="C19" s="36" t="s">
        <v>22</v>
      </c>
      <c r="D19" s="36">
        <f>2015-1974</f>
        <v>41</v>
      </c>
      <c r="E19" s="36" t="s">
        <v>23</v>
      </c>
      <c r="F19" s="36" t="s">
        <v>26</v>
      </c>
      <c r="G19" s="36" t="s">
        <v>26</v>
      </c>
      <c r="H19" s="37">
        <v>6</v>
      </c>
      <c r="I19" s="36" t="s">
        <v>45</v>
      </c>
      <c r="J19" s="36" t="s">
        <v>28</v>
      </c>
      <c r="K19" s="36" t="s">
        <v>28</v>
      </c>
      <c r="L19" s="36" t="s">
        <v>45</v>
      </c>
      <c r="M19" s="36" t="s">
        <v>130</v>
      </c>
      <c r="N19" s="36">
        <f>1*1+2*5+3*4+4*1</f>
        <v>27</v>
      </c>
      <c r="O19" s="36">
        <f>P19+(Q19+R19)/2</f>
        <v>48.5</v>
      </c>
      <c r="P19" s="36">
        <f>4+8+7+3+9</f>
        <v>31</v>
      </c>
      <c r="Q19" s="36">
        <f>3+5+0+7+0+2</f>
        <v>17</v>
      </c>
      <c r="R19" s="36">
        <f>0+3+5+10</f>
        <v>18</v>
      </c>
      <c r="S19" s="38">
        <v>175.41</v>
      </c>
      <c r="T19" s="38">
        <v>160.77000000000001</v>
      </c>
      <c r="U19" s="38">
        <v>166.46</v>
      </c>
      <c r="V19" s="39">
        <f t="shared" si="16"/>
        <v>167.54666666666665</v>
      </c>
      <c r="W19" s="40">
        <v>166.87</v>
      </c>
      <c r="X19" s="40">
        <v>161.58000000000001</v>
      </c>
      <c r="Y19" s="40">
        <v>176.63</v>
      </c>
      <c r="Z19" s="39">
        <f>(W19+X19+Y19)/3</f>
        <v>168.36</v>
      </c>
      <c r="AA19" s="39">
        <f t="shared" si="2"/>
        <v>0.813333333333361</v>
      </c>
      <c r="AB19" s="38">
        <v>146.94999999999999</v>
      </c>
      <c r="AC19" s="38">
        <v>142.88</v>
      </c>
      <c r="AD19" s="38">
        <v>129.47</v>
      </c>
      <c r="AE19" s="39">
        <f t="shared" si="17"/>
        <v>139.76666666666665</v>
      </c>
      <c r="AF19" s="38">
        <v>137.19</v>
      </c>
      <c r="AG19" s="38">
        <v>136.79</v>
      </c>
      <c r="AH19" s="38">
        <v>140.85</v>
      </c>
      <c r="AI19" s="39">
        <f t="shared" si="18"/>
        <v>138.27666666666667</v>
      </c>
      <c r="AJ19" s="38">
        <v>26.61</v>
      </c>
      <c r="AK19" s="38">
        <v>25.8</v>
      </c>
      <c r="AL19" s="38">
        <v>22.14</v>
      </c>
      <c r="AM19" s="39">
        <f t="shared" si="19"/>
        <v>24.849999999999998</v>
      </c>
      <c r="AN19" s="38">
        <v>51.82</v>
      </c>
      <c r="AO19" s="38">
        <v>61.17</v>
      </c>
      <c r="AP19" s="38">
        <v>70.52</v>
      </c>
      <c r="AQ19" s="39">
        <f t="shared" si="20"/>
        <v>61.169999999999995</v>
      </c>
      <c r="AR19" s="38">
        <v>48.97</v>
      </c>
      <c r="AS19" s="38">
        <v>43.28</v>
      </c>
      <c r="AT19" s="38">
        <v>44.5</v>
      </c>
      <c r="AU19" s="39">
        <f t="shared" si="21"/>
        <v>45.583333333333336</v>
      </c>
      <c r="AV19" s="38">
        <v>43.69</v>
      </c>
      <c r="AW19" s="38">
        <v>41.25</v>
      </c>
      <c r="AX19" s="38">
        <v>42.06</v>
      </c>
      <c r="AY19" s="38">
        <f t="shared" si="3"/>
        <v>17.483333333333338</v>
      </c>
      <c r="AZ19" s="39">
        <f t="shared" si="22"/>
        <v>42.333333333333336</v>
      </c>
      <c r="BA19" s="36">
        <v>3</v>
      </c>
      <c r="BB19" s="41">
        <v>0.5805555555555556</v>
      </c>
      <c r="BC19" s="36">
        <v>0</v>
      </c>
      <c r="BD19" s="36">
        <f t="shared" si="4"/>
        <v>3</v>
      </c>
      <c r="BE19" s="36">
        <f t="shared" si="5"/>
        <v>-100</v>
      </c>
      <c r="BF19" s="42">
        <v>0.61249999999999993</v>
      </c>
      <c r="BG19" s="36">
        <v>0</v>
      </c>
      <c r="BH19" s="42">
        <v>0.47013888888888888</v>
      </c>
      <c r="BI19" s="43">
        <v>1</v>
      </c>
      <c r="BJ19" s="43">
        <f t="shared" si="15"/>
        <v>2</v>
      </c>
      <c r="BK19" s="44">
        <v>0.46527777777777773</v>
      </c>
      <c r="BL19" s="36">
        <v>2</v>
      </c>
      <c r="BM19" s="42">
        <v>0.78472222222222221</v>
      </c>
      <c r="BN19" s="36">
        <v>1</v>
      </c>
      <c r="BO19" s="42">
        <v>0.96875</v>
      </c>
      <c r="BP19" s="42" t="s">
        <v>28</v>
      </c>
      <c r="BQ19" s="36">
        <v>1</v>
      </c>
      <c r="BR19" s="42">
        <v>0.2951388888888889</v>
      </c>
      <c r="BS19" s="36">
        <v>1</v>
      </c>
      <c r="BT19" s="42">
        <v>0.77777777777777779</v>
      </c>
      <c r="BU19" s="36">
        <v>3</v>
      </c>
      <c r="BV19" s="42">
        <v>0.96875</v>
      </c>
      <c r="BW19" s="42" t="s">
        <v>28</v>
      </c>
      <c r="BX19" s="36">
        <v>2</v>
      </c>
      <c r="BY19" s="42">
        <v>0.27083333333333331</v>
      </c>
      <c r="BZ19" s="36">
        <v>1</v>
      </c>
      <c r="CA19" s="42">
        <v>0.73958333333333337</v>
      </c>
      <c r="CB19" s="36">
        <v>1</v>
      </c>
      <c r="CC19" s="42">
        <v>0.9375</v>
      </c>
      <c r="CD19" s="42" t="s">
        <v>28</v>
      </c>
      <c r="CE19" s="36">
        <v>0</v>
      </c>
      <c r="CF19" s="45">
        <v>0.28125</v>
      </c>
      <c r="CG19" s="43">
        <v>1</v>
      </c>
      <c r="CH19" s="43">
        <v>1</v>
      </c>
      <c r="CI19" s="43">
        <v>1</v>
      </c>
      <c r="CJ19" s="36" t="s">
        <v>42</v>
      </c>
      <c r="CK19" s="36" t="s">
        <v>42</v>
      </c>
      <c r="CL19" s="36"/>
      <c r="CM19" s="36" t="s">
        <v>21</v>
      </c>
      <c r="CN19" s="36" t="s">
        <v>44</v>
      </c>
      <c r="CO19" s="36" t="s">
        <v>21</v>
      </c>
      <c r="CP19" s="36" t="s">
        <v>106</v>
      </c>
      <c r="CQ19" s="36" t="s">
        <v>28</v>
      </c>
      <c r="CR19" s="36" t="s">
        <v>28</v>
      </c>
      <c r="CS19" s="46" t="s">
        <v>28</v>
      </c>
      <c r="CT19" s="35" t="s">
        <v>129</v>
      </c>
      <c r="CU19" s="47" t="s">
        <v>28</v>
      </c>
      <c r="CV19" s="47"/>
    </row>
    <row r="20" spans="1:100" s="10" customFormat="1" x14ac:dyDescent="0.25">
      <c r="A20" s="34">
        <v>8</v>
      </c>
      <c r="B20" s="35" t="s">
        <v>48</v>
      </c>
      <c r="C20" s="36" t="s">
        <v>22</v>
      </c>
      <c r="D20" s="36">
        <f>2015-1966</f>
        <v>49</v>
      </c>
      <c r="E20" s="36" t="s">
        <v>24</v>
      </c>
      <c r="F20" s="36" t="s">
        <v>26</v>
      </c>
      <c r="G20" s="36" t="s">
        <v>26</v>
      </c>
      <c r="H20" s="37">
        <v>5</v>
      </c>
      <c r="I20" s="36" t="s">
        <v>45</v>
      </c>
      <c r="J20" s="36" t="s">
        <v>28</v>
      </c>
      <c r="K20" s="36" t="s">
        <v>28</v>
      </c>
      <c r="L20" s="36" t="s">
        <v>45</v>
      </c>
      <c r="M20" s="36" t="s">
        <v>118</v>
      </c>
      <c r="N20" s="36">
        <v>13</v>
      </c>
      <c r="O20" s="36">
        <f t="shared" si="14"/>
        <v>22</v>
      </c>
      <c r="P20" s="36">
        <f>0+3+3+0+5</f>
        <v>11</v>
      </c>
      <c r="Q20" s="36">
        <f>0+2+2+4+2+4</f>
        <v>14</v>
      </c>
      <c r="R20" s="36">
        <f>3+4+0+1</f>
        <v>8</v>
      </c>
      <c r="S20" s="38">
        <v>383.56</v>
      </c>
      <c r="T20" s="38">
        <v>391.28</v>
      </c>
      <c r="U20" s="38">
        <v>372.58</v>
      </c>
      <c r="V20" s="39">
        <f>(383.56+391.28+372.58)/3</f>
        <v>382.4733333333333</v>
      </c>
      <c r="W20" s="40">
        <v>414.46</v>
      </c>
      <c r="X20" s="40">
        <v>444.54</v>
      </c>
      <c r="Y20" s="40">
        <v>446.17</v>
      </c>
      <c r="Z20" s="39">
        <f>(414.46+444.54+446.17)/3</f>
        <v>435.05666666666667</v>
      </c>
      <c r="AA20" s="39">
        <f t="shared" si="2"/>
        <v>52.583333333333371</v>
      </c>
      <c r="AB20" s="38">
        <v>529.51</v>
      </c>
      <c r="AC20" s="38">
        <v>484.79</v>
      </c>
      <c r="AD20" s="38">
        <v>449.01</v>
      </c>
      <c r="AE20" s="39">
        <f>(529.51+484.79+449.01)/3</f>
        <v>487.77</v>
      </c>
      <c r="AF20" s="38">
        <v>568.54</v>
      </c>
      <c r="AG20" s="38">
        <v>556.34</v>
      </c>
      <c r="AH20" s="38">
        <v>564.47</v>
      </c>
      <c r="AI20" s="39">
        <f>(568.54+556.34+564.47)/3</f>
        <v>563.11666666666667</v>
      </c>
      <c r="AJ20" s="38">
        <v>205.9</v>
      </c>
      <c r="AK20" s="38">
        <v>183.54</v>
      </c>
      <c r="AL20" s="38">
        <v>186.38</v>
      </c>
      <c r="AM20" s="39">
        <f>(205.9+183.54+186.38)/3</f>
        <v>191.93999999999997</v>
      </c>
      <c r="AN20" s="38">
        <v>153.44999999999999</v>
      </c>
      <c r="AO20" s="38">
        <v>167.68</v>
      </c>
      <c r="AP20" s="38">
        <v>179.88</v>
      </c>
      <c r="AQ20" s="39">
        <f>(153.45+167.68+179.88)/3</f>
        <v>167.00333333333333</v>
      </c>
      <c r="AR20" s="38">
        <v>350.63</v>
      </c>
      <c r="AS20" s="38">
        <v>341.28</v>
      </c>
      <c r="AT20" s="38">
        <v>323.8</v>
      </c>
      <c r="AU20" s="39">
        <f>(350.63+341.28+323.8)/3</f>
        <v>338.57</v>
      </c>
      <c r="AV20" s="38">
        <v>281.52</v>
      </c>
      <c r="AW20" s="38">
        <v>259.97000000000003</v>
      </c>
      <c r="AX20" s="38">
        <v>262.41000000000003</v>
      </c>
      <c r="AY20" s="38">
        <f t="shared" si="3"/>
        <v>76.026666666666728</v>
      </c>
      <c r="AZ20" s="39">
        <f>(281.52+259.97+262.41)/3</f>
        <v>267.9666666666667</v>
      </c>
      <c r="BA20" s="36">
        <v>4</v>
      </c>
      <c r="BB20" s="41">
        <v>0.46319444444444446</v>
      </c>
      <c r="BC20" s="36">
        <v>3</v>
      </c>
      <c r="BD20" s="36">
        <f t="shared" si="4"/>
        <v>1</v>
      </c>
      <c r="BE20" s="36">
        <f t="shared" si="5"/>
        <v>-25</v>
      </c>
      <c r="BF20" s="42">
        <v>0.4993055555555555</v>
      </c>
      <c r="BG20" s="36">
        <v>1</v>
      </c>
      <c r="BH20" s="42">
        <v>0.49722222222222223</v>
      </c>
      <c r="BI20" s="43">
        <v>4</v>
      </c>
      <c r="BJ20" s="43">
        <f t="shared" si="15"/>
        <v>0</v>
      </c>
      <c r="BK20" s="44">
        <v>0.51874999999999993</v>
      </c>
      <c r="BL20" s="36">
        <v>6</v>
      </c>
      <c r="BM20" s="42">
        <v>0.68472222222222223</v>
      </c>
      <c r="BN20" s="36">
        <v>6</v>
      </c>
      <c r="BO20" s="42">
        <v>0.92013888888888884</v>
      </c>
      <c r="BP20" s="42" t="s">
        <v>28</v>
      </c>
      <c r="BQ20" s="36">
        <v>5</v>
      </c>
      <c r="BR20" s="42">
        <v>0.3125</v>
      </c>
      <c r="BS20" s="36">
        <v>3</v>
      </c>
      <c r="BT20" s="42">
        <v>0.64583333333333337</v>
      </c>
      <c r="BU20" s="36">
        <v>6</v>
      </c>
      <c r="BV20" s="42">
        <v>0.9770833333333333</v>
      </c>
      <c r="BW20" s="42" t="s">
        <v>28</v>
      </c>
      <c r="BX20" s="36">
        <v>5</v>
      </c>
      <c r="BY20" s="42">
        <v>0.38194444444444442</v>
      </c>
      <c r="BZ20" s="36">
        <v>6</v>
      </c>
      <c r="CA20" s="42">
        <v>0.70833333333333337</v>
      </c>
      <c r="CB20" s="36">
        <v>4</v>
      </c>
      <c r="CC20" s="42">
        <v>0</v>
      </c>
      <c r="CD20" s="42" t="s">
        <v>28</v>
      </c>
      <c r="CE20" s="36">
        <v>6</v>
      </c>
      <c r="CF20" s="45">
        <v>0.375</v>
      </c>
      <c r="CG20" s="43">
        <v>0</v>
      </c>
      <c r="CH20" s="43">
        <v>1</v>
      </c>
      <c r="CI20" s="48">
        <v>2.5</v>
      </c>
      <c r="CJ20" s="36" t="s">
        <v>42</v>
      </c>
      <c r="CK20" s="36"/>
      <c r="CL20" s="36"/>
      <c r="CM20" s="36" t="s">
        <v>21</v>
      </c>
      <c r="CN20" s="36" t="s">
        <v>44</v>
      </c>
      <c r="CO20" s="36" t="s">
        <v>21</v>
      </c>
      <c r="CP20" s="36" t="s">
        <v>46</v>
      </c>
      <c r="CQ20" s="36" t="s">
        <v>28</v>
      </c>
      <c r="CR20" s="36" t="s">
        <v>28</v>
      </c>
      <c r="CS20" s="46" t="s">
        <v>28</v>
      </c>
      <c r="CT20" s="35" t="s">
        <v>48</v>
      </c>
      <c r="CU20" s="47" t="s">
        <v>151</v>
      </c>
      <c r="CV20" s="47"/>
    </row>
    <row r="21" spans="1:100" s="10" customFormat="1" x14ac:dyDescent="0.25">
      <c r="A21" s="34">
        <v>9</v>
      </c>
      <c r="B21" s="35" t="s">
        <v>96</v>
      </c>
      <c r="C21" s="36" t="s">
        <v>22</v>
      </c>
      <c r="D21" s="36">
        <f>2015-1961</f>
        <v>54</v>
      </c>
      <c r="E21" s="36" t="s">
        <v>24</v>
      </c>
      <c r="F21" s="36" t="s">
        <v>26</v>
      </c>
      <c r="G21" s="36" t="s">
        <v>26</v>
      </c>
      <c r="H21" s="37">
        <v>2</v>
      </c>
      <c r="I21" s="36" t="s">
        <v>45</v>
      </c>
      <c r="J21" s="36" t="s">
        <v>45</v>
      </c>
      <c r="K21" s="36" t="s">
        <v>45</v>
      </c>
      <c r="L21" s="36" t="s">
        <v>45</v>
      </c>
      <c r="M21" s="36" t="s">
        <v>114</v>
      </c>
      <c r="N21" s="36">
        <f>2*6+3*3+4*2</f>
        <v>29</v>
      </c>
      <c r="O21" s="36">
        <f t="shared" si="14"/>
        <v>56</v>
      </c>
      <c r="P21" s="36">
        <f>3+6+7+2+8</f>
        <v>26</v>
      </c>
      <c r="Q21" s="36">
        <f>6+7+6+8+9+9</f>
        <v>45</v>
      </c>
      <c r="R21" s="36">
        <f>2+4+3+6</f>
        <v>15</v>
      </c>
      <c r="S21" s="38">
        <v>411.61</v>
      </c>
      <c r="T21" s="38">
        <v>390.47</v>
      </c>
      <c r="U21" s="38">
        <v>396.16</v>
      </c>
      <c r="V21" s="39">
        <f>(S21+T21+U21)/3</f>
        <v>399.41333333333336</v>
      </c>
      <c r="W21" s="40">
        <f>396.57</f>
        <v>396.57</v>
      </c>
      <c r="X21" s="40">
        <v>394.53</v>
      </c>
      <c r="Y21" s="40">
        <v>408.76</v>
      </c>
      <c r="Z21" s="39">
        <f>(W21+X21+Y21)/3</f>
        <v>399.95333333333332</v>
      </c>
      <c r="AA21" s="39">
        <f t="shared" si="2"/>
        <v>0.53999999999996362</v>
      </c>
      <c r="AB21" s="38">
        <v>416.89</v>
      </c>
      <c r="AC21" s="38">
        <v>397.79</v>
      </c>
      <c r="AD21" s="38">
        <v>377.46</v>
      </c>
      <c r="AE21" s="39">
        <f>(AB21+AC21+AD21)/3</f>
        <v>397.38000000000005</v>
      </c>
      <c r="AF21" s="38">
        <v>427.46</v>
      </c>
      <c r="AG21" s="38">
        <v>427.06</v>
      </c>
      <c r="AH21" s="38">
        <v>409.17</v>
      </c>
      <c r="AI21" s="39">
        <f>(AF21+AG21+AH21)/3</f>
        <v>421.23</v>
      </c>
      <c r="AJ21" s="38">
        <v>282.24</v>
      </c>
      <c r="AK21" s="38">
        <v>277.86</v>
      </c>
      <c r="AL21" s="38">
        <v>306.31</v>
      </c>
      <c r="AM21" s="39">
        <f>(AJ21+AK21+AL21)/3</f>
        <v>288.80333333333334</v>
      </c>
      <c r="AN21" s="38">
        <v>274.60000000000002</v>
      </c>
      <c r="AO21" s="38">
        <v>238.42</v>
      </c>
      <c r="AP21" s="38">
        <v>264.85000000000002</v>
      </c>
      <c r="AQ21" s="39">
        <f>(AN21+AO21+AP21)/3</f>
        <v>259.29000000000002</v>
      </c>
      <c r="AR21" s="38">
        <v>258.33999999999997</v>
      </c>
      <c r="AS21" s="38">
        <v>256.72000000000003</v>
      </c>
      <c r="AT21" s="38">
        <v>266.07</v>
      </c>
      <c r="AU21" s="39">
        <f>(AR21+AS21+AT21)/3</f>
        <v>260.37666666666661</v>
      </c>
      <c r="AV21" s="38">
        <v>190.45</v>
      </c>
      <c r="AW21" s="38">
        <v>209.56</v>
      </c>
      <c r="AX21" s="38">
        <v>188.01</v>
      </c>
      <c r="AY21" s="38">
        <f t="shared" si="3"/>
        <v>-92.796666666666681</v>
      </c>
      <c r="AZ21" s="39">
        <f>(AV21+AW21+AX21)/3</f>
        <v>196.00666666666666</v>
      </c>
      <c r="BA21" s="36">
        <v>3</v>
      </c>
      <c r="BB21" s="41">
        <v>0.55763888888888891</v>
      </c>
      <c r="BC21" s="36">
        <v>3</v>
      </c>
      <c r="BD21" s="36">
        <f t="shared" si="4"/>
        <v>0</v>
      </c>
      <c r="BE21" s="36">
        <f t="shared" si="5"/>
        <v>0</v>
      </c>
      <c r="BF21" s="42">
        <v>0.59305555555555556</v>
      </c>
      <c r="BG21" s="36">
        <v>3</v>
      </c>
      <c r="BH21" s="42">
        <v>0.58333333333333337</v>
      </c>
      <c r="BI21" s="43">
        <v>2</v>
      </c>
      <c r="BJ21" s="43">
        <f t="shared" si="15"/>
        <v>1</v>
      </c>
      <c r="BK21" s="44"/>
      <c r="BL21" s="36">
        <v>6</v>
      </c>
      <c r="BM21" s="42">
        <v>0.75069444444444444</v>
      </c>
      <c r="BN21" s="36">
        <v>4</v>
      </c>
      <c r="BO21" s="42">
        <v>0.93472222222222223</v>
      </c>
      <c r="BP21" s="42" t="s">
        <v>28</v>
      </c>
      <c r="BQ21" s="36">
        <v>4</v>
      </c>
      <c r="BR21" s="42">
        <v>0.29166666666666669</v>
      </c>
      <c r="BS21" s="36" t="s">
        <v>57</v>
      </c>
      <c r="BT21" s="42"/>
      <c r="BU21" s="36">
        <v>2</v>
      </c>
      <c r="BV21" s="42">
        <v>0.88750000000000007</v>
      </c>
      <c r="BW21" s="42" t="s">
        <v>28</v>
      </c>
      <c r="BX21" s="36">
        <v>3</v>
      </c>
      <c r="BY21" s="42">
        <v>0.27083333333333331</v>
      </c>
      <c r="BZ21" s="36">
        <v>2</v>
      </c>
      <c r="CA21" s="42">
        <v>0.67361111111111116</v>
      </c>
      <c r="CB21" s="36">
        <v>2</v>
      </c>
      <c r="CC21" s="42">
        <v>0.94791666666666663</v>
      </c>
      <c r="CD21" s="42" t="s">
        <v>28</v>
      </c>
      <c r="CE21" s="36">
        <v>1</v>
      </c>
      <c r="CF21" s="45">
        <v>0.26250000000000001</v>
      </c>
      <c r="CG21" s="43">
        <v>0</v>
      </c>
      <c r="CH21" s="43">
        <v>1</v>
      </c>
      <c r="CI21" s="43">
        <v>1</v>
      </c>
      <c r="CJ21" s="36" t="s">
        <v>42</v>
      </c>
      <c r="CK21" s="36"/>
      <c r="CL21" s="36"/>
      <c r="CM21" s="36" t="s">
        <v>21</v>
      </c>
      <c r="CN21" s="36" t="s">
        <v>88</v>
      </c>
      <c r="CO21" s="36" t="s">
        <v>21</v>
      </c>
      <c r="CP21" s="36" t="s">
        <v>88</v>
      </c>
      <c r="CQ21" s="36" t="s">
        <v>28</v>
      </c>
      <c r="CR21" s="36" t="s">
        <v>28</v>
      </c>
      <c r="CS21" s="46" t="s">
        <v>28</v>
      </c>
      <c r="CT21" s="35" t="s">
        <v>96</v>
      </c>
      <c r="CU21" s="47" t="s">
        <v>28</v>
      </c>
      <c r="CV21" s="47"/>
    </row>
    <row r="22" spans="1:100" s="10" customFormat="1" x14ac:dyDescent="0.25">
      <c r="A22" s="34">
        <v>10</v>
      </c>
      <c r="B22" s="35" t="s">
        <v>131</v>
      </c>
      <c r="C22" s="36" t="s">
        <v>22</v>
      </c>
      <c r="D22" s="36">
        <f>2015-1984</f>
        <v>31</v>
      </c>
      <c r="E22" s="36" t="s">
        <v>24</v>
      </c>
      <c r="F22" s="36" t="s">
        <v>26</v>
      </c>
      <c r="G22" s="36" t="s">
        <v>26</v>
      </c>
      <c r="H22" s="37">
        <v>4</v>
      </c>
      <c r="I22" s="36" t="s">
        <v>45</v>
      </c>
      <c r="J22" s="36" t="s">
        <v>45</v>
      </c>
      <c r="K22" s="36" t="s">
        <v>45</v>
      </c>
      <c r="L22" s="36" t="s">
        <v>45</v>
      </c>
      <c r="M22" s="36" t="s">
        <v>132</v>
      </c>
      <c r="N22" s="36">
        <f>1*4+2*4+3*2+4</f>
        <v>22</v>
      </c>
      <c r="O22" s="36">
        <f t="shared" si="14"/>
        <v>56</v>
      </c>
      <c r="P22" s="36">
        <f>3+7+6+1+9</f>
        <v>26</v>
      </c>
      <c r="Q22" s="36">
        <f>8+8+3+10+8+3</f>
        <v>40</v>
      </c>
      <c r="R22" s="36">
        <f>7+2+2+9</f>
        <v>20</v>
      </c>
      <c r="S22" s="38">
        <v>556.75</v>
      </c>
      <c r="T22" s="38">
        <v>562.84</v>
      </c>
      <c r="U22" s="38">
        <v>544.96</v>
      </c>
      <c r="V22" s="39">
        <f>(S22+T22+U22)/3</f>
        <v>554.85</v>
      </c>
      <c r="W22" s="40">
        <v>503.49</v>
      </c>
      <c r="X22" s="40">
        <v>471.78</v>
      </c>
      <c r="Y22" s="40">
        <v>476.66</v>
      </c>
      <c r="Z22" s="39">
        <f>(W22+X22+Y22)/3</f>
        <v>483.97666666666669</v>
      </c>
      <c r="AA22" s="39">
        <f t="shared" si="2"/>
        <v>-70.873333333333335</v>
      </c>
      <c r="AB22" s="38">
        <v>545.36</v>
      </c>
      <c r="AC22" s="38">
        <v>525.85</v>
      </c>
      <c r="AD22" s="38">
        <v>497.39</v>
      </c>
      <c r="AE22" s="39">
        <f>(AB22+AC22+AD22)/3</f>
        <v>522.86666666666667</v>
      </c>
      <c r="AF22" s="38">
        <v>536.41999999999996</v>
      </c>
      <c r="AG22" s="38">
        <v>520.97</v>
      </c>
      <c r="AH22" s="38">
        <v>522.6</v>
      </c>
      <c r="AI22" s="39">
        <f>(AF22+AG22+AH22)/3</f>
        <v>526.6633333333333</v>
      </c>
      <c r="AJ22" s="38">
        <v>167.68</v>
      </c>
      <c r="AK22" s="38">
        <v>137.6</v>
      </c>
      <c r="AL22" s="38">
        <v>146.94999999999999</v>
      </c>
      <c r="AM22" s="39">
        <f>(AJ22+AK22+AL22)/3</f>
        <v>150.74333333333331</v>
      </c>
      <c r="AN22" s="38">
        <v>396.16</v>
      </c>
      <c r="AO22" s="38">
        <v>412.42</v>
      </c>
      <c r="AP22" s="38">
        <v>418.52</v>
      </c>
      <c r="AQ22" s="39">
        <f>(AN22+AO22+AP22)/3</f>
        <v>409.0333333333333</v>
      </c>
      <c r="AR22" s="38">
        <v>295.74</v>
      </c>
      <c r="AS22" s="38">
        <v>329.89</v>
      </c>
      <c r="AT22" s="38">
        <v>307.13</v>
      </c>
      <c r="AU22" s="39">
        <f>(AR22+AS22+AT22)/3</f>
        <v>310.92</v>
      </c>
      <c r="AV22" s="38">
        <v>440.47</v>
      </c>
      <c r="AW22" s="38">
        <v>472.18</v>
      </c>
      <c r="AX22" s="38">
        <v>413.64</v>
      </c>
      <c r="AY22" s="38">
        <f t="shared" si="3"/>
        <v>291.35333333333335</v>
      </c>
      <c r="AZ22" s="39">
        <f>(AV22+AW22+AX22)/3</f>
        <v>442.09666666666664</v>
      </c>
      <c r="BA22" s="36">
        <v>3</v>
      </c>
      <c r="BB22" s="41">
        <v>0.51736111111111105</v>
      </c>
      <c r="BC22" s="36">
        <v>0</v>
      </c>
      <c r="BD22" s="36">
        <f t="shared" si="4"/>
        <v>3</v>
      </c>
      <c r="BE22" s="36">
        <f t="shared" si="5"/>
        <v>-100</v>
      </c>
      <c r="BF22" s="42">
        <v>0.5541666666666667</v>
      </c>
      <c r="BG22" s="36">
        <v>0</v>
      </c>
      <c r="BH22" s="42">
        <v>0.55138888888888882</v>
      </c>
      <c r="BI22" s="43">
        <v>1</v>
      </c>
      <c r="BJ22" s="43">
        <f t="shared" si="15"/>
        <v>2</v>
      </c>
      <c r="BK22" s="44">
        <v>0.55069444444444449</v>
      </c>
      <c r="BL22" s="36" t="s">
        <v>138</v>
      </c>
      <c r="BM22" s="42"/>
      <c r="BN22" s="36">
        <v>1</v>
      </c>
      <c r="BO22" s="42">
        <v>0.125</v>
      </c>
      <c r="BP22" s="42" t="s">
        <v>28</v>
      </c>
      <c r="BQ22" s="36">
        <v>2</v>
      </c>
      <c r="BR22" s="42">
        <v>0.4375</v>
      </c>
      <c r="BS22" s="36" t="s">
        <v>57</v>
      </c>
      <c r="BT22" s="42"/>
      <c r="BU22" s="36" t="s">
        <v>140</v>
      </c>
      <c r="BV22" s="42">
        <v>0.91666666666666663</v>
      </c>
      <c r="BW22" s="42" t="s">
        <v>139</v>
      </c>
      <c r="BX22" s="36">
        <v>1</v>
      </c>
      <c r="BY22" s="42">
        <v>0.375</v>
      </c>
      <c r="BZ22" s="36" t="s">
        <v>57</v>
      </c>
      <c r="CA22" s="42"/>
      <c r="CB22" s="36">
        <v>4</v>
      </c>
      <c r="CC22" s="42">
        <v>0.9375</v>
      </c>
      <c r="CD22" s="42" t="s">
        <v>56</v>
      </c>
      <c r="CE22" s="36" t="s">
        <v>57</v>
      </c>
      <c r="CF22" s="45"/>
      <c r="CG22" s="43">
        <v>1</v>
      </c>
      <c r="CH22" s="43">
        <v>1</v>
      </c>
      <c r="CI22" s="43" t="s">
        <v>138</v>
      </c>
      <c r="CJ22" s="36" t="s">
        <v>135</v>
      </c>
      <c r="CK22" s="36" t="s">
        <v>137</v>
      </c>
      <c r="CL22" s="36"/>
      <c r="CM22" s="36" t="s">
        <v>21</v>
      </c>
      <c r="CN22" s="36" t="s">
        <v>44</v>
      </c>
      <c r="CO22" s="36" t="s">
        <v>21</v>
      </c>
      <c r="CP22" s="36" t="s">
        <v>46</v>
      </c>
      <c r="CQ22" s="36" t="s">
        <v>28</v>
      </c>
      <c r="CR22" s="36" t="s">
        <v>28</v>
      </c>
      <c r="CS22" s="46" t="s">
        <v>149</v>
      </c>
      <c r="CT22" s="35" t="s">
        <v>131</v>
      </c>
      <c r="CU22" s="47" t="s">
        <v>28</v>
      </c>
      <c r="CV22" s="47"/>
    </row>
    <row r="23" spans="1:100" s="10" customFormat="1" x14ac:dyDescent="0.25">
      <c r="A23" s="34"/>
      <c r="B23" s="35"/>
      <c r="C23" s="36" t="s">
        <v>22</v>
      </c>
      <c r="D23" s="36"/>
      <c r="E23" s="36" t="s">
        <v>24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8"/>
      <c r="T23" s="38"/>
      <c r="U23" s="38"/>
      <c r="V23" s="39"/>
      <c r="W23" s="40"/>
      <c r="X23" s="40"/>
      <c r="Y23" s="40"/>
      <c r="Z23" s="39"/>
      <c r="AA23" s="39"/>
      <c r="AB23" s="38"/>
      <c r="AC23" s="38"/>
      <c r="AD23" s="38"/>
      <c r="AE23" s="39"/>
      <c r="AF23" s="38"/>
      <c r="AG23" s="38"/>
      <c r="AH23" s="38"/>
      <c r="AI23" s="39"/>
      <c r="AJ23" s="38"/>
      <c r="AK23" s="38"/>
      <c r="AL23" s="38"/>
      <c r="AM23" s="39"/>
      <c r="AN23" s="38"/>
      <c r="AO23" s="38"/>
      <c r="AP23" s="38"/>
      <c r="AQ23" s="39"/>
      <c r="AR23" s="38"/>
      <c r="AS23" s="38"/>
      <c r="AT23" s="38"/>
      <c r="AU23" s="39"/>
      <c r="AV23" s="38"/>
      <c r="AW23" s="38"/>
      <c r="AX23" s="38"/>
      <c r="AY23" s="38"/>
      <c r="AZ23" s="39"/>
      <c r="BA23" s="36"/>
      <c r="BB23" s="41"/>
      <c r="BC23" s="36"/>
      <c r="BD23" s="36"/>
      <c r="BE23" s="36"/>
      <c r="BF23" s="42"/>
      <c r="BG23" s="36"/>
      <c r="BH23" s="42"/>
      <c r="BI23" s="43"/>
      <c r="BJ23" s="43"/>
      <c r="BK23" s="44"/>
      <c r="BL23" s="36"/>
      <c r="BM23" s="42"/>
      <c r="BN23" s="36"/>
      <c r="BO23" s="42"/>
      <c r="BP23" s="42"/>
      <c r="BQ23" s="36"/>
      <c r="BR23" s="42"/>
      <c r="BS23" s="36"/>
      <c r="BT23" s="42"/>
      <c r="BU23" s="36"/>
      <c r="BV23" s="42"/>
      <c r="BW23" s="42"/>
      <c r="BX23" s="36"/>
      <c r="BY23" s="42"/>
      <c r="BZ23" s="36"/>
      <c r="CA23" s="42"/>
      <c r="CB23" s="36"/>
      <c r="CC23" s="42"/>
      <c r="CD23" s="42"/>
      <c r="CE23" s="36"/>
      <c r="CF23" s="45"/>
      <c r="CG23" s="43"/>
      <c r="CH23" s="43"/>
      <c r="CI23" s="43"/>
      <c r="CJ23" s="36"/>
      <c r="CK23" s="36"/>
      <c r="CL23" s="36"/>
      <c r="CM23" s="36"/>
      <c r="CN23" s="36"/>
      <c r="CO23" s="36"/>
      <c r="CP23" s="36"/>
      <c r="CQ23" s="36"/>
      <c r="CR23" s="36"/>
      <c r="CS23" s="46"/>
      <c r="CT23" s="47"/>
      <c r="CU23" s="47"/>
      <c r="CV23" s="47"/>
    </row>
    <row r="24" spans="1:100" s="10" customFormat="1" ht="16.5" thickBot="1" x14ac:dyDescent="0.3">
      <c r="A24" s="49"/>
      <c r="B24" s="50"/>
      <c r="C24" s="51" t="s">
        <v>22</v>
      </c>
      <c r="D24" s="51"/>
      <c r="E24" s="51" t="s">
        <v>24</v>
      </c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2"/>
      <c r="T24" s="52"/>
      <c r="U24" s="52"/>
      <c r="V24" s="53"/>
      <c r="W24" s="54"/>
      <c r="X24" s="54"/>
      <c r="Y24" s="54"/>
      <c r="Z24" s="53"/>
      <c r="AA24" s="53"/>
      <c r="AB24" s="52"/>
      <c r="AC24" s="52"/>
      <c r="AD24" s="52"/>
      <c r="AE24" s="53"/>
      <c r="AF24" s="52"/>
      <c r="AG24" s="52"/>
      <c r="AH24" s="52"/>
      <c r="AI24" s="53"/>
      <c r="AJ24" s="52"/>
      <c r="AK24" s="52"/>
      <c r="AL24" s="52"/>
      <c r="AM24" s="53"/>
      <c r="AN24" s="52"/>
      <c r="AO24" s="52"/>
      <c r="AP24" s="52"/>
      <c r="AQ24" s="53"/>
      <c r="AR24" s="52"/>
      <c r="AS24" s="52"/>
      <c r="AT24" s="52"/>
      <c r="AU24" s="53"/>
      <c r="AV24" s="52"/>
      <c r="AW24" s="52"/>
      <c r="AX24" s="52"/>
      <c r="AY24" s="52"/>
      <c r="AZ24" s="53"/>
      <c r="BA24" s="51"/>
      <c r="BB24" s="55"/>
      <c r="BC24" s="51"/>
      <c r="BD24" s="51"/>
      <c r="BE24" s="51"/>
      <c r="BF24" s="56"/>
      <c r="BG24" s="51"/>
      <c r="BH24" s="56"/>
      <c r="BI24" s="57"/>
      <c r="BJ24" s="57"/>
      <c r="BK24" s="58"/>
      <c r="BL24" s="51"/>
      <c r="BM24" s="56"/>
      <c r="BN24" s="51"/>
      <c r="BO24" s="56"/>
      <c r="BP24" s="56"/>
      <c r="BQ24" s="51"/>
      <c r="BR24" s="56"/>
      <c r="BS24" s="51"/>
      <c r="BT24" s="56"/>
      <c r="BU24" s="51"/>
      <c r="BV24" s="56"/>
      <c r="BW24" s="56"/>
      <c r="BX24" s="51"/>
      <c r="BY24" s="56"/>
      <c r="BZ24" s="51"/>
      <c r="CA24" s="56"/>
      <c r="CB24" s="51"/>
      <c r="CC24" s="56"/>
      <c r="CD24" s="56"/>
      <c r="CE24" s="51"/>
      <c r="CF24" s="59"/>
      <c r="CG24" s="57"/>
      <c r="CH24" s="57"/>
      <c r="CI24" s="57"/>
      <c r="CJ24" s="51"/>
      <c r="CK24" s="51"/>
      <c r="CL24" s="51"/>
      <c r="CM24" s="51"/>
      <c r="CN24" s="51"/>
      <c r="CO24" s="51"/>
      <c r="CP24" s="51"/>
      <c r="CQ24" s="51"/>
      <c r="CR24" s="51"/>
      <c r="CS24" s="60"/>
      <c r="CT24" s="47"/>
      <c r="CU24" s="47"/>
      <c r="CV24" s="47"/>
    </row>
    <row r="25" spans="1:100" s="3" customFormat="1" x14ac:dyDescent="0.25">
      <c r="V25" s="11"/>
      <c r="W25" s="13"/>
      <c r="X25" s="13"/>
      <c r="Y25" s="13"/>
      <c r="Z25" s="11"/>
      <c r="AA25" s="11"/>
      <c r="AE25" s="11"/>
      <c r="AI25" s="11"/>
      <c r="AM25" s="11"/>
      <c r="AQ25" s="11"/>
      <c r="AU25" s="11"/>
      <c r="AZ25" s="11"/>
    </row>
    <row r="26" spans="1:100" s="3" customFormat="1" x14ac:dyDescent="0.25">
      <c r="V26" s="11"/>
      <c r="W26" s="13"/>
      <c r="X26" s="13"/>
      <c r="Y26" s="13"/>
      <c r="Z26" s="11"/>
      <c r="AA26" s="11"/>
      <c r="AE26" s="11"/>
      <c r="AI26" s="11"/>
      <c r="AM26" s="11"/>
      <c r="AQ26" s="11"/>
      <c r="AU26" s="11"/>
      <c r="AZ26" s="11"/>
    </row>
    <row r="27" spans="1:100" s="3" customFormat="1" x14ac:dyDescent="0.25">
      <c r="V27" s="11"/>
      <c r="W27" s="13"/>
      <c r="X27" s="13"/>
      <c r="Y27" s="13"/>
      <c r="Z27" s="11"/>
      <c r="AA27" s="11"/>
      <c r="AE27" s="11"/>
      <c r="AI27" s="11"/>
      <c r="AM27" s="11"/>
      <c r="AU27" s="11"/>
      <c r="AZ27" s="11"/>
    </row>
    <row r="28" spans="1:100" s="3" customFormat="1" x14ac:dyDescent="0.25">
      <c r="V28" s="11"/>
      <c r="W28" s="13"/>
      <c r="X28" s="13"/>
      <c r="Y28" s="13"/>
      <c r="Z28" s="11"/>
      <c r="AA28" s="11"/>
      <c r="AE28" s="11"/>
      <c r="AI28" s="11"/>
      <c r="AM28" s="23"/>
      <c r="AN28" s="23"/>
      <c r="AQ28" s="22"/>
      <c r="AU28" s="11"/>
      <c r="AZ28" s="11"/>
      <c r="BA28" s="17"/>
      <c r="BB28" s="17"/>
      <c r="BC28" s="17"/>
      <c r="BD28" s="17"/>
      <c r="BE28" s="17"/>
      <c r="BF28" s="17"/>
      <c r="BG28" s="17"/>
    </row>
    <row r="29" spans="1:100" s="3" customFormat="1" x14ac:dyDescent="0.25">
      <c r="V29" s="11"/>
      <c r="W29" s="13"/>
      <c r="X29" s="13"/>
      <c r="Y29" s="13"/>
      <c r="Z29" s="11"/>
      <c r="AA29" s="11"/>
      <c r="AE29" s="11"/>
      <c r="AI29" s="11"/>
      <c r="AM29" s="23"/>
      <c r="AN29" s="23"/>
      <c r="AQ29" s="11"/>
      <c r="AU29" s="11"/>
      <c r="AZ29" s="11"/>
      <c r="BA29" s="18"/>
      <c r="BB29" s="19"/>
      <c r="BC29" s="18"/>
      <c r="BD29" s="18"/>
      <c r="BE29" s="18"/>
      <c r="BF29" s="19"/>
    </row>
    <row r="30" spans="1:100" s="3" customFormat="1" x14ac:dyDescent="0.25">
      <c r="V30" s="11"/>
      <c r="W30" s="13"/>
      <c r="X30" s="13"/>
      <c r="Y30" s="13"/>
      <c r="Z30" s="11"/>
      <c r="AA30" s="11"/>
      <c r="AE30" s="11"/>
      <c r="AI30" s="11"/>
      <c r="AM30" s="23"/>
      <c r="AN30" s="23"/>
      <c r="AQ30" s="11"/>
      <c r="AU30" s="11"/>
      <c r="AZ30" s="11"/>
      <c r="BA30" s="18"/>
      <c r="BB30" s="16"/>
      <c r="BC30" s="16"/>
      <c r="BD30" s="16"/>
      <c r="BE30" s="16"/>
      <c r="BF30" s="16"/>
    </row>
    <row r="31" spans="1:100" s="3" customFormat="1" x14ac:dyDescent="0.25">
      <c r="V31" s="11"/>
      <c r="W31" s="13"/>
      <c r="X31" s="13"/>
      <c r="Y31" s="13"/>
      <c r="Z31" s="11"/>
      <c r="AA31" s="11"/>
      <c r="AE31" s="11"/>
      <c r="AI31" s="11"/>
      <c r="AM31" s="23"/>
      <c r="AN31" s="23"/>
      <c r="AQ31" s="11"/>
      <c r="AU31" s="11"/>
      <c r="AZ31" s="11"/>
    </row>
    <row r="32" spans="1:100" s="3" customFormat="1" x14ac:dyDescent="0.25">
      <c r="V32" s="11"/>
      <c r="W32" s="13"/>
      <c r="X32" s="13"/>
      <c r="Y32" s="13"/>
      <c r="Z32" s="11"/>
      <c r="AA32" s="11"/>
      <c r="AE32" s="11"/>
      <c r="AI32" s="11"/>
      <c r="AM32" s="23"/>
      <c r="AN32" s="23"/>
      <c r="AQ32" s="11"/>
      <c r="AU32" s="11"/>
      <c r="AZ32" s="11"/>
    </row>
    <row r="33" spans="22:59" s="3" customFormat="1" x14ac:dyDescent="0.25">
      <c r="V33" s="11"/>
      <c r="W33" s="13"/>
      <c r="X33" s="13"/>
      <c r="Y33" s="13"/>
      <c r="Z33" s="11"/>
      <c r="AA33" s="11"/>
      <c r="AE33" s="11"/>
      <c r="AI33" s="11"/>
      <c r="AM33" s="23"/>
      <c r="AN33" s="23"/>
      <c r="AQ33" s="11"/>
      <c r="AU33" s="11"/>
      <c r="AZ33" s="11"/>
      <c r="BG33" s="17"/>
    </row>
    <row r="34" spans="22:59" s="3" customFormat="1" x14ac:dyDescent="0.25">
      <c r="V34" s="11"/>
      <c r="W34" s="13"/>
      <c r="X34" s="13"/>
      <c r="Y34" s="13"/>
      <c r="Z34" s="11"/>
      <c r="AA34" s="11"/>
      <c r="AE34" s="11"/>
      <c r="AI34" s="11"/>
      <c r="AM34" s="23"/>
      <c r="AN34" s="23"/>
      <c r="AO34" s="24"/>
      <c r="AP34" s="24"/>
      <c r="AQ34" s="25"/>
      <c r="AR34" s="24"/>
      <c r="AS34" s="24"/>
      <c r="AT34" s="24"/>
      <c r="AU34" s="25"/>
      <c r="AZ34" s="11"/>
    </row>
    <row r="35" spans="22:59" s="3" customFormat="1" x14ac:dyDescent="0.25">
      <c r="V35" s="11"/>
      <c r="W35" s="13"/>
      <c r="X35" s="13"/>
      <c r="Y35" s="13"/>
      <c r="Z35" s="11"/>
      <c r="AA35" s="11"/>
      <c r="AE35" s="11"/>
      <c r="AI35" s="11"/>
      <c r="AM35" s="23"/>
      <c r="AN35" s="23"/>
      <c r="AO35" s="24"/>
      <c r="AP35" s="24"/>
      <c r="AQ35" s="25"/>
      <c r="AR35" s="24"/>
      <c r="AS35" s="24"/>
      <c r="AT35" s="24"/>
      <c r="AU35" s="25"/>
      <c r="AZ35" s="11"/>
    </row>
    <row r="36" spans="22:59" s="3" customFormat="1" x14ac:dyDescent="0.25">
      <c r="V36" s="11"/>
      <c r="W36" s="13"/>
      <c r="X36" s="13"/>
      <c r="Y36" s="13"/>
      <c r="Z36" s="11"/>
      <c r="AA36" s="11"/>
      <c r="AE36" s="11"/>
      <c r="AI36" s="11"/>
      <c r="AM36" s="23"/>
      <c r="AN36" s="23"/>
      <c r="AO36" s="24"/>
      <c r="AP36" s="24"/>
      <c r="AQ36" s="25"/>
      <c r="AR36" s="24"/>
      <c r="AS36" s="24"/>
      <c r="AT36" s="24"/>
      <c r="AU36" s="25"/>
      <c r="AZ36" s="11"/>
    </row>
    <row r="37" spans="22:59" s="3" customFormat="1" x14ac:dyDescent="0.25">
      <c r="V37" s="11"/>
      <c r="W37" s="13"/>
      <c r="X37" s="13"/>
      <c r="Y37" s="13"/>
      <c r="Z37" s="11"/>
      <c r="AA37" s="11"/>
      <c r="AE37" s="11"/>
      <c r="AI37" s="11"/>
      <c r="AO37" s="24"/>
      <c r="AP37" s="24"/>
      <c r="AQ37" s="25"/>
      <c r="AR37" s="24"/>
      <c r="AS37" s="24"/>
      <c r="AT37" s="24"/>
      <c r="AU37" s="25"/>
      <c r="AZ37" s="11"/>
    </row>
    <row r="38" spans="22:59" s="3" customFormat="1" x14ac:dyDescent="0.25">
      <c r="V38" s="11"/>
      <c r="W38" s="13"/>
      <c r="X38" s="13"/>
      <c r="Y38" s="13"/>
      <c r="Z38" s="11"/>
      <c r="AA38" s="11"/>
      <c r="AE38" s="11"/>
      <c r="AI38" s="11"/>
      <c r="AM38" s="23"/>
      <c r="AN38" s="23"/>
      <c r="AO38" s="24"/>
      <c r="AP38" s="24"/>
      <c r="AQ38" s="25"/>
      <c r="AR38" s="24"/>
      <c r="AS38" s="24"/>
      <c r="AT38" s="24"/>
      <c r="AU38" s="25"/>
      <c r="AZ38" s="11"/>
    </row>
    <row r="39" spans="22:59" s="3" customFormat="1" x14ac:dyDescent="0.25">
      <c r="V39" s="11"/>
      <c r="W39" s="13"/>
      <c r="X39" s="13"/>
      <c r="Y39" s="13"/>
      <c r="Z39" s="11"/>
      <c r="AA39" s="11"/>
      <c r="AE39" s="11"/>
      <c r="AI39" s="11"/>
      <c r="AM39" s="23"/>
      <c r="AN39" s="23"/>
      <c r="AO39" s="24"/>
      <c r="AP39" s="24"/>
      <c r="AQ39" s="25"/>
      <c r="AR39" s="24"/>
      <c r="AS39" s="24"/>
      <c r="AT39" s="24"/>
      <c r="AU39" s="25"/>
      <c r="AZ39" s="11"/>
    </row>
    <row r="40" spans="22:59" s="3" customFormat="1" x14ac:dyDescent="0.25">
      <c r="V40" s="11"/>
      <c r="W40" s="13"/>
      <c r="X40" s="13"/>
      <c r="Y40" s="13"/>
      <c r="Z40" s="11"/>
      <c r="AA40" s="11"/>
      <c r="AE40" s="11"/>
      <c r="AI40" s="11"/>
      <c r="AM40" s="23"/>
      <c r="AN40" s="23"/>
      <c r="AO40" s="24"/>
      <c r="AP40" s="24"/>
      <c r="AQ40" s="25"/>
      <c r="AR40" s="24"/>
      <c r="AT40" s="24"/>
      <c r="AU40" s="25"/>
      <c r="AZ40" s="11"/>
    </row>
    <row r="41" spans="22:59" s="3" customFormat="1" x14ac:dyDescent="0.25">
      <c r="V41" s="11"/>
      <c r="W41" s="13"/>
      <c r="X41" s="13"/>
      <c r="Y41" s="13"/>
      <c r="Z41" s="11"/>
      <c r="AA41" s="11"/>
      <c r="AE41" s="11"/>
      <c r="AI41" s="11"/>
      <c r="AM41" s="23"/>
      <c r="AN41" s="23"/>
      <c r="AO41" s="24"/>
      <c r="AP41" s="24"/>
      <c r="AQ41" s="25"/>
      <c r="AR41" s="24"/>
      <c r="AS41" s="24"/>
      <c r="AT41" s="24"/>
      <c r="AU41" s="25"/>
      <c r="AZ41" s="11"/>
    </row>
    <row r="42" spans="22:59" s="3" customFormat="1" x14ac:dyDescent="0.25">
      <c r="V42" s="11"/>
      <c r="W42" s="13"/>
      <c r="X42" s="13"/>
      <c r="Y42" s="13"/>
      <c r="Z42" s="11"/>
      <c r="AA42" s="11"/>
      <c r="AE42" s="11"/>
      <c r="AI42" s="11"/>
      <c r="AM42" s="23"/>
      <c r="AN42" s="23"/>
      <c r="AO42" s="24"/>
      <c r="AP42" s="24"/>
      <c r="AQ42" s="25"/>
      <c r="AR42" s="24"/>
      <c r="AS42" s="24"/>
      <c r="AT42" s="24"/>
      <c r="AU42" s="25"/>
      <c r="AZ42" s="11"/>
      <c r="BA42" s="8"/>
      <c r="BB42" s="8"/>
      <c r="BC42" s="8"/>
      <c r="BD42" s="9"/>
      <c r="BE42" s="9"/>
      <c r="BF42" s="9"/>
    </row>
    <row r="43" spans="22:59" s="3" customFormat="1" x14ac:dyDescent="0.25">
      <c r="V43" s="11"/>
      <c r="W43" s="13"/>
      <c r="X43" s="13"/>
      <c r="Y43" s="13"/>
      <c r="Z43" s="11"/>
      <c r="AA43" s="11"/>
      <c r="AE43" s="11"/>
      <c r="AI43" s="11"/>
      <c r="AM43" s="23"/>
      <c r="AN43" s="23"/>
      <c r="AO43" s="24"/>
      <c r="AP43" s="24"/>
      <c r="AQ43" s="25"/>
      <c r="AR43" s="24"/>
      <c r="AS43" s="24"/>
      <c r="AT43" s="24"/>
      <c r="AU43" s="25"/>
      <c r="AZ43" s="11"/>
      <c r="BA43" s="8"/>
      <c r="BB43" s="8"/>
      <c r="BC43" s="8"/>
      <c r="BD43" s="9"/>
      <c r="BE43" s="9"/>
      <c r="BF43" s="9"/>
    </row>
    <row r="44" spans="22:59" s="3" customFormat="1" x14ac:dyDescent="0.25">
      <c r="V44" s="11"/>
      <c r="W44" s="13"/>
      <c r="X44" s="13"/>
      <c r="Y44" s="13"/>
      <c r="Z44" s="11"/>
      <c r="AA44" s="11"/>
      <c r="AE44" s="11"/>
      <c r="AI44" s="11"/>
      <c r="AM44" s="23"/>
      <c r="AN44" s="23"/>
      <c r="AO44" s="24"/>
      <c r="AP44" s="24"/>
      <c r="AQ44" s="25"/>
      <c r="AR44" s="24"/>
      <c r="AS44" s="24"/>
      <c r="AT44" s="24"/>
      <c r="AU44" s="25"/>
      <c r="AZ44" s="11"/>
      <c r="BA44" s="20"/>
      <c r="BB44" s="8"/>
      <c r="BC44" s="8"/>
      <c r="BD44" s="9"/>
      <c r="BE44" s="9"/>
      <c r="BF44" s="9"/>
    </row>
    <row r="45" spans="22:59" s="3" customFormat="1" x14ac:dyDescent="0.25">
      <c r="V45" s="11"/>
      <c r="W45" s="13"/>
      <c r="X45" s="13"/>
      <c r="Y45" s="13"/>
      <c r="Z45" s="11"/>
      <c r="AA45" s="11"/>
      <c r="AE45" s="11"/>
      <c r="AI45" s="11"/>
      <c r="AM45" s="23"/>
      <c r="AN45" s="23"/>
      <c r="AO45" s="24"/>
      <c r="AP45" s="24"/>
      <c r="AQ45" s="25"/>
      <c r="AR45" s="24"/>
      <c r="AS45" s="24"/>
      <c r="AT45" s="24"/>
      <c r="AU45" s="25"/>
      <c r="AZ45" s="11"/>
      <c r="BA45" s="8"/>
      <c r="BB45" s="8"/>
      <c r="BC45" s="8"/>
      <c r="BD45" s="9"/>
      <c r="BE45" s="9"/>
      <c r="BF45" s="9"/>
    </row>
    <row r="46" spans="22:59" s="3" customFormat="1" x14ac:dyDescent="0.25">
      <c r="V46" s="11"/>
      <c r="W46" s="13"/>
      <c r="X46" s="13"/>
      <c r="Y46" s="13"/>
      <c r="Z46" s="11"/>
      <c r="AA46" s="11"/>
      <c r="AE46" s="11"/>
      <c r="AI46" s="11"/>
      <c r="AM46" s="23"/>
      <c r="AN46" s="23"/>
      <c r="AO46" s="24"/>
      <c r="AP46" s="24"/>
      <c r="AQ46" s="25"/>
      <c r="AR46" s="24"/>
      <c r="AS46" s="24"/>
      <c r="AT46" s="24"/>
      <c r="AU46" s="25"/>
      <c r="AZ46" s="11"/>
      <c r="BA46" s="8"/>
      <c r="BB46" s="8"/>
      <c r="BC46" s="8"/>
      <c r="BD46" s="9"/>
      <c r="BE46" s="9"/>
      <c r="BF46" s="9"/>
    </row>
    <row r="47" spans="22:59" s="3" customFormat="1" x14ac:dyDescent="0.25">
      <c r="V47" s="11"/>
      <c r="W47" s="13"/>
      <c r="X47" s="13"/>
      <c r="Y47" s="13"/>
      <c r="Z47" s="11"/>
      <c r="AA47" s="11"/>
      <c r="AE47" s="11"/>
      <c r="AI47" s="11"/>
      <c r="AM47" s="23"/>
      <c r="AN47" s="23"/>
      <c r="AO47" s="24"/>
      <c r="AP47" s="24"/>
      <c r="AQ47" s="25"/>
      <c r="AR47" s="24"/>
      <c r="AS47" s="24"/>
      <c r="AT47" s="24"/>
      <c r="AU47" s="25"/>
      <c r="AZ47" s="11"/>
      <c r="BA47" s="8"/>
      <c r="BB47" s="8"/>
      <c r="BC47" s="8"/>
      <c r="BD47" s="9"/>
      <c r="BE47" s="9"/>
      <c r="BF47" s="9"/>
    </row>
    <row r="48" spans="22:59" s="3" customFormat="1" x14ac:dyDescent="0.25">
      <c r="V48" s="11"/>
      <c r="W48" s="13"/>
      <c r="X48" s="13"/>
      <c r="Y48" s="13"/>
      <c r="Z48" s="11"/>
      <c r="AA48" s="11"/>
      <c r="AE48" s="11"/>
      <c r="AI48" s="11"/>
      <c r="AM48" s="23"/>
      <c r="AN48" s="23"/>
      <c r="AO48" s="24"/>
      <c r="AP48" s="24"/>
      <c r="AQ48" s="25"/>
      <c r="AR48" s="24"/>
      <c r="AS48" s="24"/>
      <c r="AT48" s="24"/>
      <c r="AU48" s="25"/>
      <c r="AZ48" s="11"/>
      <c r="BA48" s="8"/>
      <c r="BB48" s="8"/>
      <c r="BC48" s="8"/>
      <c r="BD48" s="9"/>
      <c r="BE48" s="9"/>
      <c r="BF48" s="9"/>
    </row>
    <row r="49" spans="22:58" s="3" customFormat="1" x14ac:dyDescent="0.25">
      <c r="V49" s="11"/>
      <c r="W49" s="13"/>
      <c r="X49" s="13"/>
      <c r="Y49" s="13"/>
      <c r="Z49" s="11"/>
      <c r="AA49" s="11"/>
      <c r="AE49" s="11"/>
      <c r="AI49" s="11"/>
      <c r="AM49" s="23"/>
      <c r="AN49" s="23"/>
      <c r="AO49" s="24"/>
      <c r="AP49" s="24"/>
      <c r="AQ49" s="25"/>
      <c r="AR49" s="24"/>
      <c r="AS49" s="24"/>
      <c r="AT49" s="24"/>
      <c r="AU49" s="25"/>
      <c r="AZ49" s="11"/>
      <c r="BA49" s="8"/>
      <c r="BB49" s="8"/>
      <c r="BC49" s="8"/>
      <c r="BD49" s="9"/>
      <c r="BE49" s="9"/>
      <c r="BF49" s="9"/>
    </row>
    <row r="50" spans="22:58" s="3" customFormat="1" x14ac:dyDescent="0.25">
      <c r="V50" s="11"/>
      <c r="W50" s="13"/>
      <c r="X50" s="13"/>
      <c r="Y50" s="13"/>
      <c r="Z50" s="11"/>
      <c r="AA50" s="11"/>
      <c r="AE50" s="11"/>
      <c r="AI50" s="11"/>
      <c r="AM50" s="11"/>
      <c r="AO50" s="24"/>
      <c r="AP50" s="24"/>
      <c r="AQ50" s="25"/>
      <c r="AR50" s="24"/>
      <c r="AS50" s="24"/>
      <c r="AT50" s="24"/>
      <c r="AU50" s="25"/>
      <c r="AZ50" s="11"/>
      <c r="BA50" s="20"/>
      <c r="BB50" s="8"/>
      <c r="BC50" s="8"/>
      <c r="BD50" s="9"/>
      <c r="BE50" s="9"/>
      <c r="BF50" s="9"/>
    </row>
    <row r="51" spans="22:58" s="3" customFormat="1" x14ac:dyDescent="0.25">
      <c r="V51" s="11"/>
      <c r="W51" s="13"/>
      <c r="X51" s="13"/>
      <c r="Y51" s="13"/>
      <c r="Z51" s="11"/>
      <c r="AA51" s="11"/>
      <c r="AE51" s="11"/>
      <c r="AI51" s="11"/>
      <c r="AM51" s="11"/>
      <c r="AO51" s="24"/>
      <c r="AP51" s="24"/>
      <c r="AQ51" s="25"/>
      <c r="AR51" s="24"/>
      <c r="AS51" s="24"/>
      <c r="AT51" s="24"/>
      <c r="AU51" s="25"/>
      <c r="AZ51" s="11"/>
      <c r="BA51" s="8"/>
      <c r="BB51" s="8"/>
    </row>
    <row r="52" spans="22:58" s="3" customFormat="1" x14ac:dyDescent="0.25">
      <c r="V52" s="11"/>
      <c r="W52" s="13"/>
      <c r="X52" s="13"/>
      <c r="Y52" s="13"/>
      <c r="Z52" s="11"/>
      <c r="AA52" s="11"/>
      <c r="AE52" s="11"/>
      <c r="AI52" s="11"/>
      <c r="AM52" s="11"/>
      <c r="AO52" s="24"/>
      <c r="AP52" s="24"/>
      <c r="AQ52" s="25"/>
      <c r="AR52" s="24"/>
      <c r="AS52" s="24"/>
      <c r="AT52" s="24"/>
      <c r="AU52" s="25"/>
      <c r="AZ52" s="11"/>
    </row>
    <row r="53" spans="22:58" s="3" customFormat="1" x14ac:dyDescent="0.25">
      <c r="V53" s="11"/>
      <c r="W53" s="13"/>
      <c r="X53" s="13"/>
      <c r="Y53" s="13"/>
      <c r="Z53" s="11"/>
      <c r="AA53" s="11"/>
      <c r="AE53" s="11"/>
      <c r="AI53" s="11"/>
      <c r="AM53" s="11"/>
      <c r="AO53" s="24"/>
      <c r="AP53" s="24"/>
      <c r="AQ53" s="25"/>
      <c r="AR53" s="24"/>
      <c r="AS53" s="24"/>
      <c r="AT53" s="24"/>
      <c r="AU53" s="25"/>
      <c r="AZ53" s="11"/>
      <c r="BA53" s="20"/>
      <c r="BB53" s="8"/>
      <c r="BC53" s="8"/>
      <c r="BD53" s="9"/>
      <c r="BE53" s="9"/>
      <c r="BF53" s="9"/>
    </row>
    <row r="54" spans="22:58" s="3" customFormat="1" x14ac:dyDescent="0.25">
      <c r="V54" s="11"/>
      <c r="W54" s="13"/>
      <c r="X54" s="13"/>
      <c r="Y54" s="13"/>
      <c r="Z54" s="11"/>
      <c r="AA54" s="11"/>
      <c r="AE54" s="11"/>
      <c r="AI54" s="11"/>
      <c r="AM54" s="11"/>
      <c r="AO54" s="24"/>
      <c r="AP54" s="24"/>
      <c r="AQ54" s="25"/>
      <c r="AR54" s="24"/>
      <c r="AS54" s="24"/>
      <c r="AT54" s="24"/>
      <c r="AU54" s="25"/>
      <c r="AZ54" s="11"/>
      <c r="BA54" s="20"/>
      <c r="BB54" s="8"/>
      <c r="BC54" s="8"/>
      <c r="BD54" s="9"/>
      <c r="BE54" s="9"/>
      <c r="BF54" s="9"/>
    </row>
    <row r="55" spans="22:58" s="3" customFormat="1" x14ac:dyDescent="0.25">
      <c r="V55" s="11"/>
      <c r="W55" s="13"/>
      <c r="X55" s="13"/>
      <c r="Y55" s="13"/>
      <c r="Z55" s="11"/>
      <c r="AA55" s="11"/>
      <c r="AE55" s="11"/>
      <c r="AI55" s="11"/>
      <c r="AM55" s="11"/>
      <c r="AO55" s="24"/>
      <c r="AP55" s="24"/>
      <c r="AQ55" s="25"/>
      <c r="AR55" s="24"/>
      <c r="AS55" s="24"/>
      <c r="AT55" s="24"/>
      <c r="AU55" s="25"/>
      <c r="AZ55" s="11"/>
      <c r="BA55" s="8"/>
      <c r="BB55" s="8"/>
      <c r="BC55" s="8"/>
      <c r="BD55" s="9"/>
      <c r="BE55" s="9"/>
      <c r="BF55" s="9"/>
    </row>
    <row r="56" spans="22:58" s="3" customFormat="1" x14ac:dyDescent="0.25">
      <c r="V56" s="11"/>
      <c r="W56" s="13"/>
      <c r="X56" s="13"/>
      <c r="Y56" s="13"/>
      <c r="Z56" s="11"/>
      <c r="AA56" s="11"/>
      <c r="AE56" s="11"/>
      <c r="AI56" s="11"/>
      <c r="AM56" s="11"/>
      <c r="AO56" s="24"/>
      <c r="AP56" s="24"/>
      <c r="AQ56" s="25"/>
      <c r="AR56" s="24"/>
      <c r="AS56" s="24"/>
      <c r="AT56" s="24"/>
      <c r="AU56" s="25"/>
      <c r="AZ56" s="11"/>
      <c r="BA56" s="8"/>
      <c r="BB56" s="8"/>
      <c r="BC56" s="8"/>
      <c r="BD56" s="9"/>
      <c r="BE56" s="9"/>
      <c r="BF56" s="9"/>
    </row>
    <row r="57" spans="22:58" s="3" customFormat="1" x14ac:dyDescent="0.25">
      <c r="V57" s="11"/>
      <c r="W57" s="13"/>
      <c r="X57" s="13"/>
      <c r="Y57" s="13"/>
      <c r="Z57" s="11"/>
      <c r="AA57" s="11"/>
      <c r="AE57" s="11"/>
      <c r="AI57" s="11"/>
      <c r="AM57" s="11"/>
      <c r="AO57" s="24"/>
      <c r="AP57" s="24"/>
      <c r="AQ57" s="25"/>
      <c r="AR57" s="24"/>
      <c r="AS57" s="24"/>
      <c r="AT57" s="24"/>
      <c r="AU57" s="25"/>
      <c r="AZ57" s="11"/>
      <c r="BA57" s="21"/>
      <c r="BB57" s="8"/>
      <c r="BC57" s="8"/>
      <c r="BD57" s="9"/>
      <c r="BE57" s="9"/>
      <c r="BF57" s="9"/>
    </row>
    <row r="58" spans="22:58" s="3" customFormat="1" x14ac:dyDescent="0.25">
      <c r="V58" s="11"/>
      <c r="W58" s="13"/>
      <c r="X58" s="13"/>
      <c r="Y58" s="13"/>
      <c r="Z58" s="11"/>
      <c r="AA58" s="11"/>
      <c r="AE58" s="11"/>
      <c r="AI58" s="11"/>
      <c r="AM58" s="11"/>
      <c r="AO58" s="24"/>
      <c r="AP58" s="24"/>
      <c r="AQ58" s="25"/>
      <c r="AR58" s="24"/>
      <c r="AS58" s="24"/>
      <c r="AT58" s="24"/>
      <c r="AU58" s="25"/>
      <c r="AZ58" s="11"/>
      <c r="BA58" s="8"/>
      <c r="BB58" s="8"/>
      <c r="BC58" s="8"/>
      <c r="BD58" s="9"/>
      <c r="BE58" s="9"/>
      <c r="BF58" s="9"/>
    </row>
    <row r="59" spans="22:58" s="3" customFormat="1" x14ac:dyDescent="0.25">
      <c r="V59" s="11"/>
      <c r="W59" s="13"/>
      <c r="X59" s="13"/>
      <c r="Y59" s="13"/>
      <c r="Z59" s="11"/>
      <c r="AA59" s="11"/>
      <c r="AE59" s="11"/>
      <c r="AI59" s="11"/>
      <c r="AM59" s="11"/>
      <c r="AQ59" s="11"/>
      <c r="AU59" s="11"/>
      <c r="AZ59" s="11"/>
      <c r="BA59" s="8"/>
      <c r="BB59" s="8"/>
      <c r="BC59" s="8"/>
      <c r="BD59" s="9"/>
      <c r="BE59" s="9"/>
      <c r="BF59" s="9"/>
    </row>
    <row r="60" spans="22:58" s="3" customFormat="1" x14ac:dyDescent="0.25">
      <c r="V60" s="11"/>
      <c r="W60" s="13"/>
      <c r="X60" s="13"/>
      <c r="Y60" s="13"/>
      <c r="Z60" s="11"/>
      <c r="AA60" s="11"/>
      <c r="AE60" s="11"/>
      <c r="AI60" s="11"/>
      <c r="AM60" s="11"/>
      <c r="AQ60" s="11"/>
      <c r="AU60" s="11"/>
      <c r="AZ60" s="11"/>
      <c r="BA60" s="8"/>
      <c r="BB60" s="8"/>
      <c r="BC60" s="8"/>
      <c r="BD60" s="9"/>
      <c r="BE60" s="9"/>
      <c r="BF60" s="9"/>
    </row>
    <row r="61" spans="22:58" s="3" customFormat="1" x14ac:dyDescent="0.25">
      <c r="V61" s="11"/>
      <c r="W61" s="13"/>
      <c r="X61" s="13"/>
      <c r="Y61" s="13"/>
      <c r="Z61" s="11"/>
      <c r="AA61" s="11"/>
      <c r="AE61" s="11"/>
      <c r="AI61" s="11"/>
      <c r="AM61" s="11"/>
      <c r="AQ61" s="11"/>
      <c r="AU61" s="11"/>
      <c r="AZ61" s="11"/>
      <c r="BA61" s="8"/>
      <c r="BB61" s="8"/>
      <c r="BC61" s="8"/>
      <c r="BD61" s="9"/>
      <c r="BE61" s="9"/>
      <c r="BF61" s="9"/>
    </row>
    <row r="62" spans="22:58" s="3" customFormat="1" x14ac:dyDescent="0.25">
      <c r="V62" s="11"/>
      <c r="W62" s="13"/>
      <c r="X62" s="13"/>
      <c r="Y62" s="13"/>
      <c r="Z62" s="11"/>
      <c r="AA62" s="11"/>
      <c r="AE62" s="11"/>
      <c r="AI62" s="11"/>
      <c r="AM62" s="11"/>
      <c r="AQ62" s="11"/>
      <c r="AU62" s="11"/>
      <c r="AZ62" s="11"/>
      <c r="BA62" s="8"/>
      <c r="BB62" s="8"/>
      <c r="BC62" s="8"/>
      <c r="BD62" s="9"/>
      <c r="BE62" s="9"/>
      <c r="BF62" s="9"/>
    </row>
    <row r="63" spans="22:58" s="3" customFormat="1" x14ac:dyDescent="0.25">
      <c r="V63" s="11"/>
      <c r="W63" s="13"/>
      <c r="X63" s="13"/>
      <c r="Y63" s="13"/>
      <c r="Z63" s="11"/>
      <c r="AA63" s="11"/>
      <c r="AE63" s="11"/>
      <c r="AI63" s="11"/>
      <c r="AM63" s="11"/>
      <c r="AQ63" s="11"/>
      <c r="AU63" s="11"/>
      <c r="AZ63" s="11"/>
    </row>
    <row r="64" spans="22:58" s="3" customFormat="1" x14ac:dyDescent="0.25">
      <c r="V64" s="11"/>
      <c r="W64" s="13"/>
      <c r="X64" s="13"/>
      <c r="Y64" s="13"/>
      <c r="Z64" s="11"/>
      <c r="AA64" s="11"/>
      <c r="AE64" s="11"/>
      <c r="AI64" s="11"/>
      <c r="AM64" s="11"/>
      <c r="AQ64" s="11"/>
      <c r="AU64" s="11"/>
    </row>
    <row r="65" spans="22:52" s="3" customFormat="1" x14ac:dyDescent="0.25">
      <c r="V65" s="11"/>
      <c r="W65" s="13"/>
      <c r="X65" s="13"/>
      <c r="Y65" s="13"/>
      <c r="Z65" s="11"/>
      <c r="AA65" s="11"/>
      <c r="AE65" s="11"/>
      <c r="AI65" s="11"/>
      <c r="AM65" s="11"/>
      <c r="AQ65" s="11"/>
      <c r="AU65" s="11"/>
      <c r="AZ65" s="11"/>
    </row>
    <row r="66" spans="22:52" s="3" customFormat="1" x14ac:dyDescent="0.25">
      <c r="V66" s="11"/>
      <c r="W66" s="13"/>
      <c r="X66" s="13"/>
      <c r="Y66" s="13"/>
      <c r="Z66" s="11"/>
      <c r="AA66" s="11"/>
      <c r="AE66" s="11"/>
      <c r="AI66" s="11"/>
      <c r="AM66" s="11"/>
      <c r="AQ66" s="11"/>
      <c r="AU66" s="11"/>
      <c r="AZ66" s="11"/>
    </row>
    <row r="67" spans="22:52" s="3" customFormat="1" x14ac:dyDescent="0.25">
      <c r="V67" s="11"/>
      <c r="W67" s="13"/>
      <c r="X67" s="13"/>
      <c r="Y67" s="13"/>
      <c r="Z67" s="11"/>
      <c r="AA67" s="11"/>
      <c r="AE67" s="11"/>
      <c r="AI67" s="11"/>
      <c r="AM67" s="11"/>
      <c r="AQ67" s="11"/>
      <c r="AU67" s="11"/>
      <c r="AZ67" s="11"/>
    </row>
    <row r="68" spans="22:52" s="3" customFormat="1" x14ac:dyDescent="0.25">
      <c r="V68" s="11"/>
      <c r="W68" s="13"/>
      <c r="X68" s="13"/>
      <c r="Y68" s="13"/>
      <c r="Z68" s="11"/>
      <c r="AA68" s="11"/>
      <c r="AE68" s="11"/>
      <c r="AI68" s="11"/>
      <c r="AM68" s="11"/>
      <c r="AQ68" s="11"/>
      <c r="AU68" s="11"/>
      <c r="AZ68" s="11"/>
    </row>
    <row r="69" spans="22:52" s="3" customFormat="1" x14ac:dyDescent="0.25">
      <c r="V69" s="11"/>
      <c r="W69" s="13"/>
      <c r="X69" s="13"/>
      <c r="Y69" s="13"/>
      <c r="Z69" s="11"/>
      <c r="AA69" s="11"/>
      <c r="AE69" s="11"/>
      <c r="AI69" s="11"/>
      <c r="AM69" s="11"/>
      <c r="AQ69" s="11"/>
      <c r="AU69" s="11"/>
      <c r="AZ69" s="11"/>
    </row>
    <row r="70" spans="22:52" s="3" customFormat="1" x14ac:dyDescent="0.25">
      <c r="V70" s="11"/>
      <c r="W70" s="13"/>
      <c r="X70" s="13"/>
      <c r="Y70" s="13"/>
      <c r="Z70" s="11"/>
      <c r="AA70" s="11"/>
      <c r="AE70" s="11"/>
      <c r="AI70" s="11"/>
      <c r="AM70" s="11"/>
      <c r="AQ70" s="11"/>
      <c r="AU70" s="11"/>
      <c r="AZ70" s="11"/>
    </row>
    <row r="71" spans="22:52" s="3" customFormat="1" x14ac:dyDescent="0.25">
      <c r="V71" s="11"/>
      <c r="W71" s="13"/>
      <c r="X71" s="13"/>
      <c r="Y71" s="13"/>
      <c r="Z71" s="11"/>
      <c r="AA71" s="11"/>
      <c r="AE71" s="11"/>
      <c r="AI71" s="11"/>
      <c r="AM71" s="11"/>
      <c r="AQ71" s="11"/>
      <c r="AU71" s="11"/>
      <c r="AZ71" s="11"/>
    </row>
    <row r="72" spans="22:52" s="3" customFormat="1" x14ac:dyDescent="0.25">
      <c r="V72" s="11"/>
      <c r="W72" s="13"/>
      <c r="X72" s="13"/>
      <c r="Y72" s="13"/>
      <c r="Z72" s="11"/>
      <c r="AA72" s="11"/>
      <c r="AE72" s="11"/>
      <c r="AI72" s="11"/>
      <c r="AM72" s="11"/>
      <c r="AQ72" s="11"/>
      <c r="AU72" s="11"/>
      <c r="AZ72" s="11"/>
    </row>
    <row r="73" spans="22:52" s="3" customFormat="1" x14ac:dyDescent="0.25">
      <c r="V73" s="11"/>
      <c r="W73" s="13"/>
      <c r="X73" s="13"/>
      <c r="Y73" s="13"/>
      <c r="Z73" s="11"/>
      <c r="AA73" s="11"/>
      <c r="AE73" s="11"/>
      <c r="AI73" s="11"/>
      <c r="AM73" s="11"/>
      <c r="AQ73" s="11"/>
      <c r="AU73" s="11"/>
      <c r="AZ73" s="11"/>
    </row>
    <row r="74" spans="22:52" s="3" customFormat="1" x14ac:dyDescent="0.25">
      <c r="V74" s="11"/>
      <c r="W74" s="13"/>
      <c r="X74" s="13"/>
      <c r="Y74" s="13"/>
      <c r="Z74" s="11"/>
      <c r="AA74" s="11"/>
      <c r="AE74" s="11"/>
      <c r="AI74" s="11"/>
      <c r="AM74" s="11"/>
      <c r="AQ74" s="11"/>
      <c r="AU74" s="11"/>
      <c r="AZ74" s="11"/>
    </row>
    <row r="75" spans="22:52" s="3" customFormat="1" x14ac:dyDescent="0.25">
      <c r="V75" s="11"/>
      <c r="W75" s="13"/>
      <c r="X75" s="13"/>
      <c r="Y75" s="13"/>
      <c r="Z75" s="11"/>
      <c r="AA75" s="11"/>
      <c r="AE75" s="11"/>
      <c r="AI75" s="11"/>
      <c r="AM75" s="11"/>
      <c r="AQ75" s="11"/>
      <c r="AU75" s="11"/>
      <c r="AZ75" s="11"/>
    </row>
    <row r="76" spans="22:52" s="3" customFormat="1" x14ac:dyDescent="0.25">
      <c r="V76" s="11"/>
      <c r="W76" s="13"/>
      <c r="X76" s="13"/>
      <c r="Y76" s="13"/>
      <c r="Z76" s="11"/>
      <c r="AA76" s="11"/>
      <c r="AE76" s="11"/>
      <c r="AI76" s="11"/>
      <c r="AM76" s="11"/>
      <c r="AQ76" s="11"/>
      <c r="AU76" s="11"/>
      <c r="AZ76" s="11"/>
    </row>
    <row r="77" spans="22:52" s="3" customFormat="1" x14ac:dyDescent="0.25">
      <c r="V77" s="11"/>
      <c r="W77" s="13"/>
      <c r="X77" s="13"/>
      <c r="Y77" s="13"/>
      <c r="Z77" s="11"/>
      <c r="AA77" s="11"/>
      <c r="AE77" s="11"/>
      <c r="AI77" s="11"/>
      <c r="AM77" s="11"/>
      <c r="AQ77" s="11"/>
      <c r="AU77" s="11"/>
      <c r="AZ77" s="11"/>
    </row>
    <row r="78" spans="22:52" s="3" customFormat="1" x14ac:dyDescent="0.25">
      <c r="V78" s="11"/>
      <c r="W78" s="13"/>
      <c r="X78" s="13"/>
      <c r="Y78" s="13"/>
      <c r="Z78" s="11"/>
      <c r="AA78" s="11"/>
      <c r="AE78" s="11"/>
      <c r="AI78" s="11"/>
      <c r="AM78" s="11"/>
      <c r="AQ78" s="11"/>
      <c r="AU78" s="11"/>
      <c r="AZ78" s="11"/>
    </row>
    <row r="79" spans="22:52" s="3" customFormat="1" x14ac:dyDescent="0.25">
      <c r="V79" s="11"/>
      <c r="W79" s="13"/>
      <c r="X79" s="13"/>
      <c r="Y79" s="13"/>
      <c r="Z79" s="11"/>
      <c r="AA79" s="11"/>
      <c r="AE79" s="11"/>
      <c r="AI79" s="11"/>
      <c r="AM79" s="11"/>
      <c r="AQ79" s="11"/>
      <c r="AU79" s="11"/>
      <c r="AZ79" s="11"/>
    </row>
    <row r="80" spans="22:52" s="3" customFormat="1" x14ac:dyDescent="0.25">
      <c r="V80" s="11"/>
      <c r="W80" s="13"/>
      <c r="X80" s="13"/>
      <c r="Y80" s="13"/>
      <c r="Z80" s="11"/>
      <c r="AA80" s="11"/>
      <c r="AE80" s="11"/>
      <c r="AI80" s="11"/>
      <c r="AM80" s="11"/>
      <c r="AQ80" s="11"/>
      <c r="AU80" s="11"/>
      <c r="AZ80" s="11"/>
    </row>
    <row r="81" spans="22:52" s="3" customFormat="1" x14ac:dyDescent="0.25">
      <c r="V81" s="11"/>
      <c r="W81" s="13"/>
      <c r="X81" s="13"/>
      <c r="Y81" s="13"/>
      <c r="Z81" s="11"/>
      <c r="AA81" s="11"/>
      <c r="AE81" s="11"/>
      <c r="AI81" s="11"/>
      <c r="AM81" s="11"/>
      <c r="AQ81" s="11"/>
      <c r="AU81" s="11"/>
      <c r="AZ81" s="11"/>
    </row>
    <row r="82" spans="22:52" s="3" customFormat="1" x14ac:dyDescent="0.25">
      <c r="V82" s="11"/>
      <c r="W82" s="13"/>
      <c r="X82" s="13"/>
      <c r="Y82" s="13"/>
      <c r="Z82" s="11"/>
      <c r="AA82" s="11"/>
      <c r="AE82" s="11"/>
      <c r="AI82" s="11"/>
      <c r="AM82" s="11"/>
      <c r="AQ82" s="11"/>
      <c r="AU82" s="11"/>
      <c r="AZ82" s="11"/>
    </row>
    <row r="83" spans="22:52" s="3" customFormat="1" x14ac:dyDescent="0.25">
      <c r="V83" s="11"/>
      <c r="W83" s="13"/>
      <c r="X83" s="13"/>
      <c r="Y83" s="13"/>
      <c r="Z83" s="11"/>
      <c r="AA83" s="11"/>
      <c r="AE83" s="11"/>
      <c r="AI83" s="11"/>
      <c r="AM83" s="11"/>
      <c r="AQ83" s="11"/>
      <c r="AU83" s="11"/>
      <c r="AZ83" s="11"/>
    </row>
    <row r="84" spans="22:52" s="3" customFormat="1" x14ac:dyDescent="0.25">
      <c r="V84" s="11"/>
      <c r="W84" s="13"/>
      <c r="X84" s="13"/>
      <c r="Y84" s="13"/>
      <c r="Z84" s="11"/>
      <c r="AA84" s="11"/>
      <c r="AE84" s="11"/>
      <c r="AI84" s="11"/>
      <c r="AM84" s="11"/>
      <c r="AQ84" s="11"/>
      <c r="AU84" s="11"/>
      <c r="AZ84" s="11"/>
    </row>
    <row r="85" spans="22:52" s="3" customFormat="1" x14ac:dyDescent="0.25">
      <c r="V85" s="11"/>
      <c r="W85" s="13"/>
      <c r="X85" s="13"/>
      <c r="Y85" s="13"/>
      <c r="Z85" s="11"/>
      <c r="AA85" s="11"/>
      <c r="AE85" s="11"/>
      <c r="AI85" s="11"/>
      <c r="AM85" s="11"/>
      <c r="AQ85" s="11"/>
      <c r="AU85" s="11"/>
      <c r="AZ85" s="11"/>
    </row>
    <row r="86" spans="22:52" s="3" customFormat="1" x14ac:dyDescent="0.25">
      <c r="V86" s="11"/>
      <c r="W86" s="13"/>
      <c r="X86" s="13"/>
      <c r="Y86" s="13"/>
      <c r="Z86" s="11"/>
      <c r="AA86" s="11"/>
      <c r="AE86" s="11"/>
      <c r="AI86" s="11"/>
      <c r="AM86" s="11"/>
      <c r="AQ86" s="11"/>
      <c r="AU86" s="11"/>
      <c r="AZ86" s="11"/>
    </row>
    <row r="87" spans="22:52" s="3" customFormat="1" x14ac:dyDescent="0.25">
      <c r="V87" s="11"/>
      <c r="W87" s="13"/>
      <c r="X87" s="13"/>
      <c r="Y87" s="13"/>
      <c r="Z87" s="11"/>
      <c r="AA87" s="11"/>
      <c r="AE87" s="11"/>
      <c r="AI87" s="11"/>
      <c r="AM87" s="11"/>
      <c r="AQ87" s="11"/>
      <c r="AU87" s="11"/>
      <c r="AZ87" s="11"/>
    </row>
    <row r="88" spans="22:52" s="3" customFormat="1" x14ac:dyDescent="0.25">
      <c r="V88" s="11"/>
      <c r="W88" s="13"/>
      <c r="X88" s="13"/>
      <c r="Y88" s="13"/>
      <c r="Z88" s="11"/>
      <c r="AA88" s="11"/>
      <c r="AE88" s="11"/>
      <c r="AI88" s="11"/>
      <c r="AM88" s="11"/>
      <c r="AQ88" s="11"/>
      <c r="AU88" s="11"/>
      <c r="AZ88" s="11"/>
    </row>
    <row r="89" spans="22:52" s="3" customFormat="1" x14ac:dyDescent="0.25">
      <c r="V89" s="11"/>
      <c r="W89" s="13"/>
      <c r="X89" s="13"/>
      <c r="Y89" s="13"/>
      <c r="Z89" s="11"/>
      <c r="AA89" s="11"/>
      <c r="AE89" s="11"/>
      <c r="AI89" s="11"/>
      <c r="AM89" s="11"/>
      <c r="AQ89" s="11"/>
      <c r="AU89" s="11"/>
      <c r="AZ89" s="11"/>
    </row>
    <row r="90" spans="22:52" s="3" customFormat="1" x14ac:dyDescent="0.25">
      <c r="V90" s="11"/>
      <c r="W90" s="13"/>
      <c r="X90" s="13"/>
      <c r="Y90" s="13"/>
      <c r="Z90" s="11"/>
      <c r="AA90" s="11"/>
      <c r="AE90" s="11"/>
      <c r="AI90" s="11"/>
      <c r="AM90" s="11"/>
      <c r="AQ90" s="11"/>
      <c r="AU90" s="11"/>
      <c r="AZ90" s="11"/>
    </row>
    <row r="91" spans="22:52" s="3" customFormat="1" x14ac:dyDescent="0.25">
      <c r="V91" s="11"/>
      <c r="W91" s="13"/>
      <c r="X91" s="13"/>
      <c r="Y91" s="13"/>
      <c r="Z91" s="11"/>
      <c r="AA91" s="11"/>
      <c r="AE91" s="11"/>
      <c r="AI91" s="11"/>
      <c r="AM91" s="11"/>
      <c r="AQ91" s="11"/>
      <c r="AU91" s="11"/>
      <c r="AZ91" s="11"/>
    </row>
    <row r="92" spans="22:52" s="3" customFormat="1" x14ac:dyDescent="0.25">
      <c r="V92" s="11"/>
      <c r="W92" s="13"/>
      <c r="X92" s="13"/>
      <c r="Y92" s="13"/>
      <c r="Z92" s="11"/>
      <c r="AA92" s="11"/>
      <c r="AE92" s="11"/>
      <c r="AI92" s="11"/>
      <c r="AM92" s="11"/>
      <c r="AQ92" s="11"/>
      <c r="AU92" s="11"/>
      <c r="AZ92" s="11"/>
    </row>
    <row r="93" spans="22:52" s="3" customFormat="1" x14ac:dyDescent="0.25">
      <c r="V93" s="11"/>
      <c r="W93" s="13"/>
      <c r="X93" s="13"/>
      <c r="Y93" s="13"/>
      <c r="Z93" s="11"/>
      <c r="AA93" s="11"/>
      <c r="AE93" s="11"/>
      <c r="AI93" s="11"/>
      <c r="AM93" s="11"/>
      <c r="AQ93" s="11"/>
      <c r="AU93" s="11"/>
      <c r="AZ93" s="11"/>
    </row>
    <row r="94" spans="22:52" s="3" customFormat="1" x14ac:dyDescent="0.25">
      <c r="V94" s="11"/>
      <c r="W94" s="13"/>
      <c r="X94" s="13"/>
      <c r="Y94" s="13"/>
      <c r="Z94" s="11"/>
      <c r="AA94" s="11"/>
      <c r="AE94" s="11"/>
      <c r="AI94" s="11"/>
      <c r="AM94" s="11"/>
      <c r="AQ94" s="11"/>
      <c r="AU94" s="11"/>
      <c r="AZ94" s="11"/>
    </row>
    <row r="95" spans="22:52" s="3" customFormat="1" x14ac:dyDescent="0.25">
      <c r="V95" s="11"/>
      <c r="W95" s="13"/>
      <c r="X95" s="13"/>
      <c r="Y95" s="13"/>
      <c r="Z95" s="11"/>
      <c r="AA95" s="11"/>
      <c r="AE95" s="11"/>
      <c r="AI95" s="11"/>
      <c r="AM95" s="11"/>
      <c r="AQ95" s="11"/>
      <c r="AU95" s="11"/>
      <c r="AZ95" s="11"/>
    </row>
    <row r="96" spans="22:52" s="3" customFormat="1" x14ac:dyDescent="0.25">
      <c r="V96" s="11"/>
      <c r="W96" s="13"/>
      <c r="X96" s="13"/>
      <c r="Y96" s="13"/>
      <c r="Z96" s="11"/>
      <c r="AA96" s="11"/>
      <c r="AE96" s="11"/>
      <c r="AI96" s="11"/>
      <c r="AM96" s="11"/>
      <c r="AQ96" s="11"/>
      <c r="AU96" s="11"/>
      <c r="AZ96" s="11"/>
    </row>
    <row r="97" spans="22:52" s="3" customFormat="1" x14ac:dyDescent="0.25">
      <c r="V97" s="11"/>
      <c r="W97" s="13"/>
      <c r="X97" s="13"/>
      <c r="Y97" s="13"/>
      <c r="Z97" s="11"/>
      <c r="AA97" s="11"/>
      <c r="AE97" s="11"/>
      <c r="AI97" s="11"/>
      <c r="AM97" s="11"/>
      <c r="AQ97" s="11"/>
      <c r="AU97" s="11"/>
      <c r="AZ97" s="11"/>
    </row>
    <row r="98" spans="22:52" s="3" customFormat="1" x14ac:dyDescent="0.25">
      <c r="V98" s="11"/>
      <c r="W98" s="13"/>
      <c r="X98" s="13"/>
      <c r="Y98" s="13"/>
      <c r="Z98" s="11"/>
      <c r="AA98" s="11"/>
      <c r="AE98" s="11"/>
      <c r="AI98" s="11"/>
      <c r="AM98" s="11"/>
      <c r="AQ98" s="11"/>
      <c r="AU98" s="11"/>
      <c r="AZ98" s="11"/>
    </row>
    <row r="99" spans="22:52" s="3" customFormat="1" x14ac:dyDescent="0.25">
      <c r="V99" s="11"/>
      <c r="W99" s="13"/>
      <c r="X99" s="13"/>
      <c r="Y99" s="13"/>
      <c r="Z99" s="11"/>
      <c r="AA99" s="11"/>
      <c r="AE99" s="11"/>
      <c r="AI99" s="11"/>
      <c r="AM99" s="11"/>
      <c r="AQ99" s="11"/>
      <c r="AU99" s="11"/>
      <c r="AZ99" s="11"/>
    </row>
    <row r="100" spans="22:52" s="3" customFormat="1" x14ac:dyDescent="0.25">
      <c r="V100" s="11"/>
      <c r="W100" s="13"/>
      <c r="X100" s="13"/>
      <c r="Y100" s="13"/>
      <c r="Z100" s="11"/>
      <c r="AA100" s="11"/>
      <c r="AE100" s="11"/>
      <c r="AI100" s="11"/>
      <c r="AM100" s="11"/>
      <c r="AQ100" s="11"/>
      <c r="AU100" s="11"/>
      <c r="AZ100" s="11"/>
    </row>
    <row r="101" spans="22:52" s="3" customFormat="1" x14ac:dyDescent="0.25">
      <c r="V101" s="11"/>
      <c r="W101" s="13"/>
      <c r="X101" s="13"/>
      <c r="Y101" s="13"/>
      <c r="Z101" s="11"/>
      <c r="AA101" s="11"/>
      <c r="AE101" s="11"/>
      <c r="AI101" s="11"/>
      <c r="AM101" s="11"/>
      <c r="AQ101" s="11"/>
      <c r="AU101" s="11"/>
      <c r="AZ101" s="11"/>
    </row>
    <row r="102" spans="22:52" s="3" customFormat="1" x14ac:dyDescent="0.25">
      <c r="V102" s="11"/>
      <c r="W102" s="13"/>
      <c r="X102" s="13"/>
      <c r="Y102" s="13"/>
      <c r="Z102" s="11"/>
      <c r="AA102" s="11"/>
      <c r="AE102" s="11"/>
      <c r="AI102" s="11"/>
      <c r="AM102" s="11"/>
      <c r="AQ102" s="11"/>
      <c r="AU102" s="11"/>
      <c r="AZ102" s="11"/>
    </row>
    <row r="103" spans="22:52" s="3" customFormat="1" x14ac:dyDescent="0.25">
      <c r="V103" s="11"/>
      <c r="W103" s="13"/>
      <c r="X103" s="13"/>
      <c r="Y103" s="13"/>
      <c r="Z103" s="11"/>
      <c r="AA103" s="11"/>
      <c r="AE103" s="11"/>
      <c r="AI103" s="11"/>
      <c r="AM103" s="11"/>
      <c r="AQ103" s="11"/>
      <c r="AU103" s="11"/>
      <c r="AZ103" s="11"/>
    </row>
    <row r="104" spans="22:52" s="3" customFormat="1" x14ac:dyDescent="0.25">
      <c r="V104" s="11"/>
      <c r="W104" s="13"/>
      <c r="X104" s="13"/>
      <c r="Y104" s="13"/>
      <c r="Z104" s="11"/>
      <c r="AA104" s="11"/>
      <c r="AE104" s="11"/>
      <c r="AI104" s="11"/>
      <c r="AM104" s="11"/>
      <c r="AQ104" s="11"/>
      <c r="AU104" s="11"/>
      <c r="AZ104" s="11"/>
    </row>
    <row r="105" spans="22:52" s="3" customFormat="1" x14ac:dyDescent="0.25">
      <c r="V105" s="11"/>
      <c r="W105" s="13"/>
      <c r="X105" s="13"/>
      <c r="Y105" s="13"/>
      <c r="Z105" s="11"/>
      <c r="AA105" s="11"/>
      <c r="AE105" s="11"/>
      <c r="AI105" s="11"/>
      <c r="AM105" s="11"/>
      <c r="AQ105" s="11"/>
      <c r="AU105" s="11"/>
      <c r="AZ105" s="11"/>
    </row>
    <row r="106" spans="22:52" s="3" customFormat="1" x14ac:dyDescent="0.25">
      <c r="V106" s="11"/>
      <c r="W106" s="13"/>
      <c r="X106" s="13"/>
      <c r="Y106" s="13"/>
      <c r="Z106" s="11"/>
      <c r="AA106" s="11"/>
      <c r="AE106" s="11"/>
      <c r="AI106" s="11"/>
      <c r="AM106" s="11"/>
      <c r="AQ106" s="11"/>
      <c r="AU106" s="11"/>
      <c r="AZ106" s="11"/>
    </row>
    <row r="107" spans="22:52" s="3" customFormat="1" x14ac:dyDescent="0.25">
      <c r="V107" s="11"/>
      <c r="W107" s="13"/>
      <c r="X107" s="13"/>
      <c r="Y107" s="13"/>
      <c r="Z107" s="11"/>
      <c r="AA107" s="11"/>
      <c r="AE107" s="11"/>
      <c r="AI107" s="11"/>
      <c r="AM107" s="11"/>
      <c r="AQ107" s="11"/>
      <c r="AU107" s="11"/>
      <c r="AZ107" s="11"/>
    </row>
    <row r="108" spans="22:52" s="3" customFormat="1" x14ac:dyDescent="0.25">
      <c r="V108" s="11"/>
      <c r="W108" s="13"/>
      <c r="X108" s="13"/>
      <c r="Y108" s="13"/>
      <c r="Z108" s="11"/>
      <c r="AA108" s="11"/>
      <c r="AE108" s="11"/>
      <c r="AI108" s="11"/>
      <c r="AM108" s="11"/>
      <c r="AQ108" s="11"/>
      <c r="AU108" s="11"/>
      <c r="AZ108" s="11"/>
    </row>
    <row r="109" spans="22:52" s="3" customFormat="1" x14ac:dyDescent="0.25">
      <c r="V109" s="11"/>
      <c r="W109" s="13"/>
      <c r="X109" s="13"/>
      <c r="Y109" s="13"/>
      <c r="Z109" s="11"/>
      <c r="AA109" s="11"/>
      <c r="AE109" s="11"/>
      <c r="AI109" s="11"/>
      <c r="AM109" s="11"/>
      <c r="AQ109" s="11"/>
      <c r="AU109" s="11"/>
      <c r="AZ109" s="11"/>
    </row>
    <row r="110" spans="22:52" s="3" customFormat="1" x14ac:dyDescent="0.25">
      <c r="V110" s="11"/>
      <c r="W110" s="13"/>
      <c r="X110" s="13"/>
      <c r="Y110" s="13"/>
      <c r="Z110" s="11"/>
      <c r="AA110" s="11"/>
      <c r="AE110" s="11"/>
      <c r="AI110" s="11"/>
      <c r="AM110" s="11"/>
      <c r="AQ110" s="11"/>
      <c r="AU110" s="11"/>
      <c r="AZ110" s="11"/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Jaewon</dc:creator>
  <cp:lastModifiedBy>Alex Scott</cp:lastModifiedBy>
  <cp:lastPrinted>2017-02-03T20:30:06Z</cp:lastPrinted>
  <dcterms:created xsi:type="dcterms:W3CDTF">2015-06-18T14:57:11Z</dcterms:created>
  <dcterms:modified xsi:type="dcterms:W3CDTF">2017-06-05T16:27:01Z</dcterms:modified>
</cp:coreProperties>
</file>