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Documents\Manuscripts\CBFA_paint by numbers\"/>
    </mc:Choice>
  </mc:AlternateContent>
  <bookViews>
    <workbookView xWindow="0" yWindow="0" windowWidth="20136" windowHeight="7968"/>
  </bookViews>
  <sheets>
    <sheet name="Read Me" sheetId="3" r:id="rId1"/>
    <sheet name="NEE" sheetId="2" r:id="rId2"/>
    <sheet name="Methane" sheetId="1" r:id="rId3"/>
    <sheet name="References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2" i="2" l="1"/>
  <c r="AA76" i="2"/>
  <c r="AA80" i="2"/>
  <c r="AA82" i="2"/>
  <c r="AA86" i="2"/>
  <c r="AA85" i="2"/>
  <c r="AA90" i="2"/>
  <c r="AA95" i="2"/>
  <c r="AA94" i="2"/>
  <c r="AA93" i="2"/>
  <c r="AA92" i="2"/>
  <c r="AA113" i="2"/>
  <c r="AA112" i="2"/>
  <c r="AA111" i="2"/>
  <c r="AA110" i="2"/>
  <c r="AA109" i="2"/>
  <c r="AA108" i="2"/>
  <c r="AA126" i="2"/>
  <c r="AA135" i="2"/>
  <c r="AA163" i="2"/>
  <c r="AA162" i="2"/>
  <c r="AA214" i="2"/>
  <c r="AA244" i="2"/>
  <c r="AA243" i="2"/>
  <c r="AA245" i="2"/>
  <c r="AA237" i="2"/>
  <c r="AA232" i="2"/>
  <c r="AA231" i="2"/>
  <c r="AA230" i="2"/>
  <c r="AA229" i="2"/>
  <c r="AA224" i="2"/>
  <c r="AA219" i="2"/>
  <c r="AA218" i="2"/>
  <c r="AA215" i="2"/>
  <c r="AA213" i="2"/>
  <c r="AA212" i="2"/>
  <c r="AA211" i="2"/>
  <c r="AA192" i="2"/>
  <c r="AA158" i="2"/>
  <c r="AA138" i="2"/>
  <c r="AA137" i="2"/>
  <c r="AA136" i="2"/>
  <c r="AA91" i="2"/>
  <c r="AA89" i="2"/>
  <c r="AA87" i="2"/>
  <c r="AA84" i="2"/>
  <c r="AA83" i="2"/>
  <c r="AA81" i="2"/>
  <c r="AA79" i="2"/>
  <c r="AA5" i="2"/>
  <c r="AA4" i="2"/>
  <c r="AA3" i="2"/>
  <c r="AA2" i="2"/>
  <c r="W2" i="2"/>
  <c r="W3" i="2"/>
  <c r="AC3" i="2"/>
  <c r="W4" i="2"/>
  <c r="AC4" i="2"/>
  <c r="W5" i="2"/>
  <c r="AC5" i="2"/>
  <c r="W8" i="2"/>
  <c r="W7" i="2"/>
  <c r="AC7" i="2"/>
  <c r="W9" i="2"/>
  <c r="AC9" i="2"/>
  <c r="W63" i="2"/>
  <c r="AC63" i="2"/>
  <c r="W65" i="2"/>
  <c r="W66" i="2"/>
  <c r="W67" i="2"/>
  <c r="W64" i="2"/>
  <c r="AC64" i="2"/>
  <c r="W72" i="2"/>
  <c r="W73" i="2"/>
  <c r="W71" i="2"/>
  <c r="AC71" i="2"/>
  <c r="R77" i="2"/>
  <c r="R78" i="2"/>
  <c r="R76" i="2"/>
  <c r="V76" i="2"/>
  <c r="AC76" i="2"/>
  <c r="W79" i="2"/>
  <c r="AC79" i="2"/>
  <c r="R80" i="2"/>
  <c r="V80" i="2"/>
  <c r="AC80" i="2"/>
  <c r="W81" i="2"/>
  <c r="AC81" i="2"/>
  <c r="R82" i="2"/>
  <c r="V82" i="2"/>
  <c r="AC82" i="2"/>
  <c r="W83" i="2"/>
  <c r="AC83" i="2"/>
  <c r="W84" i="2"/>
  <c r="AC84" i="2"/>
  <c r="R85" i="2"/>
  <c r="V85" i="2"/>
  <c r="AC85" i="2"/>
  <c r="R86" i="2"/>
  <c r="V86" i="2"/>
  <c r="AC86" i="2"/>
  <c r="W87" i="2"/>
  <c r="AC87" i="2"/>
  <c r="R88" i="2"/>
  <c r="V88" i="2"/>
  <c r="AA88" i="2"/>
  <c r="AC88" i="2"/>
  <c r="W89" i="2"/>
  <c r="AC89" i="2"/>
  <c r="R90" i="2"/>
  <c r="V90" i="2"/>
  <c r="AC90" i="2"/>
  <c r="W91" i="2"/>
  <c r="AC91" i="2"/>
  <c r="R96" i="2"/>
  <c r="R100" i="2"/>
  <c r="R104" i="2"/>
  <c r="R92" i="2"/>
  <c r="V92" i="2"/>
  <c r="AC92" i="2"/>
  <c r="R97" i="2"/>
  <c r="R101" i="2"/>
  <c r="R105" i="2"/>
  <c r="R93" i="2"/>
  <c r="V93" i="2"/>
  <c r="AC93" i="2"/>
  <c r="R98" i="2"/>
  <c r="R102" i="2"/>
  <c r="R106" i="2"/>
  <c r="R94" i="2"/>
  <c r="V94" i="2"/>
  <c r="AC94" i="2"/>
  <c r="R99" i="2"/>
  <c r="R103" i="2"/>
  <c r="R95" i="2"/>
  <c r="V95" i="2"/>
  <c r="AC95" i="2"/>
  <c r="R108" i="2"/>
  <c r="V108" i="2"/>
  <c r="AC108" i="2"/>
  <c r="R109" i="2"/>
  <c r="V109" i="2"/>
  <c r="AC109" i="2"/>
  <c r="R110" i="2"/>
  <c r="V110" i="2"/>
  <c r="AC110" i="2"/>
  <c r="R114" i="2"/>
  <c r="R117" i="2"/>
  <c r="R111" i="2"/>
  <c r="V111" i="2"/>
  <c r="AC111" i="2"/>
  <c r="R115" i="2"/>
  <c r="R118" i="2"/>
  <c r="R112" i="2"/>
  <c r="V112" i="2"/>
  <c r="AC112" i="2"/>
  <c r="R116" i="2"/>
  <c r="R119" i="2"/>
  <c r="R113" i="2"/>
  <c r="V113" i="2"/>
  <c r="AC113" i="2"/>
  <c r="W121" i="2"/>
  <c r="W122" i="2"/>
  <c r="W123" i="2"/>
  <c r="W124" i="2"/>
  <c r="W125" i="2"/>
  <c r="W120" i="2"/>
  <c r="AC120" i="2"/>
  <c r="R126" i="2"/>
  <c r="V126" i="2"/>
  <c r="AC126" i="2"/>
  <c r="W129" i="2"/>
  <c r="AC129" i="2"/>
  <c r="W131" i="2"/>
  <c r="AC131" i="2"/>
  <c r="R132" i="2"/>
  <c r="R133" i="2"/>
  <c r="R134" i="2"/>
  <c r="R135" i="2"/>
  <c r="V135" i="2"/>
  <c r="AC135" i="2"/>
  <c r="W139" i="2"/>
  <c r="W142" i="2"/>
  <c r="W151" i="2"/>
  <c r="W154" i="2"/>
  <c r="W136" i="2"/>
  <c r="AC136" i="2"/>
  <c r="W140" i="2"/>
  <c r="W143" i="2"/>
  <c r="W152" i="2"/>
  <c r="W155" i="2"/>
  <c r="W137" i="2"/>
  <c r="AC137" i="2"/>
  <c r="W141" i="2"/>
  <c r="W144" i="2"/>
  <c r="W153" i="2"/>
  <c r="W156" i="2"/>
  <c r="W138" i="2"/>
  <c r="AC138" i="2"/>
  <c r="W159" i="2"/>
  <c r="W160" i="2"/>
  <c r="W161" i="2"/>
  <c r="W158" i="2"/>
  <c r="AC158" i="2"/>
  <c r="R162" i="2"/>
  <c r="V162" i="2"/>
  <c r="AC162" i="2"/>
  <c r="R163" i="2"/>
  <c r="V163" i="2"/>
  <c r="AC163" i="2"/>
  <c r="W171" i="2"/>
  <c r="W183" i="2"/>
  <c r="W164" i="2"/>
  <c r="AC164" i="2"/>
  <c r="W193" i="2"/>
  <c r="W194" i="2"/>
  <c r="W195" i="2"/>
  <c r="W196" i="2"/>
  <c r="W197" i="2"/>
  <c r="W198" i="2"/>
  <c r="W192" i="2"/>
  <c r="AC192" i="2"/>
  <c r="W205" i="2"/>
  <c r="W206" i="2"/>
  <c r="W207" i="2"/>
  <c r="W204" i="2"/>
  <c r="AC204" i="2"/>
  <c r="W211" i="2"/>
  <c r="AC211" i="2"/>
  <c r="W212" i="2"/>
  <c r="AC212" i="2"/>
  <c r="W213" i="2"/>
  <c r="AC213" i="2"/>
  <c r="R214" i="2"/>
  <c r="V214" i="2"/>
  <c r="AC214" i="2"/>
  <c r="W215" i="2"/>
  <c r="AC215" i="2"/>
  <c r="W217" i="2"/>
  <c r="AC217" i="2"/>
  <c r="W218" i="2"/>
  <c r="AC218" i="2"/>
  <c r="W220" i="2"/>
  <c r="W221" i="2"/>
  <c r="W222" i="2"/>
  <c r="W223" i="2"/>
  <c r="W219" i="2"/>
  <c r="AC219" i="2"/>
  <c r="W226" i="2"/>
  <c r="W227" i="2"/>
  <c r="W228" i="2"/>
  <c r="W224" i="2"/>
  <c r="AC224" i="2"/>
  <c r="W229" i="2"/>
  <c r="AC229" i="2"/>
  <c r="W230" i="2"/>
  <c r="AC230" i="2"/>
  <c r="W231" i="2"/>
  <c r="AC231" i="2"/>
  <c r="W232" i="2"/>
  <c r="AC232" i="2"/>
  <c r="W238" i="2"/>
  <c r="W239" i="2"/>
  <c r="W237" i="2"/>
  <c r="AC237" i="2"/>
  <c r="R243" i="2"/>
  <c r="V243" i="2"/>
  <c r="AC243" i="2"/>
  <c r="R244" i="2"/>
  <c r="V244" i="2"/>
  <c r="AC244" i="2"/>
  <c r="R245" i="2"/>
  <c r="V245" i="2"/>
  <c r="AC245" i="2"/>
  <c r="AB2" i="2"/>
  <c r="AB3" i="2"/>
  <c r="AB4" i="2"/>
  <c r="AB5" i="2"/>
  <c r="AB7" i="2"/>
  <c r="AB9" i="2"/>
  <c r="AB63" i="2"/>
  <c r="AB64" i="2"/>
  <c r="AB71" i="2"/>
  <c r="AB76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108" i="2"/>
  <c r="AB109" i="2"/>
  <c r="AB110" i="2"/>
  <c r="AB111" i="2"/>
  <c r="AB112" i="2"/>
  <c r="AB113" i="2"/>
  <c r="AB120" i="2"/>
  <c r="AB126" i="2"/>
  <c r="AB129" i="2"/>
  <c r="AB131" i="2"/>
  <c r="AB135" i="2"/>
  <c r="AB136" i="2"/>
  <c r="AB137" i="2"/>
  <c r="AB138" i="2"/>
  <c r="AB158" i="2"/>
  <c r="AB162" i="2"/>
  <c r="AB163" i="2"/>
  <c r="AB164" i="2"/>
  <c r="AB192" i="2"/>
  <c r="AB204" i="2"/>
  <c r="AB211" i="2"/>
  <c r="AB212" i="2"/>
  <c r="AB213" i="2"/>
  <c r="AB214" i="2"/>
  <c r="AB215" i="2"/>
  <c r="AB217" i="2"/>
  <c r="AB218" i="2"/>
  <c r="AB219" i="2"/>
  <c r="AB224" i="2"/>
  <c r="AB229" i="2"/>
  <c r="AB230" i="2"/>
  <c r="AB231" i="2"/>
  <c r="AB232" i="2"/>
  <c r="AB237" i="2"/>
  <c r="AB243" i="2"/>
  <c r="AB244" i="2"/>
  <c r="AB245" i="2"/>
  <c r="W242" i="2"/>
  <c r="R242" i="2"/>
  <c r="W241" i="2"/>
  <c r="R241" i="2"/>
  <c r="W240" i="2"/>
  <c r="R240" i="2"/>
  <c r="S237" i="2"/>
  <c r="W236" i="2"/>
  <c r="R236" i="2"/>
  <c r="W235" i="2"/>
  <c r="R235" i="2"/>
  <c r="W234" i="2"/>
  <c r="R234" i="2"/>
  <c r="W233" i="2"/>
  <c r="S232" i="2"/>
  <c r="S231" i="2"/>
  <c r="S230" i="2"/>
  <c r="S229" i="2"/>
  <c r="W225" i="2"/>
  <c r="S224" i="2"/>
  <c r="AG219" i="2"/>
  <c r="AF219" i="2"/>
  <c r="S219" i="2"/>
  <c r="S218" i="2"/>
  <c r="S217" i="2"/>
  <c r="W216" i="2"/>
  <c r="R216" i="2"/>
  <c r="R215" i="2"/>
  <c r="V215" i="2"/>
  <c r="AD213" i="2"/>
  <c r="S213" i="2"/>
  <c r="AD212" i="2"/>
  <c r="S212" i="2"/>
  <c r="R211" i="2"/>
  <c r="W210" i="2"/>
  <c r="W209" i="2"/>
  <c r="W208" i="2"/>
  <c r="S204" i="2"/>
  <c r="W203" i="2"/>
  <c r="W202" i="2"/>
  <c r="W201" i="2"/>
  <c r="W200" i="2"/>
  <c r="W199" i="2"/>
  <c r="R198" i="2"/>
  <c r="R197" i="2"/>
  <c r="R196" i="2"/>
  <c r="R195" i="2"/>
  <c r="R194" i="2"/>
  <c r="R193" i="2"/>
  <c r="R192" i="2"/>
  <c r="W191" i="2"/>
  <c r="R190" i="2"/>
  <c r="R189" i="2"/>
  <c r="R188" i="2"/>
  <c r="W187" i="2"/>
  <c r="R186" i="2"/>
  <c r="R185" i="2"/>
  <c r="R184" i="2"/>
  <c r="R182" i="2"/>
  <c r="R181" i="2"/>
  <c r="R180" i="2"/>
  <c r="W179" i="2"/>
  <c r="R178" i="2"/>
  <c r="R177" i="2"/>
  <c r="R176" i="2"/>
  <c r="W175" i="2"/>
  <c r="R174" i="2"/>
  <c r="R173" i="2"/>
  <c r="R172" i="2"/>
  <c r="R170" i="2"/>
  <c r="R169" i="2"/>
  <c r="R168" i="2"/>
  <c r="R167" i="2"/>
  <c r="V167" i="2"/>
  <c r="R166" i="2"/>
  <c r="V166" i="2"/>
  <c r="R165" i="2"/>
  <c r="V165" i="2"/>
  <c r="S158" i="2"/>
  <c r="AF157" i="2"/>
  <c r="W157" i="2"/>
  <c r="W150" i="2"/>
  <c r="W149" i="2"/>
  <c r="W148" i="2"/>
  <c r="AF147" i="2"/>
  <c r="W147" i="2"/>
  <c r="AF146" i="2"/>
  <c r="W146" i="2"/>
  <c r="AF145" i="2"/>
  <c r="W145" i="2"/>
  <c r="AF144" i="2"/>
  <c r="AF143" i="2"/>
  <c r="AF142" i="2"/>
  <c r="AF141" i="2"/>
  <c r="AF140" i="2"/>
  <c r="AF139" i="2"/>
  <c r="AG138" i="2"/>
  <c r="AF138" i="2"/>
  <c r="S138" i="2"/>
  <c r="AG137" i="2"/>
  <c r="AF137" i="2"/>
  <c r="S137" i="2"/>
  <c r="AG136" i="2"/>
  <c r="AF136" i="2"/>
  <c r="S136" i="2"/>
  <c r="R131" i="2"/>
  <c r="R130" i="2"/>
  <c r="AF129" i="2"/>
  <c r="R129" i="2"/>
  <c r="AF128" i="2"/>
  <c r="W128" i="2"/>
  <c r="AF127" i="2"/>
  <c r="W127" i="2"/>
  <c r="AF125" i="2"/>
  <c r="AF124" i="2"/>
  <c r="AF123" i="2"/>
  <c r="AF122" i="2"/>
  <c r="AF121" i="2"/>
  <c r="AF120" i="2"/>
  <c r="S120" i="2"/>
  <c r="S91" i="2"/>
  <c r="R89" i="2"/>
  <c r="R87" i="2"/>
  <c r="R84" i="2"/>
  <c r="R83" i="2"/>
  <c r="R81" i="2"/>
  <c r="R79" i="2"/>
  <c r="T76" i="2"/>
  <c r="AF75" i="2"/>
  <c r="W75" i="2"/>
  <c r="AF74" i="2"/>
  <c r="W74" i="2"/>
  <c r="AF73" i="2"/>
  <c r="AF72" i="2"/>
  <c r="AF71" i="2"/>
  <c r="X71" i="2"/>
  <c r="S71" i="2"/>
  <c r="AF70" i="2"/>
  <c r="W70" i="2"/>
  <c r="AF69" i="2"/>
  <c r="W69" i="2"/>
  <c r="AF68" i="2"/>
  <c r="W68" i="2"/>
  <c r="AF67" i="2"/>
  <c r="AF66" i="2"/>
  <c r="AF65" i="2"/>
  <c r="AF64" i="2"/>
  <c r="X64" i="2"/>
  <c r="S64" i="2"/>
  <c r="S63" i="2"/>
  <c r="W62" i="2"/>
  <c r="W61" i="2"/>
  <c r="W60" i="2"/>
  <c r="R59" i="2"/>
  <c r="R57" i="2"/>
  <c r="AF55" i="2"/>
  <c r="R54" i="2"/>
  <c r="R52" i="2"/>
  <c r="AF50" i="2"/>
  <c r="R49" i="2"/>
  <c r="R47" i="2"/>
  <c r="AF45" i="2"/>
  <c r="R44" i="2"/>
  <c r="R42" i="2"/>
  <c r="S42" i="2"/>
  <c r="W39" i="2"/>
  <c r="R38" i="2"/>
  <c r="R37" i="2"/>
  <c r="R36" i="2"/>
  <c r="R35" i="2"/>
  <c r="R34" i="2"/>
  <c r="R33" i="2"/>
  <c r="R32" i="2"/>
  <c r="R31" i="2"/>
  <c r="W30" i="2"/>
  <c r="W29" i="2"/>
  <c r="W28" i="2"/>
  <c r="W27" i="2"/>
  <c r="W26" i="2"/>
  <c r="W25" i="2"/>
  <c r="W24" i="2"/>
  <c r="W23" i="2"/>
  <c r="W22" i="2"/>
  <c r="W21" i="2"/>
  <c r="W20" i="2"/>
  <c r="W19" i="2"/>
  <c r="W18" i="2"/>
  <c r="W17" i="2"/>
  <c r="W16" i="2"/>
  <c r="W15" i="2"/>
  <c r="AF14" i="2"/>
  <c r="W14" i="2"/>
  <c r="AF13" i="2"/>
  <c r="W13" i="2"/>
  <c r="AF12" i="2"/>
  <c r="W12" i="2"/>
  <c r="AF11" i="2"/>
  <c r="W11" i="2"/>
  <c r="AF10" i="2"/>
  <c r="R10" i="2"/>
  <c r="S9" i="2"/>
  <c r="X6" i="2"/>
  <c r="W6" i="2"/>
  <c r="S6" i="2"/>
  <c r="AF5" i="2"/>
  <c r="S5" i="2"/>
  <c r="AF4" i="2"/>
  <c r="S4" i="2"/>
  <c r="AF3" i="2"/>
  <c r="S3" i="2"/>
  <c r="AF2" i="2"/>
  <c r="S2" i="2"/>
  <c r="Q292" i="1"/>
  <c r="U292" i="1"/>
  <c r="Z292" i="1"/>
  <c r="AB292" i="1"/>
  <c r="AA292" i="1"/>
  <c r="Q291" i="1"/>
  <c r="U291" i="1"/>
  <c r="Z291" i="1"/>
  <c r="AB291" i="1"/>
  <c r="AA291" i="1"/>
  <c r="Q290" i="1"/>
  <c r="U290" i="1"/>
  <c r="Z290" i="1"/>
  <c r="AB290" i="1"/>
  <c r="AA290" i="1"/>
  <c r="Q289" i="1"/>
  <c r="U289" i="1"/>
  <c r="Z289" i="1"/>
  <c r="AB289" i="1"/>
  <c r="AA289" i="1"/>
  <c r="V286" i="1"/>
  <c r="Q285" i="1"/>
  <c r="U285" i="1"/>
  <c r="Z285" i="1"/>
  <c r="AB285" i="1"/>
  <c r="AA285" i="1"/>
  <c r="U284" i="1"/>
  <c r="Z284" i="1"/>
  <c r="AB284" i="1"/>
  <c r="AA284" i="1"/>
  <c r="U283" i="1"/>
  <c r="Z283" i="1"/>
  <c r="AB283" i="1"/>
  <c r="AA283" i="1"/>
  <c r="U282" i="1"/>
  <c r="Z282" i="1"/>
  <c r="AB282" i="1"/>
  <c r="AA282" i="1"/>
  <c r="Q281" i="1"/>
  <c r="U281" i="1"/>
  <c r="Z281" i="1"/>
  <c r="AB281" i="1"/>
  <c r="AA281" i="1"/>
  <c r="Q280" i="1"/>
  <c r="U280" i="1"/>
  <c r="Z280" i="1"/>
  <c r="AB280" i="1"/>
  <c r="AA280" i="1"/>
  <c r="Q279" i="1"/>
  <c r="U279" i="1"/>
  <c r="Z279" i="1"/>
  <c r="AB279" i="1"/>
  <c r="AA279" i="1"/>
  <c r="Q278" i="1"/>
  <c r="U278" i="1"/>
  <c r="Z278" i="1"/>
  <c r="AB278" i="1"/>
  <c r="AA278" i="1"/>
  <c r="Z277" i="1"/>
  <c r="AB277" i="1"/>
  <c r="AA277" i="1"/>
  <c r="R277" i="1"/>
  <c r="U276" i="1"/>
  <c r="Z276" i="1"/>
  <c r="AB276" i="1"/>
  <c r="AA276" i="1"/>
  <c r="U275" i="1"/>
  <c r="Z275" i="1"/>
  <c r="AB275" i="1"/>
  <c r="AA275" i="1"/>
  <c r="U274" i="1"/>
  <c r="Z274" i="1"/>
  <c r="AB274" i="1"/>
  <c r="AA274" i="1"/>
  <c r="U273" i="1"/>
  <c r="Z273" i="1"/>
  <c r="AB273" i="1"/>
  <c r="AA273" i="1"/>
  <c r="U272" i="1"/>
  <c r="Z272" i="1"/>
  <c r="AB272" i="1"/>
  <c r="AA272" i="1"/>
  <c r="U271" i="1"/>
  <c r="Z271" i="1"/>
  <c r="AB271" i="1"/>
  <c r="AA271" i="1"/>
  <c r="U270" i="1"/>
  <c r="Z270" i="1"/>
  <c r="AB270" i="1"/>
  <c r="AA270" i="1"/>
  <c r="U269" i="1"/>
  <c r="Z269" i="1"/>
  <c r="AB269" i="1"/>
  <c r="AA269" i="1"/>
  <c r="U268" i="1"/>
  <c r="Z268" i="1"/>
  <c r="AB268" i="1"/>
  <c r="AA268" i="1"/>
  <c r="U267" i="1"/>
  <c r="Z267" i="1"/>
  <c r="AB267" i="1"/>
  <c r="AA267" i="1"/>
  <c r="U266" i="1"/>
  <c r="Z266" i="1"/>
  <c r="AB266" i="1"/>
  <c r="AA266" i="1"/>
  <c r="U265" i="1"/>
  <c r="Z265" i="1"/>
  <c r="AB265" i="1"/>
  <c r="AA265" i="1"/>
  <c r="U264" i="1"/>
  <c r="Z264" i="1"/>
  <c r="AB264" i="1"/>
  <c r="AA264" i="1"/>
  <c r="U263" i="1"/>
  <c r="Z263" i="1"/>
  <c r="AB263" i="1"/>
  <c r="AA263" i="1"/>
  <c r="Q261" i="1"/>
  <c r="Q260" i="1"/>
  <c r="U260" i="1"/>
  <c r="Z260" i="1"/>
  <c r="AB260" i="1"/>
  <c r="AA260" i="1"/>
  <c r="Q258" i="1"/>
  <c r="Q257" i="1"/>
  <c r="U257" i="1"/>
  <c r="Z257" i="1"/>
  <c r="AB257" i="1"/>
  <c r="AA257" i="1"/>
  <c r="U256" i="1"/>
  <c r="Z256" i="1"/>
  <c r="AB256" i="1"/>
  <c r="AA256" i="1"/>
  <c r="U255" i="1"/>
  <c r="Z255" i="1"/>
  <c r="AB255" i="1"/>
  <c r="AA255" i="1"/>
  <c r="U254" i="1"/>
  <c r="Z254" i="1"/>
  <c r="AB254" i="1"/>
  <c r="AA254" i="1"/>
  <c r="U253" i="1"/>
  <c r="Z253" i="1"/>
  <c r="AB253" i="1"/>
  <c r="AA253" i="1"/>
  <c r="U252" i="1"/>
  <c r="Z252" i="1"/>
  <c r="AB252" i="1"/>
  <c r="AA252" i="1"/>
  <c r="U251" i="1"/>
  <c r="Z251" i="1"/>
  <c r="AB251" i="1"/>
  <c r="AA251" i="1"/>
  <c r="U250" i="1"/>
  <c r="Z250" i="1"/>
  <c r="AB250" i="1"/>
  <c r="AA250" i="1"/>
  <c r="Q249" i="1"/>
  <c r="U249" i="1"/>
  <c r="Z249" i="1"/>
  <c r="AB249" i="1"/>
  <c r="AA249" i="1"/>
  <c r="U248" i="1"/>
  <c r="Z248" i="1"/>
  <c r="AB248" i="1"/>
  <c r="AA248" i="1"/>
  <c r="U247" i="1"/>
  <c r="Z247" i="1"/>
  <c r="AB247" i="1"/>
  <c r="AA247" i="1"/>
  <c r="U246" i="1"/>
  <c r="Z246" i="1"/>
  <c r="AB246" i="1"/>
  <c r="AA246" i="1"/>
  <c r="U245" i="1"/>
  <c r="Z245" i="1"/>
  <c r="AB245" i="1"/>
  <c r="AA245" i="1"/>
  <c r="U244" i="1"/>
  <c r="Z244" i="1"/>
  <c r="AB244" i="1"/>
  <c r="AA244" i="1"/>
  <c r="U243" i="1"/>
  <c r="Z243" i="1"/>
  <c r="AB243" i="1"/>
  <c r="AA243" i="1"/>
  <c r="V242" i="1"/>
  <c r="V241" i="1"/>
  <c r="V240" i="1"/>
  <c r="V239" i="1"/>
  <c r="AB239" i="1"/>
  <c r="AA239" i="1"/>
  <c r="R239" i="1"/>
  <c r="Q238" i="1"/>
  <c r="U238" i="1"/>
  <c r="Z238" i="1"/>
  <c r="AB238" i="1"/>
  <c r="AA238" i="1"/>
  <c r="Q237" i="1"/>
  <c r="U237" i="1"/>
  <c r="Z237" i="1"/>
  <c r="AB237" i="1"/>
  <c r="AA237" i="1"/>
  <c r="V236" i="1"/>
  <c r="Z236" i="1"/>
  <c r="AB236" i="1"/>
  <c r="AA236" i="1"/>
  <c r="Q236" i="1"/>
  <c r="V235" i="1"/>
  <c r="Z235" i="1"/>
  <c r="AB235" i="1"/>
  <c r="AA235" i="1"/>
  <c r="Q235" i="1"/>
  <c r="V234" i="1"/>
  <c r="Z234" i="1"/>
  <c r="AB234" i="1"/>
  <c r="AA234" i="1"/>
  <c r="Q234" i="1"/>
  <c r="V233" i="1"/>
  <c r="Z233" i="1"/>
  <c r="AB233" i="1"/>
  <c r="AA233" i="1"/>
  <c r="Q233" i="1"/>
  <c r="V232" i="1"/>
  <c r="Z232" i="1"/>
  <c r="AB232" i="1"/>
  <c r="AA232" i="1"/>
  <c r="Q232" i="1"/>
  <c r="Z231" i="1"/>
  <c r="AB231" i="1"/>
  <c r="AA231" i="1"/>
  <c r="Z230" i="1"/>
  <c r="AB230" i="1"/>
  <c r="AA230" i="1"/>
  <c r="V229" i="1"/>
  <c r="Z229" i="1"/>
  <c r="AB229" i="1"/>
  <c r="AA229" i="1"/>
  <c r="Q229" i="1"/>
  <c r="Z228" i="1"/>
  <c r="AB228" i="1"/>
  <c r="AA228" i="1"/>
  <c r="Z227" i="1"/>
  <c r="AB227" i="1"/>
  <c r="AA227" i="1"/>
  <c r="Z226" i="1"/>
  <c r="AB226" i="1"/>
  <c r="AA226" i="1"/>
  <c r="V225" i="1"/>
  <c r="V224" i="1"/>
  <c r="V223" i="1"/>
  <c r="V222" i="1"/>
  <c r="V221" i="1"/>
  <c r="V220" i="1"/>
  <c r="AB220" i="1"/>
  <c r="Q217" i="1"/>
  <c r="U217" i="1"/>
  <c r="Z217" i="1"/>
  <c r="AB217" i="1"/>
  <c r="AA217" i="1"/>
  <c r="Q214" i="1"/>
  <c r="U214" i="1"/>
  <c r="Z214" i="1"/>
  <c r="AB214" i="1"/>
  <c r="AA214" i="1"/>
  <c r="Z213" i="1"/>
  <c r="AB213" i="1"/>
  <c r="Z212" i="1"/>
  <c r="AB212" i="1"/>
  <c r="AA212" i="1"/>
  <c r="R212" i="1"/>
  <c r="Z211" i="1"/>
  <c r="AB211" i="1"/>
  <c r="AA211" i="1"/>
  <c r="R211" i="1"/>
  <c r="Z210" i="1"/>
  <c r="AB210" i="1"/>
  <c r="AA210" i="1"/>
  <c r="R210" i="1"/>
  <c r="U209" i="1"/>
  <c r="Z209" i="1"/>
  <c r="AB209" i="1"/>
  <c r="AA209" i="1"/>
  <c r="Z208" i="1"/>
  <c r="AB208" i="1"/>
  <c r="AA208" i="1"/>
  <c r="R208" i="1"/>
  <c r="Z207" i="1"/>
  <c r="AB207" i="1"/>
  <c r="AA207" i="1"/>
  <c r="R207" i="1"/>
  <c r="V204" i="1"/>
  <c r="Z204" i="1"/>
  <c r="AB204" i="1"/>
  <c r="AA204" i="1"/>
  <c r="R204" i="1"/>
  <c r="U203" i="1"/>
  <c r="Z203" i="1"/>
  <c r="AB203" i="1"/>
  <c r="AA203" i="1"/>
  <c r="U202" i="1"/>
  <c r="Z202" i="1"/>
  <c r="AB202" i="1"/>
  <c r="AA202" i="1"/>
  <c r="V199" i="1"/>
  <c r="Z199" i="1"/>
  <c r="AB199" i="1"/>
  <c r="AA199" i="1"/>
  <c r="R199" i="1"/>
  <c r="V196" i="1"/>
  <c r="Z196" i="1"/>
  <c r="AB196" i="1"/>
  <c r="AA196" i="1"/>
  <c r="R196" i="1"/>
  <c r="Z195" i="1"/>
  <c r="AB195" i="1"/>
  <c r="AA195" i="1"/>
  <c r="R195" i="1"/>
  <c r="Z194" i="1"/>
  <c r="AB194" i="1"/>
  <c r="AA194" i="1"/>
  <c r="Z193" i="1"/>
  <c r="AB193" i="1"/>
  <c r="AA193" i="1"/>
  <c r="R193" i="1"/>
  <c r="Z192" i="1"/>
  <c r="AB192" i="1"/>
  <c r="AA192" i="1"/>
  <c r="R192" i="1"/>
  <c r="Z191" i="1"/>
  <c r="AB191" i="1"/>
  <c r="AA191" i="1"/>
  <c r="R191" i="1"/>
  <c r="Z190" i="1"/>
  <c r="AB190" i="1"/>
  <c r="AA190" i="1"/>
  <c r="R190" i="1"/>
  <c r="Z189" i="1"/>
  <c r="AB189" i="1"/>
  <c r="AA189" i="1"/>
  <c r="R189" i="1"/>
  <c r="U188" i="1"/>
  <c r="Z188" i="1"/>
  <c r="AB188" i="1"/>
  <c r="AA188" i="1"/>
  <c r="U187" i="1"/>
  <c r="Z187" i="1"/>
  <c r="AB187" i="1"/>
  <c r="AA187" i="1"/>
  <c r="U186" i="1"/>
  <c r="Z186" i="1"/>
  <c r="AB186" i="1"/>
  <c r="AA186" i="1"/>
  <c r="U185" i="1"/>
  <c r="Z185" i="1"/>
  <c r="AB185" i="1"/>
  <c r="AA185" i="1"/>
  <c r="U184" i="1"/>
  <c r="Z184" i="1"/>
  <c r="AB184" i="1"/>
  <c r="AA184" i="1"/>
  <c r="U183" i="1"/>
  <c r="Z183" i="1"/>
  <c r="AB183" i="1"/>
  <c r="AA183" i="1"/>
  <c r="U182" i="1"/>
  <c r="Z182" i="1"/>
  <c r="AB182" i="1"/>
  <c r="AA182" i="1"/>
  <c r="U181" i="1"/>
  <c r="Z181" i="1"/>
  <c r="AB181" i="1"/>
  <c r="AA181" i="1"/>
  <c r="U180" i="1"/>
  <c r="Z180" i="1"/>
  <c r="AB180" i="1"/>
  <c r="AA180" i="1"/>
  <c r="U179" i="1"/>
  <c r="Z179" i="1"/>
  <c r="AB179" i="1"/>
  <c r="AA179" i="1"/>
  <c r="U178" i="1"/>
  <c r="Z178" i="1"/>
  <c r="AB178" i="1"/>
  <c r="AA178" i="1"/>
  <c r="U177" i="1"/>
  <c r="Z177" i="1"/>
  <c r="AB177" i="1"/>
  <c r="AA177" i="1"/>
  <c r="U176" i="1"/>
  <c r="Z176" i="1"/>
  <c r="AB176" i="1"/>
  <c r="AA176" i="1"/>
  <c r="U175" i="1"/>
  <c r="Z175" i="1"/>
  <c r="AB175" i="1"/>
  <c r="AA175" i="1"/>
  <c r="Q173" i="1"/>
  <c r="Q172" i="1"/>
  <c r="U172" i="1"/>
  <c r="Z172" i="1"/>
  <c r="AB172" i="1"/>
  <c r="AA172" i="1"/>
  <c r="Z171" i="1"/>
  <c r="AB171" i="1"/>
  <c r="AA171" i="1"/>
  <c r="V164" i="1"/>
  <c r="V163" i="1"/>
  <c r="V162" i="1"/>
  <c r="Q157" i="1"/>
  <c r="Q156" i="1"/>
  <c r="Q155" i="1"/>
  <c r="Q154" i="1"/>
  <c r="Q153" i="1"/>
  <c r="S150" i="1"/>
  <c r="S147" i="1"/>
  <c r="S144" i="1"/>
  <c r="S141" i="1"/>
  <c r="S138" i="1"/>
  <c r="S135" i="1"/>
  <c r="S132" i="1"/>
  <c r="S129" i="1"/>
  <c r="S126" i="1"/>
  <c r="V125" i="1"/>
  <c r="V124" i="1"/>
  <c r="V123" i="1"/>
  <c r="V122" i="1"/>
  <c r="V121" i="1"/>
  <c r="V120" i="1"/>
  <c r="V119" i="1"/>
  <c r="V118" i="1"/>
  <c r="V117" i="1"/>
  <c r="V116" i="1"/>
  <c r="V115" i="1"/>
  <c r="V114" i="1"/>
  <c r="V113" i="1"/>
  <c r="V112" i="1"/>
  <c r="V111" i="1"/>
  <c r="V110" i="1"/>
  <c r="Z110" i="1"/>
  <c r="AB110" i="1"/>
  <c r="AA110" i="1"/>
  <c r="W110" i="1"/>
  <c r="Q110" i="1"/>
  <c r="U110" i="1"/>
  <c r="V109" i="1"/>
  <c r="Z109" i="1"/>
  <c r="AB109" i="1"/>
  <c r="AA109" i="1"/>
  <c r="W109" i="1"/>
  <c r="Q109" i="1"/>
  <c r="U109" i="1"/>
  <c r="V108" i="1"/>
  <c r="Z108" i="1"/>
  <c r="AB108" i="1"/>
  <c r="AA108" i="1"/>
  <c r="W108" i="1"/>
  <c r="Q108" i="1"/>
  <c r="U108" i="1"/>
  <c r="U107" i="1"/>
  <c r="Z107" i="1"/>
  <c r="AB107" i="1"/>
  <c r="AA107" i="1"/>
  <c r="U106" i="1"/>
  <c r="Z106" i="1"/>
  <c r="AB106" i="1"/>
  <c r="AA106" i="1"/>
  <c r="AB105" i="1"/>
  <c r="R105" i="1"/>
  <c r="AB104" i="1"/>
  <c r="R104" i="1"/>
  <c r="AB103" i="1"/>
  <c r="AA103" i="1"/>
  <c r="R103" i="1"/>
  <c r="AB102" i="1"/>
  <c r="AA102" i="1"/>
  <c r="R102" i="1"/>
  <c r="R101" i="1"/>
  <c r="R100" i="1"/>
  <c r="U99" i="1"/>
  <c r="Z99" i="1"/>
  <c r="AB99" i="1"/>
  <c r="AA99" i="1"/>
  <c r="U98" i="1"/>
  <c r="Z98" i="1"/>
  <c r="AB98" i="1"/>
  <c r="AA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U84" i="1"/>
  <c r="Z84" i="1"/>
  <c r="AB84" i="1"/>
  <c r="AA84" i="1"/>
  <c r="Q83" i="1"/>
  <c r="U83" i="1"/>
  <c r="Z83" i="1"/>
  <c r="AB83" i="1"/>
  <c r="AA83" i="1"/>
  <c r="Q82" i="1"/>
  <c r="U82" i="1"/>
  <c r="Z82" i="1"/>
  <c r="AB82" i="1"/>
  <c r="AA82" i="1"/>
  <c r="Q81" i="1"/>
  <c r="U81" i="1"/>
  <c r="Z81" i="1"/>
  <c r="AB81" i="1"/>
  <c r="AA81" i="1"/>
  <c r="Q80" i="1"/>
  <c r="U80" i="1"/>
  <c r="Z80" i="1"/>
  <c r="AB80" i="1"/>
  <c r="AA80" i="1"/>
  <c r="Z79" i="1"/>
  <c r="AB79" i="1"/>
  <c r="AA79" i="1"/>
  <c r="R79" i="1"/>
  <c r="Z78" i="1"/>
  <c r="AB78" i="1"/>
  <c r="AA78" i="1"/>
  <c r="R78" i="1"/>
  <c r="U77" i="1"/>
  <c r="Z77" i="1"/>
  <c r="AB77" i="1"/>
  <c r="AA77" i="1"/>
  <c r="U76" i="1"/>
  <c r="Z76" i="1"/>
  <c r="AB76" i="1"/>
  <c r="AA76" i="1"/>
  <c r="U75" i="1"/>
  <c r="Z75" i="1"/>
  <c r="AB75" i="1"/>
  <c r="AA75" i="1"/>
  <c r="U74" i="1"/>
  <c r="Z74" i="1"/>
  <c r="AB74" i="1"/>
  <c r="AA74" i="1"/>
  <c r="U73" i="1"/>
  <c r="Z73" i="1"/>
  <c r="AB73" i="1"/>
  <c r="AA73" i="1"/>
  <c r="U72" i="1"/>
  <c r="Z72" i="1"/>
  <c r="AB72" i="1"/>
  <c r="AA72" i="1"/>
  <c r="U71" i="1"/>
  <c r="Z71" i="1"/>
  <c r="AB71" i="1"/>
  <c r="AA71" i="1"/>
  <c r="U70" i="1"/>
  <c r="Z70" i="1"/>
  <c r="AB70" i="1"/>
  <c r="AA70" i="1"/>
  <c r="U69" i="1"/>
  <c r="Z69" i="1"/>
  <c r="AB69" i="1"/>
  <c r="AA69" i="1"/>
  <c r="U68" i="1"/>
  <c r="Z68" i="1"/>
  <c r="AB68" i="1"/>
  <c r="AA68" i="1"/>
  <c r="U67" i="1"/>
  <c r="Z67" i="1"/>
  <c r="AB67" i="1"/>
  <c r="AA67" i="1"/>
  <c r="U66" i="1"/>
  <c r="Z66" i="1"/>
  <c r="AB66" i="1"/>
  <c r="AA66" i="1"/>
  <c r="U65" i="1"/>
  <c r="Z65" i="1"/>
  <c r="AB65" i="1"/>
  <c r="AA65" i="1"/>
  <c r="U64" i="1"/>
  <c r="Z64" i="1"/>
  <c r="AB64" i="1"/>
  <c r="AA64" i="1"/>
  <c r="U63" i="1"/>
  <c r="Z63" i="1"/>
  <c r="AB63" i="1"/>
  <c r="AA63" i="1"/>
  <c r="U62" i="1"/>
  <c r="Z62" i="1"/>
  <c r="AB62" i="1"/>
  <c r="AA62" i="1"/>
  <c r="U61" i="1"/>
  <c r="Z61" i="1"/>
  <c r="AB61" i="1"/>
  <c r="AA61" i="1"/>
  <c r="Q60" i="1"/>
  <c r="U60" i="1"/>
  <c r="Z60" i="1"/>
  <c r="AB60" i="1"/>
  <c r="AA60" i="1"/>
  <c r="U59" i="1"/>
  <c r="Z59" i="1"/>
  <c r="AB59" i="1"/>
  <c r="AA59" i="1"/>
  <c r="Q58" i="1"/>
  <c r="U58" i="1"/>
  <c r="Z58" i="1"/>
  <c r="AB58" i="1"/>
  <c r="AA58" i="1"/>
  <c r="U57" i="1"/>
  <c r="Z57" i="1"/>
  <c r="AB57" i="1"/>
  <c r="AA57" i="1"/>
  <c r="V56" i="1"/>
  <c r="AB56" i="1"/>
  <c r="Q55" i="1"/>
  <c r="U55" i="1"/>
  <c r="Z55" i="1"/>
  <c r="AB55" i="1"/>
  <c r="AA55" i="1"/>
  <c r="Q54" i="1"/>
  <c r="U54" i="1"/>
  <c r="Z54" i="1"/>
  <c r="AB54" i="1"/>
  <c r="AA54" i="1"/>
  <c r="V51" i="1"/>
  <c r="Z51" i="1"/>
  <c r="AB51" i="1"/>
  <c r="AA51" i="1"/>
  <c r="Q51" i="1"/>
  <c r="Z50" i="1"/>
  <c r="AB50" i="1"/>
  <c r="AA50" i="1"/>
  <c r="Z49" i="1"/>
  <c r="AB49" i="1"/>
  <c r="AA49" i="1"/>
  <c r="Z48" i="1"/>
  <c r="AB48" i="1"/>
  <c r="AA48" i="1"/>
  <c r="R48" i="1"/>
  <c r="Z47" i="1"/>
  <c r="AB47" i="1"/>
  <c r="AA47" i="1"/>
  <c r="R47" i="1"/>
  <c r="Z46" i="1"/>
  <c r="AB46" i="1"/>
  <c r="AA46" i="1"/>
  <c r="R46" i="1"/>
  <c r="Z45" i="1"/>
  <c r="AB45" i="1"/>
  <c r="AA45" i="1"/>
  <c r="R45" i="1"/>
  <c r="Z44" i="1"/>
  <c r="AB44" i="1"/>
  <c r="AA44" i="1"/>
  <c r="R44" i="1"/>
  <c r="Z43" i="1"/>
  <c r="AB43" i="1"/>
  <c r="AA43" i="1"/>
  <c r="R43" i="1"/>
  <c r="Z42" i="1"/>
  <c r="AB42" i="1"/>
  <c r="AA42" i="1"/>
  <c r="R42" i="1"/>
  <c r="Z41" i="1"/>
  <c r="AB41" i="1"/>
  <c r="AA41" i="1"/>
  <c r="R41" i="1"/>
  <c r="U40" i="1"/>
  <c r="Z40" i="1"/>
  <c r="AB40" i="1"/>
  <c r="AA40" i="1"/>
  <c r="Q37" i="1"/>
  <c r="U37" i="1"/>
  <c r="Z37" i="1"/>
  <c r="AB37" i="1"/>
  <c r="AA37" i="1"/>
  <c r="Z36" i="1"/>
  <c r="AB36" i="1"/>
  <c r="AA36" i="1"/>
  <c r="Z35" i="1"/>
  <c r="AB35" i="1"/>
  <c r="AA35" i="1"/>
  <c r="Z34" i="1"/>
  <c r="AB34" i="1"/>
  <c r="AA34" i="1"/>
  <c r="R34" i="1"/>
  <c r="Z33" i="1"/>
  <c r="AB33" i="1"/>
  <c r="AA33" i="1"/>
  <c r="R33" i="1"/>
  <c r="V32" i="1"/>
  <c r="Q32" i="1"/>
  <c r="V31" i="1"/>
  <c r="Q31" i="1"/>
  <c r="V30" i="1"/>
  <c r="V29" i="1"/>
  <c r="V28" i="1"/>
  <c r="V27" i="1"/>
  <c r="V26" i="1"/>
  <c r="V25" i="1"/>
  <c r="V24" i="1"/>
  <c r="Z23" i="1"/>
  <c r="AB23" i="1"/>
  <c r="AA23" i="1"/>
  <c r="V17" i="1"/>
  <c r="Z17" i="1"/>
  <c r="AB17" i="1"/>
  <c r="AA17" i="1"/>
  <c r="Q14" i="1"/>
  <c r="U14" i="1"/>
  <c r="Z14" i="1"/>
  <c r="AB14" i="1"/>
  <c r="AA14" i="1"/>
  <c r="Q11" i="1"/>
  <c r="U11" i="1"/>
  <c r="Z11" i="1"/>
  <c r="AB11" i="1"/>
  <c r="AA11" i="1"/>
  <c r="V8" i="1"/>
  <c r="V7" i="1"/>
  <c r="R7" i="1"/>
  <c r="V6" i="1"/>
  <c r="AB6" i="1"/>
  <c r="AA6" i="1"/>
  <c r="W6" i="1"/>
  <c r="U5" i="1"/>
  <c r="Z5" i="1"/>
  <c r="AB5" i="1"/>
  <c r="AA5" i="1"/>
  <c r="U4" i="1"/>
  <c r="Z4" i="1"/>
  <c r="AB4" i="1"/>
  <c r="AA4" i="1"/>
  <c r="U3" i="1"/>
  <c r="Z3" i="1"/>
  <c r="AB3" i="1"/>
  <c r="AA3" i="1"/>
  <c r="U2" i="1"/>
  <c r="Z2" i="1"/>
  <c r="AB2" i="1"/>
  <c r="AA2" i="1"/>
</calcChain>
</file>

<file path=xl/sharedStrings.xml><?xml version="1.0" encoding="utf-8"?>
<sst xmlns="http://schemas.openxmlformats.org/spreadsheetml/2006/main" count="7986" uniqueCount="964">
  <si>
    <t>Reference</t>
  </si>
  <si>
    <t>Peatland Type</t>
  </si>
  <si>
    <t>Peat type2</t>
  </si>
  <si>
    <t>Province</t>
  </si>
  <si>
    <t>Location</t>
  </si>
  <si>
    <t>Ecozone</t>
  </si>
  <si>
    <t>Study years</t>
  </si>
  <si>
    <t>Month</t>
  </si>
  <si>
    <t>Latitude (Decimal Deg)</t>
  </si>
  <si>
    <t xml:space="preserve">Longitude (Decimal Deg) </t>
  </si>
  <si>
    <t># of Days in Growing Season</t>
  </si>
  <si>
    <t>Ecological type</t>
  </si>
  <si>
    <t>Microtopography</t>
  </si>
  <si>
    <t>PH</t>
  </si>
  <si>
    <t>Method</t>
  </si>
  <si>
    <t>Dominant PFT</t>
  </si>
  <si>
    <t>Average CH4 Flux (daily) (mg CH4 m-2 d-1)</t>
  </si>
  <si>
    <t>Daily from seasonal</t>
  </si>
  <si>
    <t>Value in original units</t>
  </si>
  <si>
    <t>Units</t>
  </si>
  <si>
    <t>Seasonal from daily (g CH4 m-2 season)</t>
  </si>
  <si>
    <t>Annual or seasoal CH4 Flux  (g CH4 m-2 y-1)</t>
  </si>
  <si>
    <t>Winter as f(daily)</t>
  </si>
  <si>
    <t>Seasonal</t>
  </si>
  <si>
    <t>Annual (with winter daily)</t>
  </si>
  <si>
    <t>Notes:</t>
  </si>
  <si>
    <t xml:space="preserve">Ball 1996 </t>
  </si>
  <si>
    <t>Bog</t>
  </si>
  <si>
    <t>Quebec</t>
  </si>
  <si>
    <t>Frontenac provincial park</t>
  </si>
  <si>
    <t>Atlantic Maritime</t>
  </si>
  <si>
    <t>1995-1996</t>
  </si>
  <si>
    <t>July-Oct(95), May-June(96)</t>
  </si>
  <si>
    <t>Ombrotrophic, Treed, mixed shrub Bog</t>
  </si>
  <si>
    <t>Raised Hummock</t>
  </si>
  <si>
    <t>NA</t>
  </si>
  <si>
    <t>Chamber</t>
  </si>
  <si>
    <t>Picea mariana, Ledum groenlandicum, Sphagnum fuscum (Site R)</t>
  </si>
  <si>
    <t>mg CH4  m-2 d-1</t>
  </si>
  <si>
    <t>seasonal</t>
  </si>
  <si>
    <t>Ombrotrophic,  Open low shrub Bog</t>
  </si>
  <si>
    <t>Lawn</t>
  </si>
  <si>
    <t>Chamaedaphne calyculata, Sphagnum rubellum (Site L)</t>
  </si>
  <si>
    <t>Ombrotrophic, Open graminoid Bog</t>
  </si>
  <si>
    <t>Floating moss mat</t>
  </si>
  <si>
    <t>Rhynchospora alba, Sphagnum papillosum (Site G)</t>
  </si>
  <si>
    <t>Open low shrub Bog</t>
  </si>
  <si>
    <t>Low Hummock</t>
  </si>
  <si>
    <t>Chamaedaphne calyculata, Sphagnum rubellum, Picea mariana (Site H)</t>
  </si>
  <si>
    <t>Bois-des-bel</t>
  </si>
  <si>
    <t>May 1st-October 31st</t>
  </si>
  <si>
    <t xml:space="preserve">Open </t>
  </si>
  <si>
    <t>Hummock, Hollow</t>
  </si>
  <si>
    <t>g CH4-C m-2 y-1</t>
  </si>
  <si>
    <t>annual</t>
  </si>
  <si>
    <t>Annual</t>
  </si>
  <si>
    <t>g CH4-C m-2 season-1</t>
  </si>
  <si>
    <t>summer</t>
  </si>
  <si>
    <t>Nov1st -April 30th</t>
  </si>
  <si>
    <t>winter</t>
  </si>
  <si>
    <t>Dalva et al. 2001</t>
  </si>
  <si>
    <t>Nova Scotia</t>
  </si>
  <si>
    <t>Kejimkujik</t>
  </si>
  <si>
    <t>Atlantic Maratime</t>
  </si>
  <si>
    <t>July-November</t>
  </si>
  <si>
    <t>50% Sphagnum cover  with the rest in shrubs and trees (see dominant PFT)</t>
  </si>
  <si>
    <t>Hummock, Lawn, Bank, Pool</t>
  </si>
  <si>
    <t>Sphagnum spp. (S. centrale, S. imbricatum, S. fallax, S. magellanicum, S. torreyanum), Calamogrostis canadensis, Dulichium arndinaceum, Juncus effusus, Alnus spp., Abies balsamea, Picea glauca</t>
  </si>
  <si>
    <t>mg m-2 d-1</t>
  </si>
  <si>
    <t>May-November</t>
  </si>
  <si>
    <t>1995&amp;1996</t>
  </si>
  <si>
    <t>Hummock</t>
  </si>
  <si>
    <t>Moore et al. 2011</t>
  </si>
  <si>
    <t xml:space="preserve">Bog </t>
  </si>
  <si>
    <t>Ontario</t>
  </si>
  <si>
    <t>Mer Bleue</t>
  </si>
  <si>
    <t>Mixedwood Plains</t>
  </si>
  <si>
    <t>2004-2008</t>
  </si>
  <si>
    <t>May- Nov (day 120-320)</t>
  </si>
  <si>
    <t>ombrotrophic bog</t>
  </si>
  <si>
    <t xml:space="preserve">Hummock/Lawn/ Hollow </t>
  </si>
  <si>
    <t>g CH4 m-2 season-1</t>
  </si>
  <si>
    <t>estimated cumulative flux, mean of 12 collars from Day 120-320 (April 30th-Nov 26)</t>
  </si>
  <si>
    <t xml:space="preserve">Chamaedaphne calyculata, Ledum groenlandicum, , Kalmia angustifolia, Vaccinium myrtilloides, Sphagnum capillifolium, Sphagnum magellanicum, Sphagnum angustifolium </t>
  </si>
  <si>
    <t>Humphreys et al. unpublished data</t>
  </si>
  <si>
    <t>EC</t>
  </si>
  <si>
    <t>mg CH4 m-2 d-1</t>
  </si>
  <si>
    <t>153 days</t>
  </si>
  <si>
    <t>Roulet et al. 2007</t>
  </si>
  <si>
    <t>1998-2004</t>
  </si>
  <si>
    <t>ombrotrophic, low shrub, Open bog</t>
  </si>
  <si>
    <t>Hummocks &amp; Hollows</t>
  </si>
  <si>
    <t xml:space="preserve">Chamaedaphne calyculata, Vaccinium myrtilloides, Sphagnum Spp. </t>
  </si>
  <si>
    <t>g CH4-C m-2 yr-1</t>
  </si>
  <si>
    <t>2010-2011</t>
  </si>
  <si>
    <t>Nov-Oct?</t>
  </si>
  <si>
    <t xml:space="preserve">Ombrotrophic bog </t>
  </si>
  <si>
    <t>Chamaedaphne calyculata, Kalmia angustifolia, Rhodendron groenlandicum, Vaccinium myrtillodes, Vaccinium oxycoccus, Sphagnum spp.</t>
  </si>
  <si>
    <t>g C- m-2 yr-1</t>
  </si>
  <si>
    <t>2011-2012</t>
  </si>
  <si>
    <t>2012-2013</t>
  </si>
  <si>
    <t>2013-2014</t>
  </si>
  <si>
    <t>Brown et al. 2014</t>
  </si>
  <si>
    <t>May-September</t>
  </si>
  <si>
    <t>mg CH4-C m-2 d-1</t>
  </si>
  <si>
    <t>g CH4-C m-2 seasonal-1</t>
  </si>
  <si>
    <t>The seasonal values are for 139 days from May15- Sept 30th</t>
  </si>
  <si>
    <t>Moore and Knowles 1990</t>
  </si>
  <si>
    <t>St. Bruno</t>
  </si>
  <si>
    <t>1986-1988</t>
  </si>
  <si>
    <t>May-Sept</t>
  </si>
  <si>
    <t>Domed</t>
  </si>
  <si>
    <t>Centre</t>
  </si>
  <si>
    <t>Sphagnum spp., Rhododendron spp., Betula populifolia</t>
  </si>
  <si>
    <t>g CH4 m-2 yr-1</t>
  </si>
  <si>
    <t>annual (actually seasonal)</t>
  </si>
  <si>
    <t>Margin</t>
  </si>
  <si>
    <t>Victor MOE</t>
  </si>
  <si>
    <t>Hudson Plains</t>
  </si>
  <si>
    <t>2010-2013</t>
  </si>
  <si>
    <t>Nov-Oct</t>
  </si>
  <si>
    <t>Open</t>
  </si>
  <si>
    <t>Nadeau et al. 2013</t>
  </si>
  <si>
    <t>James Bay Lowland</t>
  </si>
  <si>
    <t>June 24 -August 21 (90 days)</t>
  </si>
  <si>
    <t>Klinger et al. 1994</t>
  </si>
  <si>
    <t>Carling Lake Site (C1&amp;C2)</t>
  </si>
  <si>
    <t>Mid June- early Oct</t>
  </si>
  <si>
    <t>Forested Bog</t>
  </si>
  <si>
    <t>Hummocks and Hollows</t>
  </si>
  <si>
    <t>stunted Picea mariana, sphagnum spp., Thuja occidentalis, sedge, forb</t>
  </si>
  <si>
    <t>Daily original value is an average of 5 plot values. Sampled once in July and once in October, not sure if this value is an average of the two.</t>
  </si>
  <si>
    <t>Carling Lake Site (C1)</t>
  </si>
  <si>
    <t>Carling Lake Site (C2)</t>
  </si>
  <si>
    <t xml:space="preserve">Kinosheo-K4-Sphagnum Bog Site </t>
  </si>
  <si>
    <t xml:space="preserve">Open bog </t>
  </si>
  <si>
    <t>Hummocks/ mounds</t>
  </si>
  <si>
    <t>Sphagnum spp., Cladina spp., Sedge, Forb</t>
  </si>
  <si>
    <t>Moore et al. 1994</t>
  </si>
  <si>
    <t>Leduc Bog</t>
  </si>
  <si>
    <t>June-Oct</t>
  </si>
  <si>
    <t>Open lichen-rich low shrub bog</t>
  </si>
  <si>
    <t>C. calyculata, S. fuscum, Cladina stygia</t>
  </si>
  <si>
    <t>Hollow</t>
  </si>
  <si>
    <t>S. capillifolium, C. stellaris</t>
  </si>
  <si>
    <t>Kinosheo Lake, Bog</t>
  </si>
  <si>
    <t>Treed low-shrub lichen rich bog</t>
  </si>
  <si>
    <t>mound</t>
  </si>
  <si>
    <t>Picea mariana, Ledum groenlandicum, C. stellaris</t>
  </si>
  <si>
    <t>C. calyculata, S. fuscum</t>
  </si>
  <si>
    <t>Open Sphagnum Bog</t>
  </si>
  <si>
    <t>mats of Sphagnum &amp; sedge</t>
  </si>
  <si>
    <t>S. capillifolium, S. tenellum, C. oligosperma</t>
  </si>
  <si>
    <t>Open graminoid  bog</t>
  </si>
  <si>
    <t xml:space="preserve">Scheuchzeria palustris, C. oligosperma, S. capillifolium </t>
  </si>
  <si>
    <t>Open graminoid  bog at edge</t>
  </si>
  <si>
    <t xml:space="preserve">margin   </t>
  </si>
  <si>
    <t>C. limosa, Kalma polifolia</t>
  </si>
  <si>
    <t>Roulet et al. 1994</t>
  </si>
  <si>
    <t>Mooseonee..75km north</t>
  </si>
  <si>
    <t>with pools and without pools</t>
  </si>
  <si>
    <t>* See Klinger et al. 1994 &amp; Moore et al. 1994</t>
  </si>
  <si>
    <t>Treed</t>
  </si>
  <si>
    <t>Rouse et al. 1995</t>
  </si>
  <si>
    <t>Manitoba</t>
  </si>
  <si>
    <t>Churchill</t>
  </si>
  <si>
    <t>1989 -90</t>
  </si>
  <si>
    <t>June - Aug/Sep</t>
  </si>
  <si>
    <t>Peat plateau bog</t>
  </si>
  <si>
    <r>
      <t xml:space="preserve">Carex aquatilis, Carex limosa, Carex saxatilis, Carex gynocrates, </t>
    </r>
    <r>
      <rPr>
        <sz val="11"/>
        <color theme="1"/>
        <rFont val="Calibri"/>
        <family val="2"/>
        <scheme val="minor"/>
      </rPr>
      <t>Scorpidum turgescens</t>
    </r>
  </si>
  <si>
    <t>June 25 - Aug 28</t>
  </si>
  <si>
    <t>June 21 -Sept 11</t>
  </si>
  <si>
    <t>Turetsky et al. 2002</t>
  </si>
  <si>
    <t xml:space="preserve">Saskatchewan </t>
  </si>
  <si>
    <t>Patuanak</t>
  </si>
  <si>
    <t>Boreal Plains</t>
  </si>
  <si>
    <t>1998/1999</t>
  </si>
  <si>
    <t>Aug-Oct</t>
  </si>
  <si>
    <t>Ombrotrophic bog</t>
  </si>
  <si>
    <t>Picea mariana, Ledum groendlandicum, Sphagnum fuscum</t>
  </si>
  <si>
    <t>µmol CH4 m-2 d-1</t>
  </si>
  <si>
    <t>Turetsky et al. 2007</t>
  </si>
  <si>
    <t>Saskatchewan</t>
  </si>
  <si>
    <t>1999-2001</t>
  </si>
  <si>
    <t>June - Oct</t>
  </si>
  <si>
    <t>Ombrotrophic continental bog</t>
  </si>
  <si>
    <t>open canopy</t>
  </si>
  <si>
    <t>Picea mariana, Ledum groenlandicum, Chamaedaphne calyculata, Sphagnum fuscum, S. mangellanicum, S. angustifolium</t>
  </si>
  <si>
    <t>mmol CH4 m-2 d-1</t>
  </si>
  <si>
    <t>Vitt et al. 1990</t>
  </si>
  <si>
    <t>Alberta</t>
  </si>
  <si>
    <t>Bleak Lake</t>
  </si>
  <si>
    <t>May- Oct</t>
  </si>
  <si>
    <t xml:space="preserve">Non-forested </t>
  </si>
  <si>
    <t>Forested Hummocks</t>
  </si>
  <si>
    <t>Picea mariana, Sphagnum fuscum</t>
  </si>
  <si>
    <t>mg CH4 m-2 yr-1</t>
  </si>
  <si>
    <t>This site had less than detection limits</t>
  </si>
  <si>
    <t>Bubier 1995</t>
  </si>
  <si>
    <t>Clay belt</t>
  </si>
  <si>
    <t>Boreal Shield</t>
  </si>
  <si>
    <t>Treed-low shrub</t>
  </si>
  <si>
    <t xml:space="preserve">Sphagnum fuscum </t>
  </si>
  <si>
    <t>Changed to the actual average of 3 values instead of the range</t>
  </si>
  <si>
    <t xml:space="preserve">Sphagnum angustifolium &amp; Sphagnum fallax </t>
  </si>
  <si>
    <t>lawn</t>
  </si>
  <si>
    <t>Open low-shrub</t>
  </si>
  <si>
    <t xml:space="preserve">Sphagnum fuscum &amp; Pleurozium schreberi </t>
  </si>
  <si>
    <t>Changed to the actual average of 3 values instead of the range (Included an open graminoid bog (30.22) other OlsB values were 3.2 and 7.2</t>
  </si>
  <si>
    <t xml:space="preserve">Open graminoid </t>
  </si>
  <si>
    <t>Sphagnum magellanicum &amp; Sphagnum angustifolium</t>
  </si>
  <si>
    <t>Bubier et al. 1993a/b</t>
  </si>
  <si>
    <t>Cochrane</t>
  </si>
  <si>
    <t>Open graminoid  Raised bog 1</t>
  </si>
  <si>
    <t>Sphagnum fuscum, Ledum groenglandicum, Picea mariana</t>
  </si>
  <si>
    <t>Sphagnum majus, Carex limosa, Rhynchospora alba</t>
  </si>
  <si>
    <t>Sphagnum capillifolium, Eriophorum spissum, Carex pauciflora</t>
  </si>
  <si>
    <t>Open low-shrub bog 7, 15</t>
  </si>
  <si>
    <t>Shagnum fuscum, Chamaedaphne calyculata, Ledum groenglandicum</t>
  </si>
  <si>
    <t>Sphagnum angustifolium, Carex oligosperma</t>
  </si>
  <si>
    <t>Sphagnum fuscum, Pleurozium schreberi, Sphagnum capillifolium, Eriophorum spissum</t>
  </si>
  <si>
    <t>Treed low-shrub bog 9, 14</t>
  </si>
  <si>
    <t>Sphagnum fuscum, Chamaedaphne calyculata, Picea mariana</t>
  </si>
  <si>
    <t>Carex oligosperma, sphagnum angustifolium, Carex exilis, Smilacina trifolia</t>
  </si>
  <si>
    <t>Pleurozium schreberi, Sphagnum capillifolium, Ledum groenlandicum</t>
  </si>
  <si>
    <t>Bubier et al. 1995</t>
  </si>
  <si>
    <t>Thompson</t>
  </si>
  <si>
    <t>May- Sept</t>
  </si>
  <si>
    <t>Open  low-shrub (BC1)</t>
  </si>
  <si>
    <t xml:space="preserve">Carpet </t>
  </si>
  <si>
    <t>Sphagnum riparium, Chamaedaphne calyculata, Carex paupercula, Vaccinium oxycoccus</t>
  </si>
  <si>
    <t>Open  low-shrub (BC3)</t>
  </si>
  <si>
    <t>Sphagnum angustifolium, Cladopedia fluitans, Vaccinium oxycoccus</t>
  </si>
  <si>
    <t>Open graminoid (RBC)</t>
  </si>
  <si>
    <t>Carpet</t>
  </si>
  <si>
    <t>Sphagnum riparium, Eriophorum spissum, Carex paupercula</t>
  </si>
  <si>
    <t>Roulet et al. 1992</t>
  </si>
  <si>
    <t>Carex spp., Sphagnum spp., leatherleaf, pale laurel, picea mariana, Larix laricina</t>
  </si>
  <si>
    <t>Seasonal flux</t>
  </si>
  <si>
    <t>Carex spp., Sphagnum spp., leatherleaf, pale laurel</t>
  </si>
  <si>
    <t>Newfoundland</t>
  </si>
  <si>
    <t>Hummocks</t>
  </si>
  <si>
    <t>June - November</t>
  </si>
  <si>
    <t>Open- low shrub</t>
  </si>
  <si>
    <t>hummock</t>
  </si>
  <si>
    <t>Spagnum sp., Cladina sp.,  low ericaceous shrubs (Gaylussacia sp.), rhododendron, herbs (Trichophorum cespitosum)</t>
  </si>
  <si>
    <t>Hollows</t>
  </si>
  <si>
    <t>hollow</t>
  </si>
  <si>
    <t>Teodoru et al. 2012</t>
  </si>
  <si>
    <t>Eastmain-1 Reservoir</t>
  </si>
  <si>
    <t>May-October</t>
  </si>
  <si>
    <t>mg C m-2 d-1</t>
  </si>
  <si>
    <t>Diffusive flux</t>
  </si>
  <si>
    <t>Pelletier et al. 2009</t>
  </si>
  <si>
    <t>Eastmain Reservoir</t>
  </si>
  <si>
    <t>June-September</t>
  </si>
  <si>
    <t>mmol m-2 d-1</t>
  </si>
  <si>
    <t>Mean summer fluxes</t>
  </si>
  <si>
    <t>mmol CO2 m-2 d-1</t>
  </si>
  <si>
    <t>Outside Eastmain Reservoir</t>
  </si>
  <si>
    <t>2005-2006</t>
  </si>
  <si>
    <t>Eastmain Reservoir-Grand Detour</t>
  </si>
  <si>
    <t>Hummock, Lawn, Water depression</t>
  </si>
  <si>
    <t>Annual CH4 fluxes from flux modelling with sesoanlity factor for cold season</t>
  </si>
  <si>
    <t>Eastmain Reservoir-Ruisseau Natel</t>
  </si>
  <si>
    <t>Eastmain Reservoir-Ruisseau Cache</t>
  </si>
  <si>
    <t>Outside Eastmain Reservoir-LLC</t>
  </si>
  <si>
    <t>Outside Eastmain Reservoir-Mosaik</t>
  </si>
  <si>
    <t>Outside Eastmain Reservoir-Sterne</t>
  </si>
  <si>
    <t>Liblik et al. 1997</t>
  </si>
  <si>
    <t>Northwest Territories</t>
  </si>
  <si>
    <t>Fort Simpson</t>
  </si>
  <si>
    <t>Taiga Plains</t>
  </si>
  <si>
    <t>July- Aug</t>
  </si>
  <si>
    <t>Open graminoid  Bog Collapse</t>
  </si>
  <si>
    <t>Bog Collapse</t>
  </si>
  <si>
    <t>Sphagnum riparium, Carex spp., Chamaedaphne calyculata, Smilacina trifolia, Andromeda glacucophylla</t>
  </si>
  <si>
    <t>Treed, low-shrub Bog</t>
  </si>
  <si>
    <t>Low  areas</t>
  </si>
  <si>
    <t>Sphagnum fuscum, Pleurozium schreberi, Cladina rangiferina, Ledum groenlandicum , Picea mariana, Vaccinium oxycocus</t>
  </si>
  <si>
    <t>Prater et al. 2007</t>
  </si>
  <si>
    <t>Northern Alberta</t>
  </si>
  <si>
    <t>2002-2003</t>
  </si>
  <si>
    <t>??? (couldn't find)</t>
  </si>
  <si>
    <t>intermediate between bog moat and mid-bog</t>
  </si>
  <si>
    <t>Sphagnum fuscum</t>
  </si>
  <si>
    <t>annual (think seasonal)</t>
  </si>
  <si>
    <t>New values, estimated from Fig. 5. and Separated out the two years. Think this is actually seasonal although not clear.</t>
  </si>
  <si>
    <t>mid-bog</t>
  </si>
  <si>
    <t>No Veg</t>
  </si>
  <si>
    <t>g CH4 m-2 y-1</t>
  </si>
  <si>
    <t>Pelletier et al. 2007</t>
  </si>
  <si>
    <t>100km East of  James Bay (LG2)</t>
  </si>
  <si>
    <t>Taiga Shield</t>
  </si>
  <si>
    <t>June-Aug</t>
  </si>
  <si>
    <t>Raised bog with poor fen margin</t>
  </si>
  <si>
    <t xml:space="preserve">Hummocks </t>
  </si>
  <si>
    <t>Chambers</t>
  </si>
  <si>
    <t xml:space="preserve">Sphagnum fuscum,  Chamaedaphne caluculata, Ledum groenlandicum, Rubus chamaemorus, Cladonia stellaris, </t>
  </si>
  <si>
    <t>Sphagnum balticum, Sphagnum pulchrum, Carex spp.</t>
  </si>
  <si>
    <t>Strack and Waddinton 2007</t>
  </si>
  <si>
    <t>Fen</t>
  </si>
  <si>
    <t>Poor fen</t>
  </si>
  <si>
    <t>St. Charles-de-Bellechasse_Control</t>
  </si>
  <si>
    <t>Mixedwood Plain</t>
  </si>
  <si>
    <t>Average</t>
  </si>
  <si>
    <t xml:space="preserve">Hummock </t>
  </si>
  <si>
    <t>g C m-2 season</t>
  </si>
  <si>
    <t>May 1 to August 31 = 123 days</t>
  </si>
  <si>
    <t>Jul 3 to Aug 20 and May 12 to June 9 (79 days) Control</t>
  </si>
  <si>
    <t>St. Charles-de-Bellechasse_Drained</t>
  </si>
  <si>
    <t>Jul 3 to Aug 20 and May 12 to June 9 (79 days) Experimental predrawdown</t>
  </si>
  <si>
    <t>Jun 10 to Aug 31 (93 days)</t>
  </si>
  <si>
    <t>May 12 to Aug 31 (112 days)</t>
  </si>
  <si>
    <t>May 9 to Aug 19 (103 days)</t>
  </si>
  <si>
    <t>May 13 - Sep 17</t>
  </si>
  <si>
    <t>May 6 - Oct 15</t>
  </si>
  <si>
    <t>May 4 - Aug 16</t>
  </si>
  <si>
    <t>pre-drawdown - control</t>
  </si>
  <si>
    <t>combined</t>
  </si>
  <si>
    <t>pre-drawdown - experimental</t>
  </si>
  <si>
    <t>1st season post - control</t>
  </si>
  <si>
    <t>2nd season post - control</t>
  </si>
  <si>
    <t>3rd season post - control</t>
  </si>
  <si>
    <t>Strack et al. 2004</t>
  </si>
  <si>
    <t>2001-2003</t>
  </si>
  <si>
    <t>April 15- Oct 31</t>
  </si>
  <si>
    <t>Overall</t>
  </si>
  <si>
    <t>average growing season</t>
  </si>
  <si>
    <t>Sphagnum rubellum, Chamaedaphne calyculata, Carex oligosperma</t>
  </si>
  <si>
    <t>Sphagnum papillosum, Carex limosa</t>
  </si>
  <si>
    <t>Sphagnum cuspidatum, Rhynchospora alba, Scirpus subterminalis</t>
  </si>
  <si>
    <t>Nov 1-April 15</t>
  </si>
  <si>
    <t>% winter flux 23.8</t>
  </si>
  <si>
    <t>% winter flux 14.4</t>
  </si>
  <si>
    <t>% winter flux 1.7</t>
  </si>
  <si>
    <t>Polytrichum strictum, Chamaedaphne calyculata</t>
  </si>
  <si>
    <t>Sphagnum magellanicum, Carex oligosperma</t>
  </si>
  <si>
    <t>Sphagnum papillosum, Sphagnum cuspidatum, Rhynchospora alba</t>
  </si>
  <si>
    <t>Poor Fen</t>
  </si>
  <si>
    <t>Bleak lake</t>
  </si>
  <si>
    <t>Nonforested Poor fen</t>
  </si>
  <si>
    <t>Poor-Hummocks</t>
  </si>
  <si>
    <t>Poor</t>
  </si>
  <si>
    <t>Carex tenuiflora, Sphagnum teres</t>
  </si>
  <si>
    <t>g m-2 season-1</t>
  </si>
  <si>
    <t>1994&amp;1996</t>
  </si>
  <si>
    <t>Open graminoid, poor fen</t>
  </si>
  <si>
    <t>Carpet (FC1 &amp; FC2)</t>
  </si>
  <si>
    <t>Sphagnum  riparium, Carex aquatilis, Carex limosa, Carex paupercula</t>
  </si>
  <si>
    <t>Bubier et al. 2005</t>
  </si>
  <si>
    <t xml:space="preserve">Treed- low shrub poor fen </t>
  </si>
  <si>
    <t>Hollow (FC3)</t>
  </si>
  <si>
    <t>Cladopodiella flutans, Sphagnum angustifolium, Vaccinium oxycoccus</t>
  </si>
  <si>
    <t>Open graminoid , Poor fen</t>
  </si>
  <si>
    <t xml:space="preserve">Lawn </t>
  </si>
  <si>
    <t>Open graminoid , Poor fen (28)</t>
  </si>
  <si>
    <t>Sphagnum magellanicum, Sphagnum angustifolium, S. fallax</t>
  </si>
  <si>
    <t>mg CH4 m-2 d-2</t>
  </si>
  <si>
    <t>Open- low shrub, Poor fen (27)</t>
  </si>
  <si>
    <t>mg CH4 m-2 d-3</t>
  </si>
  <si>
    <t xml:space="preserve">Open- low shrub, Poor fen </t>
  </si>
  <si>
    <t>Open- low shrub, Poor fen (31)</t>
  </si>
  <si>
    <t xml:space="preserve">Ontario </t>
  </si>
  <si>
    <t>Open Poor fen (5+ 6)</t>
  </si>
  <si>
    <t>Sphagnum fuscum, Polytrichum strictum, Ledum groenlandicum, Chamaedaphne calyculata</t>
  </si>
  <si>
    <t>Menyanthes trifolia, Sphagnum fallax, carex limso, carex oligosperma</t>
  </si>
  <si>
    <t>Betula pumila, sphagnum magellanicum, Sphagnum capillifolium, Kalmia polifolia</t>
  </si>
  <si>
    <t>Low Boreal Forest</t>
  </si>
  <si>
    <t>Open non forested</t>
  </si>
  <si>
    <t>Betula, sweet gale, narrowleaf spirea, bog willow, royal fern, Carex spp., dewberry</t>
  </si>
  <si>
    <t>McLaughlin unpublished data</t>
  </si>
  <si>
    <t>White River Ontario</t>
  </si>
  <si>
    <t>2009-2011</t>
  </si>
  <si>
    <t>May - November</t>
  </si>
  <si>
    <t>Open graminoid  Poor Fen</t>
  </si>
  <si>
    <t>Sphagnum teres, Carex spp., Chamaedaphne calyculata,  Andromeda glacucophylla, Vaccinium oxycoccus, Drosera rotundifolia</t>
  </si>
  <si>
    <t>Schefferville</t>
  </si>
  <si>
    <t>June-Sept</t>
  </si>
  <si>
    <t>Sphagnum pulchrum, Cladopodiella fluitans</t>
  </si>
  <si>
    <t>Sphagnum lindbergii, S. pulchrum, S. annulatum, Cladopodiella fluitans, Carex limosa</t>
  </si>
  <si>
    <t>Ribbed Fen</t>
  </si>
  <si>
    <t>Ridges-String</t>
  </si>
  <si>
    <t>Scirpus cespitosus, Chamaedaphne calyculata, Sphagnum spp., Betula michauxii</t>
  </si>
  <si>
    <t>Ridges-Flark</t>
  </si>
  <si>
    <t>Carex limosa</t>
  </si>
  <si>
    <t>Horizonal poor fen</t>
  </si>
  <si>
    <t>horizontal</t>
  </si>
  <si>
    <t>Sphagnum lindbergii, Carex limosa</t>
  </si>
  <si>
    <t>Moore 1989</t>
  </si>
  <si>
    <t>May-Oct</t>
  </si>
  <si>
    <t>RichInt Fen</t>
  </si>
  <si>
    <t>Coastal Fen Site</t>
  </si>
  <si>
    <t>Open graminoid  fen</t>
  </si>
  <si>
    <t>wet sedge</t>
  </si>
  <si>
    <t>S.caespitosus, C. limosa, C. chordorhizza, S. scorpiodes</t>
  </si>
  <si>
    <t xml:space="preserve">Moosenee/ Tamarack fen </t>
  </si>
  <si>
    <t xml:space="preserve">Treed low-shrub fen </t>
  </si>
  <si>
    <t>Larix laricina, Picea mariana, S. fuscum</t>
  </si>
  <si>
    <t>Alnus rugosa, Larix laricina</t>
  </si>
  <si>
    <t>Moosenee fen (MF) Site</t>
  </si>
  <si>
    <t>Raised estuary- Treed</t>
  </si>
  <si>
    <t>Larix laricina, Picea mariana, Alnus rugosa, Ledum groenlandicum, Betula pumila, Sphagnum spp.</t>
  </si>
  <si>
    <t>Interior Fen (IF) Site</t>
  </si>
  <si>
    <t>Treed fen</t>
  </si>
  <si>
    <t xml:space="preserve">Larix laricina, picea mariana, Sphagnum fuscum, </t>
  </si>
  <si>
    <t>Interior Fen</t>
  </si>
  <si>
    <t xml:space="preserve">low-wet </t>
  </si>
  <si>
    <t>C. lasiocarpa, S. caespitosus, S. pedicellaris, M. gale</t>
  </si>
  <si>
    <t>C. chordorhizza, C livida, C. limosa, M. trifoliata</t>
  </si>
  <si>
    <t>Treed low-shrub</t>
  </si>
  <si>
    <t>Hummock/mound</t>
  </si>
  <si>
    <t>Picea mariana, Ledum groenlandicum</t>
  </si>
  <si>
    <t>Open low-shrub fen</t>
  </si>
  <si>
    <t>Not defined</t>
  </si>
  <si>
    <t>Betula pumila, Salix pedicellaris, Picea mariana</t>
  </si>
  <si>
    <t>Coastal Fen (CF) Site</t>
  </si>
  <si>
    <t xml:space="preserve">Treed low shrub fen </t>
  </si>
  <si>
    <t>ridges</t>
  </si>
  <si>
    <t>Larix laricina, B. pumila, Myrica gale, sedges, forbes, horsetails, bryophytes</t>
  </si>
  <si>
    <t>Betula pumila, Myrica gale, Andromeda glaucophylla, Sphagnum warnistorfi</t>
  </si>
  <si>
    <r>
      <t xml:space="preserve">Larix laricina, Betula pumila, C. calyculata, </t>
    </r>
    <r>
      <rPr>
        <sz val="11"/>
        <color theme="1"/>
        <rFont val="Calibri"/>
        <family val="2"/>
        <scheme val="minor"/>
      </rPr>
      <t>S. fuscum</t>
    </r>
  </si>
  <si>
    <t>Coastal Tamarck Fen Site</t>
  </si>
  <si>
    <r>
      <t xml:space="preserve"> Myrica gale, Equisetum fluviatile, </t>
    </r>
    <r>
      <rPr>
        <sz val="11"/>
        <color theme="1"/>
        <rFont val="Calibri"/>
        <family val="2"/>
        <scheme val="minor"/>
      </rPr>
      <t>Sphagnum warnistorfi</t>
    </r>
  </si>
  <si>
    <t>Churchhill</t>
  </si>
  <si>
    <t>Hollows and Hummocks</t>
  </si>
  <si>
    <t>Carex aquatilis, Carex limosa, Carex saxatilis, Carex gynocrates, Scorpidum turgescens</t>
  </si>
  <si>
    <t>1989 - 1990</t>
  </si>
  <si>
    <t>Jun - Aug/Setp</t>
  </si>
  <si>
    <t xml:space="preserve">Extensive-Non patterned </t>
  </si>
  <si>
    <t>Moist fen</t>
  </si>
  <si>
    <t>June 21 - Sep 11</t>
  </si>
  <si>
    <t>Wet fen</t>
  </si>
  <si>
    <t>Rouse et al. 2002</t>
  </si>
  <si>
    <t>1994. 1996-1999</t>
  </si>
  <si>
    <t>Long et al. 2010</t>
  </si>
  <si>
    <t xml:space="preserve">80km northeast of Athabaska </t>
  </si>
  <si>
    <t>May- Sept (125 days)</t>
  </si>
  <si>
    <t>Moderately rich treed fen</t>
  </si>
  <si>
    <t>relatively flat</t>
  </si>
  <si>
    <t>stunted Picea mariana and Larix laricina, Betula pumila, Sphagnum spp, Menyanthes trifoliata, Drepanocladus spp., Carex spp.</t>
  </si>
  <si>
    <t>Suyker et al. 1996</t>
  </si>
  <si>
    <t>Prince Albert</t>
  </si>
  <si>
    <t>Mid May- early Oct</t>
  </si>
  <si>
    <t>Rich</t>
  </si>
  <si>
    <t xml:space="preserve">Carex lasiocarpa, Betula pumila, Menyanthes trifoliata, Drepanocladus spp. </t>
  </si>
  <si>
    <t>mg CH4 m-2 h-1</t>
  </si>
  <si>
    <t>g C m-2 season-1</t>
  </si>
  <si>
    <t>Colinton Creek</t>
  </si>
  <si>
    <t>Forested</t>
  </si>
  <si>
    <t>Rich-forested hummocks</t>
  </si>
  <si>
    <t>Larix laricina, Tomenthypnum nitens</t>
  </si>
  <si>
    <t>Nonforested Open Rich fen</t>
  </si>
  <si>
    <t>Carex lasiocarpa, Drepanocladus vernicosus</t>
  </si>
  <si>
    <t>Rask et al. 2002</t>
  </si>
  <si>
    <t>Central Saskatchewan</t>
  </si>
  <si>
    <t>1994/1995</t>
  </si>
  <si>
    <t>May23- Oct 21, 1994 and April 20-July 18, 1995</t>
  </si>
  <si>
    <t xml:space="preserve">Patterned, minerotrophic fen </t>
  </si>
  <si>
    <t>Edge- 0.6m of peat</t>
  </si>
  <si>
    <t>Neutral</t>
  </si>
  <si>
    <t>Carex dominated intermixed with mosses, Betula glandulifera, Salix pedicellaris</t>
  </si>
  <si>
    <t>mmol CH4 m-2 seasonal-1</t>
  </si>
  <si>
    <t>Shallow bay 1.6m of peat</t>
  </si>
  <si>
    <t>Deep Bay-1.6m of peat</t>
  </si>
  <si>
    <t>String 2.3m of peat</t>
  </si>
  <si>
    <t>Flark 2.3m of peat (Submerged peat area)</t>
  </si>
  <si>
    <t>Internal lawn</t>
  </si>
  <si>
    <t>Sphagnum riparium, Sphagnum angustifolium and Carex sp.</t>
  </si>
  <si>
    <t>Sphagnum riparium, S. angustifolium, Carex spp.</t>
  </si>
  <si>
    <t>Whiting and Chanton 2001</t>
  </si>
  <si>
    <t xml:space="preserve">Alberta </t>
  </si>
  <si>
    <t>North of Edmonton</t>
  </si>
  <si>
    <t>1994-1996</t>
  </si>
  <si>
    <t>Carex</t>
  </si>
  <si>
    <t>mole CH4 m-2 yr-1</t>
  </si>
  <si>
    <t>annual (used additional measurements during March to characterize winter emissions, but values not given)</t>
  </si>
  <si>
    <t>Rich fen</t>
  </si>
  <si>
    <t>Intermediate fen</t>
  </si>
  <si>
    <t xml:space="preserve">Treed- low shrub </t>
  </si>
  <si>
    <t>Carpet/Pool</t>
  </si>
  <si>
    <t>Warnstorfia exannulatus, Sphagnum majus</t>
  </si>
  <si>
    <t xml:space="preserve">Open- low shrub </t>
  </si>
  <si>
    <t>Open- low shrub (20)</t>
  </si>
  <si>
    <t>Sphagnum fuscum, Pleurozium schreberi, Sphagnum angustifolium</t>
  </si>
  <si>
    <t>Open graminoid fen (21)</t>
  </si>
  <si>
    <t>Treed- low shrub, Rich</t>
  </si>
  <si>
    <t>Treed Intermediate fen (4)</t>
  </si>
  <si>
    <t>5.4-5.5</t>
  </si>
  <si>
    <t>Sphagnum magellanicum, Picea mariana, Larix laricina</t>
  </si>
  <si>
    <t xml:space="preserve"> Warnstorfia exannulatus, Menyanthes trifolia</t>
  </si>
  <si>
    <t xml:space="preserve">Betula pumila, Sphagnum angustifolium </t>
  </si>
  <si>
    <t>Open Rich fen (3 + 13)</t>
  </si>
  <si>
    <t>5.5-6.3</t>
  </si>
  <si>
    <t xml:space="preserve"> Larix laricina, Sphagnum magellanicum, Ledum groenlandicum, Sphagnum fuscum, Juniperus communis, Junipernus horizontalis</t>
  </si>
  <si>
    <t>Warnstorfia exannulatus, Menyanthes trifolia, Sphagnum fallax, Sphagnum warnstorfi</t>
  </si>
  <si>
    <t>Carex lasiocarpa, Potentilla fruticosa, Scirpus hudsonianus, Sphagnum warnstorfi, Sphagnum russowii, Sphagnum angustifolium</t>
  </si>
  <si>
    <t>Bubier et al. 1995, 2005</t>
  </si>
  <si>
    <t>Carpet (FC4 &amp; ZF3)</t>
  </si>
  <si>
    <t>Warnstorfia exannulata, Carex limosa, Carex aquatilis, Sphagnum riparium, Warnstorfia exannulata, Carex rostrata, Potentilla palustris</t>
  </si>
  <si>
    <t>Hollow (ZF1, ZF2)</t>
  </si>
  <si>
    <t>Limprichtia revolvens, Salix pedicillaris, Carex chordorrhiza, Betula pumila var. grandulifera, Meesia triquetra, Carex tenuiflora, Menyanthes trifoliata</t>
  </si>
  <si>
    <t>Treed- low shrub</t>
  </si>
  <si>
    <t>Hollow (TF2)</t>
  </si>
  <si>
    <t>Larix larcina, Sphagnum warnstorfii, Tomenthypnum, Salix pedicillaris</t>
  </si>
  <si>
    <t>Treed- tall shrub</t>
  </si>
  <si>
    <t>Hummock (TF2)</t>
  </si>
  <si>
    <t>Carpet (TF4)</t>
  </si>
  <si>
    <t>Scorpidium scorpioides, Menyanthes trifoliata, Andromeda glaucophylla</t>
  </si>
  <si>
    <t>Open graminoid  Rich Fen</t>
  </si>
  <si>
    <t>Scorpidium scorpioides, Limprichtia revolves, Warnstorfia exannulata, Drepanocladus aduncus, Carex spp.,  Myrica trifoliata, Ultricularia cornuta, Equisetum fluviatile</t>
  </si>
  <si>
    <t>Open low-shrub Rich fen</t>
  </si>
  <si>
    <t>Scorpidium scorpioides, Carex spp., Myrica gale, Myrica trifoliata, Equisetum fluviatile</t>
  </si>
  <si>
    <t>Treed, low-shrub Rich Fen</t>
  </si>
  <si>
    <t>Tomenthypnum nitens, Andromeda glacucophylla, Carex spp., Ledum groenlandicum, Equisetum fluviatile, Betula glandulosa, Aulacomnium palustre</t>
  </si>
  <si>
    <t>30km East of  James Bay (LG1)</t>
  </si>
  <si>
    <t>Patterned rich fen with treed islands</t>
  </si>
  <si>
    <t>5-6.6</t>
  </si>
  <si>
    <t>Sphagnum fuscum, Pleurozium schreberi, Chamaedaphne caluculata, Ledum groenlandicum, Rubus chamaemorus</t>
  </si>
  <si>
    <t>Moderate fen</t>
  </si>
  <si>
    <t>Loeskhypnum badium, Scirpus cespitosus</t>
  </si>
  <si>
    <t>Moderate Fen</t>
  </si>
  <si>
    <t>Strings</t>
  </si>
  <si>
    <t>Sphagnum russowii, Sphagmnum fuscum,  Sphagnum angustifolium, Empetrum nigrum, Pleurozium schreberi, Dicranumundulatum, Polytrichum stricum</t>
  </si>
  <si>
    <t>Sphagnum russowii, Sphagmnum fuscum,  Sphagnum angustifolium</t>
  </si>
  <si>
    <t>Rich Fen</t>
  </si>
  <si>
    <t>Carex aquatalis, Habernaria dilata</t>
  </si>
  <si>
    <t>Potentilla fruticosa</t>
  </si>
  <si>
    <t xml:space="preserve">Sphagnum warnstorfii, Tomenthypnum nitens </t>
  </si>
  <si>
    <t>Horizonal Rich</t>
  </si>
  <si>
    <t>Sphagnum lindbergii, Carex rarifloa</t>
  </si>
  <si>
    <t>Moore and Knowles 1987</t>
  </si>
  <si>
    <t>Transitional fen</t>
  </si>
  <si>
    <t xml:space="preserve">Intermediate </t>
  </si>
  <si>
    <t xml:space="preserve">Carex rostrata, and Sphagnum russowii, Chamaedaphne calycuta </t>
  </si>
  <si>
    <t>Scirpus caepitosus, C. aquatalis and Scorpidium scorpoides</t>
  </si>
  <si>
    <t>C. rostrata, Carex chordarhizza</t>
  </si>
  <si>
    <t>Very Rich fen</t>
  </si>
  <si>
    <t>Very Rich</t>
  </si>
  <si>
    <t>Carex aquatalis, Sphagnum warstorfia</t>
  </si>
  <si>
    <t>Moore et al. 1990</t>
  </si>
  <si>
    <t>Nonforested fen</t>
  </si>
  <si>
    <t>Carex limosa, Carex rostrata</t>
  </si>
  <si>
    <t>Andromeda glaucophylla, Carex limosa, C.chordorriza, Menyantheses trifoliata, Drosera intermedia</t>
  </si>
  <si>
    <t>Patterned nonforested fen</t>
  </si>
  <si>
    <t>Ridges</t>
  </si>
  <si>
    <t>Betula michauxii, Smilacina trifolia, Carex caluculata, S. cespitosus</t>
  </si>
  <si>
    <t xml:space="preserve">Diffusive flux. </t>
  </si>
  <si>
    <t>Trudeau et al. 2013</t>
  </si>
  <si>
    <t>Annual winter 12% of the flux</t>
  </si>
  <si>
    <t>Annual winter 11% of the flux</t>
  </si>
  <si>
    <t>Laforge- Abeille</t>
  </si>
  <si>
    <t>2009-10</t>
  </si>
  <si>
    <t>June-August, October</t>
  </si>
  <si>
    <t>equalized oligotrophic patterened fen</t>
  </si>
  <si>
    <t>Sphagnum fuscum, Vaccinium oxycoccos, Menyanthes trifoliata, Smilacina trifolia, Carex oligosperma, Kalmia polifolia, Cassandra calyculata</t>
  </si>
  <si>
    <t xml:space="preserve">Mean seasonal fluxes. </t>
  </si>
  <si>
    <t>Sphagnum cuspidatum, Gymnocolea inflata, Vaccinium oxycoccos Menyanthes trifoliata, Carex limosa, Carex oligosperma</t>
  </si>
  <si>
    <t>Sphagnum lawn</t>
  </si>
  <si>
    <t>Sphagnum cuspidatum, Vaccinium oxycoccos, Drosera rotundifolia, Menyanthes trifoliata, Smilacina trifolia, Aster nemoralis, Carex limosa, Carex oligosperma, Kalmia polifolia, Andromeda glauca, Cassandra calyculata</t>
  </si>
  <si>
    <t>Cyperaceae lawn</t>
  </si>
  <si>
    <t>Gymnocolea inflata, Vaccinium oxycoccos, Aster nemoralis, Kalmia polifolia, Andromeda glauca, Cassandra calyculata</t>
  </si>
  <si>
    <t>June-August</t>
  </si>
  <si>
    <t>Peat Type2</t>
  </si>
  <si>
    <t># of Growing Days in Season Modelled</t>
  </si>
  <si>
    <t># of Growing Days in Season in paper</t>
  </si>
  <si>
    <t>NEE (daily) (g CO2 m-2 d-1)</t>
  </si>
  <si>
    <t>Seasonal from daily</t>
  </si>
  <si>
    <t>NEE (Annual or seasonal) (g CO2 m-2 season or y-1)</t>
  </si>
  <si>
    <t>Daily CO2 Respration</t>
  </si>
  <si>
    <t>Annual or seasonal ER (g CO2 m-2 y-1)</t>
  </si>
  <si>
    <t>Annual or seasonal CO2 Respration</t>
  </si>
  <si>
    <t>season</t>
  </si>
  <si>
    <t>mg m-2 s-1</t>
  </si>
  <si>
    <t>Annual (May 1 to April 30)</t>
  </si>
  <si>
    <t>g CO2-C m-2 year</t>
  </si>
  <si>
    <t>year</t>
  </si>
  <si>
    <t>g CO2-C m-2 season-1</t>
  </si>
  <si>
    <t>270 to 937</t>
  </si>
  <si>
    <t>Modelled ER values</t>
  </si>
  <si>
    <t>November-April</t>
  </si>
  <si>
    <t>Humphreys unpublished 16 yr avg</t>
  </si>
  <si>
    <t>corrected</t>
  </si>
  <si>
    <t xml:space="preserve"> g C m-2 y-1</t>
  </si>
  <si>
    <t>November-October</t>
  </si>
  <si>
    <t>Cummulative NEE</t>
  </si>
  <si>
    <t>Humphreys et al. 2006</t>
  </si>
  <si>
    <t>Jul-Aug</t>
  </si>
  <si>
    <t>low shrub domed bog</t>
  </si>
  <si>
    <t>g C m-2 d-1</t>
  </si>
  <si>
    <t>g C m-2 period-1</t>
  </si>
  <si>
    <t>NEE is annual. Values taken as the negative of NEP</t>
  </si>
  <si>
    <t>Humphreys et al. 2014</t>
  </si>
  <si>
    <t>g C m-2 yr-1</t>
  </si>
  <si>
    <t>May-August</t>
  </si>
  <si>
    <t>NEE is seasonal from May- Aug.  Values taken as the negative of NEP</t>
  </si>
  <si>
    <t>1998-1999</t>
  </si>
  <si>
    <t>1999-2000</t>
  </si>
  <si>
    <t>2000-2001</t>
  </si>
  <si>
    <t>2001-2002</t>
  </si>
  <si>
    <t>2003-2004</t>
  </si>
  <si>
    <t>2004-2005</t>
  </si>
  <si>
    <t>2006-2007</t>
  </si>
  <si>
    <t>2007-2008</t>
  </si>
  <si>
    <t>2008-2009</t>
  </si>
  <si>
    <t>2009-2010</t>
  </si>
  <si>
    <t>Moore et al. 2002</t>
  </si>
  <si>
    <t>May-Sep</t>
  </si>
  <si>
    <t xml:space="preserve">Kalmia angustifolium, Maianthemum trifolium, Eriophorum vaginatum, Sphagnum magellanicum, Sphagnum angustifolium </t>
  </si>
  <si>
    <t>g CO2 m-2 d-1</t>
  </si>
  <si>
    <t>Chamaedaphne calyculata, kalmia angustifolium, Ledum groenlandicum, Sphagnum capillifolium, Sphagnum fuscum</t>
  </si>
  <si>
    <t>May</t>
  </si>
  <si>
    <t>mg CO2 m-2 s-1</t>
  </si>
  <si>
    <t>July</t>
  </si>
  <si>
    <t>September</t>
  </si>
  <si>
    <t>Lafleur et al. 2001</t>
  </si>
  <si>
    <t>June 1998- May 1999</t>
  </si>
  <si>
    <t xml:space="preserve"> raised ombrotrophic, low shrub</t>
  </si>
  <si>
    <t>Sphagnum angustifolium, Sphagnum rubellum, Sphagnum magellanicum, Eriophorum vaginatum, Kalmia angustifolia, Vaccinium myrtillodes</t>
  </si>
  <si>
    <t xml:space="preserve"> g CO2 m-2 yr-1</t>
  </si>
  <si>
    <t>g CO2 m-2 y-1</t>
  </si>
  <si>
    <t>Lafleur et al. 2003</t>
  </si>
  <si>
    <t>ombrotrophic, low shrub</t>
  </si>
  <si>
    <t>Low growing evergreens (ericaceous shrubs)</t>
  </si>
  <si>
    <t>g CO2 m-2 yr-1</t>
  </si>
  <si>
    <t>Spring (April-May)</t>
  </si>
  <si>
    <t>g CO2 m-2 period-1</t>
  </si>
  <si>
    <t>Summer (June-September)</t>
  </si>
  <si>
    <t>Fall (October-November)</t>
  </si>
  <si>
    <t>Winter (December-March)</t>
  </si>
  <si>
    <t>June 1999- May 2000</t>
  </si>
  <si>
    <t>June 2000- May 2001</t>
  </si>
  <si>
    <t>June 2001- May 2002</t>
  </si>
  <si>
    <t>g CO2-C m-2 yr-1</t>
  </si>
  <si>
    <t>Strilesky and Humphreys 2012</t>
  </si>
  <si>
    <t>Mer Bleue(Ottawa, ON)</t>
  </si>
  <si>
    <t>Treed Bog</t>
  </si>
  <si>
    <t>Sphagnum moss spp, Picea marianana,  small shrubs</t>
  </si>
  <si>
    <t>g C m-2 y-1</t>
  </si>
  <si>
    <t>Open shrub</t>
  </si>
  <si>
    <t>Sphagnum moss spp,  small shrubs</t>
  </si>
  <si>
    <t>Roehm and Roulet 2003</t>
  </si>
  <si>
    <t>75km North of Montreal</t>
  </si>
  <si>
    <t>Feb-Dec</t>
  </si>
  <si>
    <t>raised-Open Ombrotrophic bog</t>
  </si>
  <si>
    <t>Sphagnum fuscum, Sphagnum russowii, Lycopodium mosses, Chamaedaphne calyculata, Ledum groenlandicum</t>
  </si>
  <si>
    <t>g CO2-C m-2 y-1</t>
  </si>
  <si>
    <t>Nov to Oct (Annual)</t>
  </si>
  <si>
    <t>2010-11</t>
  </si>
  <si>
    <t>2011-12</t>
  </si>
  <si>
    <t>2012-13</t>
  </si>
  <si>
    <t>May-Aug seasonal</t>
  </si>
  <si>
    <t>May through August</t>
  </si>
  <si>
    <t>Kinoje Bog</t>
  </si>
  <si>
    <t>2010-2012</t>
  </si>
  <si>
    <t>Carling Lake Site (C1 and C2)</t>
  </si>
  <si>
    <t>mg CO2 m-2 hr-1</t>
  </si>
  <si>
    <t xml:space="preserve">Kinosheo-Sphagnum Bog Site </t>
  </si>
  <si>
    <t>g CO2 m-2 season-1</t>
  </si>
  <si>
    <t>Neuman et al. 1994</t>
  </si>
  <si>
    <t>Lake Kinosheo</t>
  </si>
  <si>
    <t xml:space="preserve">June-July (33 days) </t>
  </si>
  <si>
    <t>Raised open</t>
  </si>
  <si>
    <t>Cladonia alpestris, &amp; Sphagnum sp.</t>
  </si>
  <si>
    <t>g m-2 d-1</t>
  </si>
  <si>
    <t>Crow Lake B - 1 year post fire</t>
  </si>
  <si>
    <t>March - October</t>
  </si>
  <si>
    <t>Ombrotrophic sphagnum dominated bog</t>
  </si>
  <si>
    <t>umol CO2 m-2 s-1</t>
  </si>
  <si>
    <t>mol C m-2 y-1</t>
  </si>
  <si>
    <t>year?</t>
  </si>
  <si>
    <t>Pelican Lake B - 4 years post fire</t>
  </si>
  <si>
    <t>2003-2006</t>
  </si>
  <si>
    <t>Red Earth Creek B- 21 years post fire</t>
  </si>
  <si>
    <t>Utikuma Lake B - 51 years post fire</t>
  </si>
  <si>
    <t>Red Earth Creek U- 54 years post fire</t>
  </si>
  <si>
    <t>Wabasca B - 63 years post fire</t>
  </si>
  <si>
    <t>Utikuma Lake U - 88 years post fire</t>
  </si>
  <si>
    <t>Pelican Lake U - 90 years post fire</t>
  </si>
  <si>
    <t>Crow Lake U - 102 year post fire</t>
  </si>
  <si>
    <t>Wabasca U - 102 years post fire</t>
  </si>
  <si>
    <t>Anzac</t>
  </si>
  <si>
    <t>2007 - 2010</t>
  </si>
  <si>
    <t>June 1 to September 30</t>
  </si>
  <si>
    <t>Peat Plateau bog</t>
  </si>
  <si>
    <t>Pelletier et al. 2011</t>
  </si>
  <si>
    <t>Lac la Caron</t>
  </si>
  <si>
    <t>2006-2008</t>
  </si>
  <si>
    <t>Ombrotrophic peatland</t>
  </si>
  <si>
    <t>High Hummock</t>
  </si>
  <si>
    <t xml:space="preserve">Kalmia angustifolia, Chamaedaphne calyculata, Kalmia polifolia, Andromeda glaucophylla, Rubus chamaemorus, Vaccinium oxycoccus, Sphagnum fuscum, Sphagnum angustifolium, Mylia anomala </t>
  </si>
  <si>
    <t>Rectangular hyperbola curve fit parameter</t>
  </si>
  <si>
    <t>Kalmia angustifolia, Chamaedaphne calyculata, Kalmia polifolia, Andromeda glaucophylla, Rubus chamaemorus, Carex spp., Eriophorum spissum, Vaccinium oxycoccus, Sphagnum fuscum, Sphagnum angustifolium</t>
  </si>
  <si>
    <t>Chamaedaphne calyculata, Kalmia polifolia, Vaccinium oxycoccus, Carex oligosperma, Carex spp., Eriophorum spp., Drosera rotundifolia, Sphagnum fallax, Mylia anomala</t>
  </si>
  <si>
    <t>Carex spp., Eriophorum spp., Sphagnum cuspidatum, Cladopodiella fluitans</t>
  </si>
  <si>
    <t>n/a</t>
  </si>
  <si>
    <t>Strachan et al. 2016</t>
  </si>
  <si>
    <t>2007-2012</t>
  </si>
  <si>
    <t>Hummock, Lawn, Hollow</t>
  </si>
  <si>
    <t>Sphagnum fuscum, Sphagnum fallax, Sphagnum cuspidatum, Carex spp., Kalmia angustigolia, Picea mariana, Chamaedaphne calyculata</t>
  </si>
  <si>
    <t>Diffusive flux. There are no respiration values</t>
  </si>
  <si>
    <t>Wang et al. 2018</t>
  </si>
  <si>
    <t>Robinson's Pasture</t>
  </si>
  <si>
    <t>2014-2015</t>
  </si>
  <si>
    <t>Growing seasons (April 10, 2014-November 20, 2014/April 10, 2015-Agust 2015)</t>
  </si>
  <si>
    <t>Boreal Bog</t>
  </si>
  <si>
    <t>Hummock, hollow, pool</t>
  </si>
  <si>
    <t>Sphagnum warnstorfii, Sphagnum capillifolium, Cladina spp., Trichophorum cespitosum, Gaylussacia spp., R. groenlandicum</t>
  </si>
  <si>
    <t>Non-growing season (November 21, 2014-April 9, 2015)</t>
  </si>
  <si>
    <t>Annual (April 2014-August 2015)</t>
  </si>
  <si>
    <t>umol m-2 s-1</t>
  </si>
  <si>
    <t>min daily average NEE</t>
  </si>
  <si>
    <t>Chasmer et al. 2012</t>
  </si>
  <si>
    <t>Nortwest Territories</t>
  </si>
  <si>
    <t>Scotty Creek Watershed</t>
  </si>
  <si>
    <t>April 26-June 6</t>
  </si>
  <si>
    <t>Flat ombrotrophic bog</t>
  </si>
  <si>
    <t xml:space="preserve">Flat </t>
  </si>
  <si>
    <t>Sphagnum capillifolium and Sphagnum fuscum</t>
  </si>
  <si>
    <t>Could be an average of 3 sites. There was permafrost in the study but not in this area. ER is the average midday total respiration</t>
  </si>
  <si>
    <t>2013-2016? (multi-year average)</t>
  </si>
  <si>
    <t>1 January - 31 December</t>
  </si>
  <si>
    <t>collapse scar bog</t>
  </si>
  <si>
    <t xml:space="preserve">Carex oligosperma, Sphagnum magellanicum, Sphagnum papillosum </t>
  </si>
  <si>
    <t>Open Poor fen</t>
  </si>
  <si>
    <t xml:space="preserve">May-Sept  </t>
  </si>
  <si>
    <t>Strack et al. 2006</t>
  </si>
  <si>
    <t>St. Charles- de- Bellechasse</t>
  </si>
  <si>
    <t>July-Oct Day (184-292)</t>
  </si>
  <si>
    <t>Poor Open fen</t>
  </si>
  <si>
    <t>May-Sept (Day 132-267)</t>
  </si>
  <si>
    <t>July3rd-Aug 20th 2001 &amp; May 12- June 9 2002</t>
  </si>
  <si>
    <t xml:space="preserve">Hummock  </t>
  </si>
  <si>
    <t>Glenn et al. 2006</t>
  </si>
  <si>
    <t>North-Central Alberta</t>
  </si>
  <si>
    <t>May 19 -Oct 16</t>
  </si>
  <si>
    <t>Poor fen-patterned</t>
  </si>
  <si>
    <t>Open, wet pools or flarks, hummocks and Hollows</t>
  </si>
  <si>
    <t>Andromeda polifolia, Carex limosa, Sphagnum spp. (S. angustifolium, S. magellanicum, S. fuscum</t>
  </si>
  <si>
    <t>g C m-2 6months-1</t>
  </si>
  <si>
    <t>g C m-2 6months -1</t>
  </si>
  <si>
    <t>Adkinson et al. 2011</t>
  </si>
  <si>
    <t>poor fen</t>
  </si>
  <si>
    <t>Sphagnum spp. (S. angustifolium, S. magellanicum, S. fuscum</t>
  </si>
  <si>
    <t>2004-2006</t>
  </si>
  <si>
    <t>g CO2m-2 d-1</t>
  </si>
  <si>
    <t>Trudeau et al. 2014</t>
  </si>
  <si>
    <t>La Grande river, James Bay</t>
  </si>
  <si>
    <t>Annual values</t>
  </si>
  <si>
    <t>Oligotrophic patterned poor fen</t>
  </si>
  <si>
    <t>Total of all ecotypes (pool, hollow, lawn, hummock, peatland)</t>
  </si>
  <si>
    <t xml:space="preserve">Hollows </t>
  </si>
  <si>
    <t>Sphagnum cuspidatum, Gymnocolea inflata, Vaccinium oxycoccos, Menyanthese trifoliata, Carex limosa, Carex oligosperma, Cassandra calyculata</t>
  </si>
  <si>
    <t>Lawns</t>
  </si>
  <si>
    <t>g CO2m-2 d-1 (annual)</t>
  </si>
  <si>
    <t>Sphagnum fuscum,  Vaccinium oxycoccos, Cassandra calyculata,  Kalmia polifolia, Carex limosa, Carex oligosperma, Smilacina trifolia, Ledum groenlandicum, Menyanthese trifoliata, Empetrum nigrum, Rubus chamaemorus, Picea mariana</t>
  </si>
  <si>
    <t>Gymnocolea inflata, Vaccinium oxycoccos, Cassandra calyculata, Aster nemoralis, Kalmia polifolia, Andromeda glauca, Drosera rotundifolia, Coptis groenlandica, Rynchospora alba, Carex limosa, Carex oligosperma, Smilacina trifolia</t>
  </si>
  <si>
    <t xml:space="preserve">Annual </t>
  </si>
  <si>
    <t>ALL</t>
  </si>
  <si>
    <t>g CO2 m-2 yr-1 (Annual)</t>
  </si>
  <si>
    <t>Winter</t>
  </si>
  <si>
    <t>g CO2m-2 d-1 (winter)</t>
  </si>
  <si>
    <t>Total winter flux</t>
  </si>
  <si>
    <t>g CO2 m-2 seasonal-1</t>
  </si>
  <si>
    <t>g CO2 m-2 seasonal-1 (winter)</t>
  </si>
  <si>
    <t>Growing Season (July-Oct?)</t>
  </si>
  <si>
    <t>g CO2m-2 d-1 (growing season)</t>
  </si>
  <si>
    <t>Total Growing season</t>
  </si>
  <si>
    <t>g CO2 m-2 seasonal-1 (growing season)</t>
  </si>
  <si>
    <t>Gymnocolea inflata, Vaccinium oxycoccos, Cassandra calyculata, Aster nemoralis, Kalmia polifolia, Andromeda glauca, Drosera rotundifolia, Coptis groenlandica, Rynchospora alba, Cares limosa, Carex oligosperma, Smilacina trifolia</t>
  </si>
  <si>
    <t>Total Winter flux</t>
  </si>
  <si>
    <t>Burton/Schreader/Griffis</t>
  </si>
  <si>
    <t>1993-1999</t>
  </si>
  <si>
    <t>approx June to Aug</t>
  </si>
  <si>
    <t>Extensive, Flat sedge fen</t>
  </si>
  <si>
    <t>Hummocky</t>
  </si>
  <si>
    <r>
      <t xml:space="preserve">Sedges-Carex aquatilis(hummocks) and moss </t>
    </r>
    <r>
      <rPr>
        <sz val="11"/>
        <color rgb="FFFF0000"/>
        <rFont val="Calibri"/>
        <family val="2"/>
        <scheme val="minor"/>
      </rPr>
      <t>Scorpidium turgescens</t>
    </r>
    <r>
      <rPr>
        <sz val="11"/>
        <color theme="1"/>
        <rFont val="Calibri"/>
        <family val="2"/>
        <scheme val="minor"/>
      </rPr>
      <t xml:space="preserve"> (hollows)</t>
    </r>
  </si>
  <si>
    <t>Burton et al. 1996</t>
  </si>
  <si>
    <t>July 17-Aug 24</t>
  </si>
  <si>
    <t>This value (30) came from Table 1 in Griffis 2000 paper. There were no respiration or winter values.</t>
  </si>
  <si>
    <t>Schreader et al. 1998</t>
  </si>
  <si>
    <t>June 13-August 26</t>
  </si>
  <si>
    <t>Extensive(freshwater system with restricted drainage)</t>
  </si>
  <si>
    <t>Sedge dominated( Carex aquatilis, Carex Limosa, Carex Saxatilis, Carex Gynocrates</t>
  </si>
  <si>
    <t>Daily value 1 is from Griffis 2000 Table 1. Daily value 1.1 is from Schreader Table 4a.</t>
  </si>
  <si>
    <t>Griffis et al. 2000</t>
  </si>
  <si>
    <r>
      <rPr>
        <sz val="11"/>
        <color rgb="FFFF0000"/>
        <rFont val="Calibri"/>
        <family val="2"/>
        <scheme val="minor"/>
      </rPr>
      <t>Scorpidium turgescen</t>
    </r>
    <r>
      <rPr>
        <sz val="11"/>
        <color theme="1"/>
        <rFont val="Calibri"/>
        <family val="2"/>
        <scheme val="minor"/>
      </rPr>
      <t>s, Carex aquatilis, C. limosa, C. saxatilis, C. gynocrates, betula grandulosa, Ledum decumbens, Salix arctophila, Cladina stellaris/rangiferina, Dicranum undulatum</t>
    </r>
  </si>
  <si>
    <t xml:space="preserve">Griffis et al. 2000 </t>
  </si>
  <si>
    <t>early June- end of Aug</t>
  </si>
  <si>
    <r>
      <t xml:space="preserve">Carex aquatilis, Carex limosa, Carex saxatilis, Carex gynocrates, </t>
    </r>
    <r>
      <rPr>
        <sz val="11"/>
        <color rgb="FFFF0000"/>
        <rFont val="Calibri"/>
        <family val="2"/>
        <scheme val="minor"/>
      </rPr>
      <t>Scorpidum turgescens</t>
    </r>
  </si>
  <si>
    <t>year (winter estimated)</t>
  </si>
  <si>
    <t>mean daily carbon loss of -0.5 g CO2 per m2 and applied it to the period with snow cover following Zimov et al. 1993. No respiration data.</t>
  </si>
  <si>
    <t>2010-13</t>
  </si>
  <si>
    <t>Interior Fen Site</t>
  </si>
  <si>
    <t>Whiting  1994</t>
  </si>
  <si>
    <t>James Bay-Interior Fen</t>
  </si>
  <si>
    <t>June 11-Aug 20</t>
  </si>
  <si>
    <t>Larix laricina, picea mariana, Sphagnum fuscum, sedges</t>
  </si>
  <si>
    <t>James Bay-Coastal Fen</t>
  </si>
  <si>
    <t>June 12-Aug 21</t>
  </si>
  <si>
    <t>Moosenee fen Site</t>
  </si>
  <si>
    <t>Syed et al. 2006</t>
  </si>
  <si>
    <t>Moderately Rich-treed</t>
  </si>
  <si>
    <t>flat terrain, homogeneous veg.</t>
  </si>
  <si>
    <t>stunted Picea mariana, Larix laricina, Betula pumila, Sphagnum spp. (S. angustifolium, S. fuscum), Drepanocladus aduncus, Aulocomium palustre, Pleurozium schreberi</t>
  </si>
  <si>
    <t>umol m-2 s(second?)-1</t>
  </si>
  <si>
    <t>Flanagan and Syed 2011</t>
  </si>
  <si>
    <t>2004-2009</t>
  </si>
  <si>
    <t>year round</t>
  </si>
  <si>
    <t>Sonnentag et al. 2010</t>
  </si>
  <si>
    <t>North of Prince Albert</t>
  </si>
  <si>
    <t>May-Nov</t>
  </si>
  <si>
    <t>Open, minerotrophic, moderately rich</t>
  </si>
  <si>
    <t>Open Depression</t>
  </si>
  <si>
    <t>Moderately rich</t>
  </si>
  <si>
    <t>Larix laricina, Andromeda polifolia, Betula glandulosa, Carex spp.</t>
  </si>
  <si>
    <t>g C m-2 period -1</t>
  </si>
  <si>
    <t>g CO2-C m-2 period-1</t>
  </si>
  <si>
    <t>Depression</t>
  </si>
  <si>
    <t>Extreme-rich fen</t>
  </si>
  <si>
    <t>Flat with some small hummocks</t>
  </si>
  <si>
    <t>Carex lasiocarpa, Drepanocladus aduncus, Aulacomnium palustre</t>
  </si>
  <si>
    <t>May 19- Nov 15</t>
  </si>
  <si>
    <t>Carex lasiocarpa, Drepanocladus aduncus, Aulacomnium palustre, Salix pedicellaris</t>
  </si>
  <si>
    <t>g CO2-C m-2 6months-1</t>
  </si>
  <si>
    <t>These are cumulative growing season values</t>
  </si>
  <si>
    <t>Mid Boreal-Anzac</t>
  </si>
  <si>
    <t>June 1 - September 30</t>
  </si>
  <si>
    <t>High Boreal-Fort Simpson</t>
  </si>
  <si>
    <t>Collapse scar - developing fen</t>
  </si>
  <si>
    <t>Low Sub Arctic-Norman Wells</t>
  </si>
  <si>
    <t>High Sub Arctic-Inuvik</t>
  </si>
  <si>
    <t>Taiga Plains/Southern Arctic</t>
  </si>
  <si>
    <t>polygonal trench</t>
  </si>
  <si>
    <t>Lafleur et al. 1997</t>
  </si>
  <si>
    <t>May-Sept (124 days)</t>
  </si>
  <si>
    <t>Minerotrophic</t>
  </si>
  <si>
    <t>Sphagnum/Tamarack</t>
  </si>
  <si>
    <t>Spring</t>
  </si>
  <si>
    <t>Summer</t>
  </si>
  <si>
    <t>Fall</t>
  </si>
  <si>
    <t>Joiner et al. 1999</t>
  </si>
  <si>
    <t>April 9-Sept 19 (124 days)</t>
  </si>
  <si>
    <t>Rich- low relief dome</t>
  </si>
  <si>
    <t>Hummock/hollows</t>
  </si>
  <si>
    <t xml:space="preserve">Sphagnum spp., Drepandocladus exannulatus, Manyanthes trifoliata, Carex spp., Larix laricina, Betula grandulosa, </t>
  </si>
  <si>
    <t>Channel fen</t>
  </si>
  <si>
    <t>Carex spp., Helodium blandowii, Brachytheuum rivulane, Aulacommium palustre, Sphagnum squarrosum</t>
  </si>
  <si>
    <t>mg CO2 m-2 seconds-1</t>
  </si>
  <si>
    <t xml:space="preserve">These are cumulative growing season values. Some pools, but spatially integrated. </t>
  </si>
  <si>
    <t>These are cumulative growing season values. Ecosystem respiration values acn be extrapolated from a graph, but no actual values.</t>
  </si>
  <si>
    <t>These are cumulative growing season values. Ecosystem respiration values an be extrapolated from a graph, but no actual values.</t>
  </si>
  <si>
    <t>NEE</t>
  </si>
  <si>
    <t>Methane</t>
  </si>
  <si>
    <t>See literature cited in manuscript</t>
  </si>
  <si>
    <t>if provided in paper</t>
  </si>
  <si>
    <t>from national gridded surface of long-term average growing season length</t>
  </si>
  <si>
    <t>description of peatland from paper</t>
  </si>
  <si>
    <t>microform</t>
  </si>
  <si>
    <t>pH</t>
  </si>
  <si>
    <t>chamber or eddy covariance (EC)</t>
  </si>
  <si>
    <t>vegetation description</t>
  </si>
  <si>
    <t>seasonal/length of growing season x 5</t>
  </si>
  <si>
    <t>daily x length of growing season/5</t>
  </si>
  <si>
    <t>Notes</t>
  </si>
  <si>
    <t>bog or fen</t>
  </si>
  <si>
    <t>bog, rich or poor fen</t>
  </si>
  <si>
    <t>area description</t>
  </si>
  <si>
    <t>seasonal/length of growing season</t>
  </si>
  <si>
    <t>daily x length of growing season</t>
  </si>
  <si>
    <t>using 0.9 g CO2 m-2 d-1</t>
  </si>
  <si>
    <t>using 6.8 mg CH4 m-2 d-1</t>
  </si>
  <si>
    <t>Annual (including winter daily)</t>
  </si>
  <si>
    <t>Luan and Wu 2015</t>
  </si>
  <si>
    <t xml:space="preserve">Startsev et al. 2016 </t>
  </si>
  <si>
    <t>Startsev et al. 2016</t>
  </si>
  <si>
    <t>Suyker et al. 1997</t>
  </si>
  <si>
    <t>Wieder et al. 2009</t>
  </si>
  <si>
    <t>Strack and Zuback 2013</t>
  </si>
  <si>
    <t>Helbig et al. 2017</t>
  </si>
  <si>
    <t>Value used</t>
  </si>
  <si>
    <t>yes</t>
  </si>
  <si>
    <t>Daily value is an average of three. Is a fen, not permafrost. ER is the average midday total respiration</t>
  </si>
  <si>
    <t>no</t>
  </si>
  <si>
    <t>as part of avg</t>
  </si>
  <si>
    <t>Value used?</t>
  </si>
  <si>
    <t>Whether value was used in analysis, some original values may be used to calcualte average over time. Incomplete or values with uncertainty were not included.</t>
  </si>
  <si>
    <t>Column</t>
  </si>
  <si>
    <t>Description of field</t>
  </si>
  <si>
    <t>Strack and Waddington 2007</t>
  </si>
  <si>
    <t>Ball, T. 1996. Seasonal transitions in fluxes of carbon dioxide and methane from an ombrotrophic peatland, Frontenac Bog, southern Quebec, M.Sc. Thesis, Geography Department, McGill University, Montreal, Quebec, Canada.</t>
  </si>
  <si>
    <t>Brown, M.G., Humphreys, E.R., Moore, T.R., Roulet, N.T. &amp; Lafleur, P.M. 2014. Evidence for a nonmonotonic relationship between ecosystem‐scale peatland methane emissions and water table depth. Journal of Geophysical Research: Biogeosciences, 119(5), 826-835.</t>
  </si>
  <si>
    <t>Bubier, J. L. 1995. The relationship of vegetation to methane emission and hydrochemical gradients in northern peatlands. Journal of Ecology, 83(3), 403-420.</t>
  </si>
  <si>
    <t>Bubier, J. L., Moore, T. R., &amp; Roulet, N. T. 1993a. Methane emissions from wetlands in the midboreal region of northern Ontario, Canada. Ecology, 74(8), 2240-2254.</t>
  </si>
  <si>
    <t>Bubier, J., Costello, A., Moore, T. R., Roulet, N. T., &amp; Savage, K. 1993b. Microtopography and methane flux in boreal peatlands, northern Ontario, Canada. Canadian Journal of Botany, 71(8), 1056-1063.</t>
  </si>
  <si>
    <t>Bubier, J. L., Moore, T. R., Bellisario, L., Comer, N. T., &amp; Crill, P. M.  1995. Ecological controls on methane emissions from a northern peatland complex in the zone of discontinuous permafrost, Manitoba, Canada. Global Biogeochemical Cycles, 9(4), 455-470.</t>
  </si>
  <si>
    <t>Bubier, J., Moore, T., Savage, K., &amp; Crill, P. 2005. A comparison of methane flux in a boreal landscape between a dry and a wet year. Global Biogeochemical Cycles, 19(1), GB1023.</t>
  </si>
  <si>
    <t>Burton, K. L., Rouse, W. R., &amp; Boudreau, L. D. 1996. Factors affecting the summer carbon dioxide budget of subarctic wetland tundra. Climate Research, 6(3), 203-213.</t>
  </si>
  <si>
    <t>Schreader, C.P., Rouse, W.R., Griffis, T.J., Boudreau, L.D. &amp; Blanken, P.D. 1998. Carbon dioxide fluxes in a northern fen during a hot, dry summer. Global Biogeochemical Cycles, 12(4), 729-740.</t>
  </si>
  <si>
    <r>
      <t>Griffis, T. J., Rouse, W. R., &amp; Waddington, J. M. 2000a. Interannual variability of net ecosystem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exchange at a subarctic fen. Global Biogeochemical Cycles, 14(4), 1109-1121.</t>
    </r>
  </si>
  <si>
    <r>
      <t>Chasmer, L., Kenward, A., Quinton, W., &amp; Petrone, R. 2012. CO</t>
    </r>
    <r>
      <rPr>
        <vertAlign val="sub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>exchanges within zones of rapid conversion from permafrost plateau to bog and fen land cover types. Arctic, Antarctic, and Alpine Research, 44(4), 399-411.</t>
    </r>
  </si>
  <si>
    <t>Dalva, M., Moore, T.R., Arp, P. &amp; Clair, T.A. 2001. Methane and soil and plant community respiration from wetlands, Kejimkujik National Park, Nova Scotia: Measurements, predictions, and climatic change. Journal of Geophysical Research: Atmospheres, 106(D3), 2955-2962.</t>
  </si>
  <si>
    <t>Flanagan, L. B., &amp; Syed, K. H. 2011. Stimulation of both photosynthesis and respiration in response to warmer and drier conditions in a boreal peatland ecosystem. Global Change Biology, 17(7), 2271-2287.</t>
  </si>
  <si>
    <r>
      <t>Glenn, A. J., Flanagan, L. B., Syed, K. H., &amp; Carlson, P. J. 2006. Comparison of net ecosystem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exchange in two peatlands in western Canada with contrasting dominant vegetation, Sphagnum and Carex. Agricultural and Forest Meteorology, 140(1), 115-135.</t>
    </r>
  </si>
  <si>
    <t>Helbig, M., Chasmer, L.E., Kljun, N., Quinton, W.L., Treat, C.C. &amp; Sonnentag, O. 2017. The positive net radiative greenhouse gas forcing of increasing methane emissions from a thawing boreal forest‐wetland landscape. Global Change Biology, 23(6), 2413-2427.</t>
  </si>
  <si>
    <r>
      <t>Humphreys, E.R., Charron, C., Brown, M. &amp; Jones, R. 2014. Two bogs in the Canadian Hudson Bay Lowlands and a temperate bog reveal similar annual net ecosystem exchange of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. Arctic, Antarctic, and Alpine Research, 46(1), 103-113.</t>
    </r>
  </si>
  <si>
    <t>Joiner, D. W., Lafleur, P. M., McCaughey, J. H., &amp; Bartlett, P. A. 1999. Interannual variability in carbon dioxide exchanges at a boreal wetland in the BOREAS northern study area. Journal of Geophysical Research: Atmospheres, 104(D22), 27663-27672.</t>
  </si>
  <si>
    <t>Klinger, L. F., Zimmerman, P. R., Greenberg, J. P., Heidt, L. E., &amp; Guenther, A. B. 1994. Carbon trace gas fluxes along a successional gradient in the Hudson Bay lowland. Journal of Geophysical Research: Atmospheres, 99(D1), 1469-1494.</t>
  </si>
  <si>
    <t>Lafleur, P.M., McCaughey, J.H., Joiner, D.W., Bartlett, P.A. &amp; Jelinski, D.E. 1997. Seasonal trends in energy, water, and carbon dioxide fluxes at a northern boreal wetland. Journal of Geophysical Research: Atmospheres, 102(D24), 29009-29020.</t>
  </si>
  <si>
    <r>
      <t>Lafleur, P.M., Roulet, N.T. &amp; Admiral, S.W. 2001. Annual cycle of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exchange at a bog peatland. Journal of Geophysical Research: Atmospheres, 106(D3), 3071-3081.</t>
    </r>
  </si>
  <si>
    <t>Lafleur, P. M., Roulet, N. T., Bubier, J. L., Frolking, S., &amp; Moore, T. R. 2003. Interannual variability in the peatland‐atmosphere carbon dioxide exchange at an ombrotrophic bog. Global Biogeochemical Cycles, 17(2), 1036.</t>
  </si>
  <si>
    <t>Liblik, L. K., Moore, T. R., Bubier, J. L., &amp; Robinson, S. D. 1997. Methane emissions from wetlands in the zone of discontinuous permafrost: Fort Simpson, Northwest Territories, Canada. Global Biogeochemical Cycles, 11(4), 485-494.</t>
  </si>
  <si>
    <t>Long, K. D., Flanagan, L. B., &amp; Cai, T. 2010. Diurnal and seasonal variation in methane emissions in a northern Canadian peatland measured by eddy covariance. Global Change Biology, 16(9), 2420-2435.</t>
  </si>
  <si>
    <r>
      <t>Luan, J., &amp; Wu, J. 2015. Long-term agricultural drainage stimulates CH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 xml:space="preserve"> emissions from ditches through increased substrate availability in a boreal peatland. Agriculture, Ecosystems &amp; Environment, 214, 68-77.</t>
    </r>
  </si>
  <si>
    <t>Moore, T. R., &amp; Knowles, R. 1987. Methane and carbon dioxide evolution from subarctic fens. Canadian Journal of Soil Science, 67(1), 77-81.</t>
  </si>
  <si>
    <t>Moore, T.R. 1989. Plant production, decomposition, and carbon efflux in a subarctic patterned fen. Arctic and Alpine Research, 21(2), 156-162.</t>
  </si>
  <si>
    <t>Moore, T. R., &amp; Knowles, R. 1990. Methane emissions from fen, bog and swamp peatlands in Quebec. Biogeochemistry, 11(1), 45-61.</t>
  </si>
  <si>
    <t>Moore, T., Roulet, N., &amp; Knowles, R. 1990. Spatial and temporal variations of methane flux from subarctic/northern boreal fens. Global Biogeochemical Cycles, 4(1), 29-46.</t>
  </si>
  <si>
    <t>Moore, T. R., Heyes, A., &amp; Roulet, N. T. 1994. Methane emissions from wetlands, southern Hudson Bay lowland. Journal of Geophysical Research: Atmospheres, 99(D1), 1455-1467.</t>
  </si>
  <si>
    <t>Moore, T.R., De Young, A., Bubier, J.L., Humphreys, E.R., Lafleur, P.M. &amp; Roulet, N.T. 2011. A multi-year record of methane flux at the Mer Bleue bog, southern Canada. Ecosystems, 14(4), 646.</t>
  </si>
  <si>
    <r>
      <t>Moore, T. R., Bubier, J. L., Frolking, S. E., Lafleur, P. M., &amp; Roulet, N. T. 2002. Plant biomass and production and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exchange in an ombrotrophic bog.  Journal of Ecology, 90(1), 25-36.</t>
    </r>
  </si>
  <si>
    <t>Nadeau, D. F., Rousseau, A. N., Coursolle, C., Margolis, H. A., &amp; Parlange, M. B. 2013. Summer methane fluxes from a boreal bog in northern Quebec, Canada, using eddy covariance measurements. Atmospheric Environment, 81, 464-474.</t>
  </si>
  <si>
    <t>Neumann, H. H., Den Hartog, G., King, K. M., &amp; Chipanshi, A. C. 1994. Carbon dioxide fluxes over a raised open bog at the Kinosheo Lake tower site during the Northern Wetlands Study (NOWES). Journal of Geophysical Research: Atmospheres, 99(D1), 1529-1538.</t>
  </si>
  <si>
    <r>
      <t>Pelletier, L., Garneau, M. &amp; Tremblay, A. 2009.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and CH</t>
    </r>
    <r>
      <rPr>
        <vertAlign val="sub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 xml:space="preserve"> ecosystem exchange from peatlands: Eastmain-1 hydroelectric project, Quebec, Canada. Internationale Vereinigung für theoretische und angewandte Limnologie: Verhandlungen, 30(6), 862-865.</t>
    </r>
  </si>
  <si>
    <t>Rask, H., Schoenau, J., &amp; Anderson, D. 2002. Factors influencing methane flux from a boreal forest wetland in Saskatchewan, Canada. Soil Biology and Biochemistry, 34(4), 435-443.</t>
  </si>
  <si>
    <t>Roulet, N. T., Ash, R., &amp; Moore, T. R. 1992. Low boreal wetlands as a source of atmospheric methane. Journal of Geophysical Research: Atmospheres, 97(D4), 3739-3749.</t>
  </si>
  <si>
    <t>Roulet, N. T., Jano, A., Kelly, C. A., Klinger, L. F., Moore, T. R., Protz, Ritter, J. A., &amp; Rouse, W. R. 1994. Role of the Hudson Bay lowland as a source of atmospheric methane, Journal of Geophysical Research: Atmospheres, 99(D1), 1439-1454.</t>
  </si>
  <si>
    <t>Roulet, N. T., Lafleur, P.M., Richard, P.J.H., Moore, T.R., Humphreys, E.R., &amp; Bubier, J. 2007. Contemporary carbon balance and late Holocene carbon accumulation in a northern peatland, Global Change Biology, 13(2), 397–411.</t>
  </si>
  <si>
    <t>Rouse, W.R., Holland, S. &amp; Moore, T.R. 1995. Variability in methane emissions from wetlands at northern treeline near Churchill, Manitoba, Canada. Arctic and Alpine Research, 146-156.</t>
  </si>
  <si>
    <t>Rouse, W. R., Bello, R. L., D'Souza, A., Griffis, T. J., &amp; Lafleur, P. M. 2002. The annual carbon budget for fen and forest in a wetland at Arctic treeline. Arctic, 55(3), 229-237.</t>
  </si>
  <si>
    <t>Sonnentag, O., Van Der Kamp, G., Barr, A.G. &amp; Chen, J.M. 2010. On the relationship between water table depth and water vapor and carbon dioxide fluxes in a minerotrophic fen. Global Change Biology, 16(6), 1762-1776.</t>
  </si>
  <si>
    <r>
      <t>Startsev, N., Bhatti, J. S., &amp; Jassal, R. S. 2016. Surface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exchange dynamics across a climatic gradient in McKenzie Valley: effect of landforms, climate and permafrost. Forests, 7(11), 279.</t>
    </r>
  </si>
  <si>
    <t>Strachan, I.B., Pelletier, L. &amp; Bonneville, M.C. 2016. Inter-annual variability in water table depth controls net ecosystem carbon dioxide exchange in a boreal bog. Biogeochemistry, 127(1), 99-111.</t>
  </si>
  <si>
    <t>Strack, M. &amp; Zuback, Y.C.A. 2013. Annual carbon balance of a peatland 10 yr following restoration. Biogeosciences, 10(5), 2885.</t>
  </si>
  <si>
    <t>Strack, M., Waddington, J. M., Rochefort, L., &amp; Tuittila, E. S. 2006. Response of vegetation and net ecosystem carbon dioxide exchange at different peatland microforms following water table drawdown. Journal of Geophysical Research: Biogeosciences, 111(G2), G02006.</t>
  </si>
  <si>
    <t>Strilesky, S.L. &amp; Humphreys, E.R. 2012. A comparison of the net ecosystem exchange of carbon dioxide and evapotranspiration for treed and open portions of a temperate peatland. Agricultural and forest meteorology, 153, 45-53.</t>
  </si>
  <si>
    <t>Suyker, A. E., Verma, S. B., Clement, R. J., &amp; Billesbach, D. P. 1996. Methane flux in a boreal fen: Season‐long measurement by eddy correlation. Journal of Geophysical Research: Atmospheres, 101(D22), 28637-28647.</t>
  </si>
  <si>
    <t>Suyker, A. E., Verma, S. B., &amp; Arkebauer, T. J. 1997. Season‐long measurement of carbon dioxide exchange in a boreal fen. Journal of Geophysical Research: Atmospheres, 102(D24), 29021-29028.</t>
  </si>
  <si>
    <r>
      <t>Syed, K. H., Flanagan, L. B., Carlson, P. J., Glenn, A. J., &amp; Van Gaalen, K. E. 2006. Environmental control of net ecosystem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exchange in a treed, moderately rich fen in northern Alberta. Agricultural and Forest Meteorology, 140(1), 97-114.</t>
    </r>
  </si>
  <si>
    <t>Teodoru, C.R., Bastien, J., Bonneville, M.C., Giorgio, P.A., Demarty, M., Garneau, M., Hélie, J.F., Pelletier, L., Prairie, Y.T., Roulet, N.T. &amp; Strachan, I.B. 2012. The net carbon footprint of a newly created boreal hydroelectric reservoir. Global Biogeochemical Cycles, 26(2).</t>
  </si>
  <si>
    <t>Trudeau, N.C., Garneau, M. &amp; Pelletier, L., 2013. Methane fluxes from a patterned fen of the northeastern part of the La Grande river watershed, James Bay, Canada. Biogeochemistry, 113(1-3), 409-422.</t>
  </si>
  <si>
    <r>
      <t>Trudeau, N. C., Garneau, M., &amp; Pelletier, L. 2014. Interannual variability in the CO</t>
    </r>
    <r>
      <rPr>
        <vertAlign val="sub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>balance of a boreal patterned fen, James Bay, Canada. Biogeochemistry, 118(1), 371-387.</t>
    </r>
  </si>
  <si>
    <t>Turetsky, M. R., Wieder, R. K., Vitt, D. H., Evans, R. J., &amp; Scott, K. D. 2007. The disappearance of relict permafrost in boreal North America: Effects on peatland carbon storage and fluxes. Global Change Biology, 13(9), 1922-1934.</t>
  </si>
  <si>
    <t>Vitt, D., Bayley, S., Jin, T., Halsey, L., Parker, B., &amp; Craik, R. 1990. Methane and carbon dioxide production from wetlands in boreal Alberta. Report on contract, (90-0270), 9820-106.</t>
  </si>
  <si>
    <t>Wang, M., Wu, J., Lafleur, P.M., Luan, J., Chen, H. &amp; Zhu, X. 2018. Can abandoned peatland pasture sequestrate more carbon dioxide from the atmosphere than an adjacent pristine bog in Newfoundland, Canada? Agricultural and Forest Meteorology, 248, 91-108.</t>
  </si>
  <si>
    <t>Whiting, G.J. 1994. CO2 exchange in the Hudson Bay lowlands: Community characteristics and multispectral reflectance properties. Journal of Geophysical Research: Atmospheres, 99(D1), 1519-1528.</t>
  </si>
  <si>
    <t>Whiting, G. J., &amp; Chanton, J. P. 2001. Greenhouse carbon balance of wetlands: methane emission versus carbon sequestration. Tellus B, 53(5), 521-528.</t>
  </si>
  <si>
    <t>Humphreys presentations</t>
  </si>
  <si>
    <t xml:space="preserve">Daily NEE is an average of 4 measurments taken between July 20 and August 3. g CO2 m-2 d-1 changed to g m-2 d-1. </t>
  </si>
  <si>
    <t xml:space="preserve">Daily original value is an average of 5 plot values. Sampled once in July and once in October, not sure if this value is an average of the two. </t>
  </si>
  <si>
    <t>Humphreys presentations 2015</t>
  </si>
  <si>
    <t>2009</t>
  </si>
  <si>
    <t>2010</t>
  </si>
  <si>
    <t>References</t>
  </si>
  <si>
    <r>
      <t>Adkinson, A. C., Syed, K. H., &amp; Flanagan, L. B. 2011. Contrasting responses of growing season ecosystem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exchange to variation in temperature and water table depth in two peatlands in northern Alberta, Canada. Journal of Geophysical Research: Biogeosciences, 116(G1). https://doi.or/10.1029/2010JG001512.</t>
    </r>
  </si>
  <si>
    <t>Turetsky, M. R., Wieder, R. K., &amp; Vitt, D. H. 2002. Boreal peatland C fluxes under varying permafrost regimes. Soil Biology and Biochemistry, 34(7), 907-912.</t>
  </si>
  <si>
    <t>Humphreys, E. R., Lafleur, P. M., Flanagan, L. B., Hedstrom, N., Syed, K. H., Glenn, A. J., &amp; Granger, R. 2006. Summer carbon dioxide and water vapor fluxes across a range of northern peatlands. Journal of Geophysical Research: Biogeosciences, 111(64), G04011. https://doi:10.1029/2005JG000111.</t>
  </si>
  <si>
    <r>
      <t>Pelletier, L., Garneau, M. &amp; Moore, T.R. 2011. Variation in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exchange over three summers at microform scale in a boreal bog, Eastmain region, Québec, Canada. Journal of Geophysical Research: Biogeosciences, 116(G3). https://soi.or/10.1029/2011JG001657.</t>
    </r>
  </si>
  <si>
    <t>Pelletier, L., Moore, T. R., Roulet, N. T., Garneau, M., &amp; Beaulieu‐Audy, V. 2007. Methane fluxes from three peatlands in the La Grande Riviere watershed, James Bay lowland, Canada. Journal of Geophysical Research: Biogeosciences, 112(G1). https://doi.org/10.1029/2006JG000216.</t>
  </si>
  <si>
    <t>Prater, J. L., Chanton, J. P., &amp; Whiting, G. J. 2007. Variation in methane production pathways associated with permafrost decomposition in collapse scar bogs of Alberta, Canada. Global Biogeochemical Cycles, 21(4). https://doi.org/10.1029/2006GB002866.</t>
  </si>
  <si>
    <r>
      <t>Roehm, C. L., &amp; Roulet, N. T. 2003. Seasonal contribution of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fluxes in the annual C budget of a northern bog. Global Biogeochemical Cycles, 17(1). https://doi.org/10.1029/2002GB001889.</t>
    </r>
  </si>
  <si>
    <t>Strack, M., &amp; Waddington, J. M. 2007. Response of peatland carbon dioxide and methane fluxes to a water table drawdown experiment. Global Biogeochemical Cycles, 21(1). https:/doi/10.129/2006GB002715.</t>
  </si>
  <si>
    <t>Strack, M., Waddington, J. M., &amp; Tuittila, E. S. 2004. Effect of water table drawdown on northern peatland methane dynamics: Implications for climate change. Global Biogeochemical Cycles, 18(4). https://doi.org/10.1029/2003GB002209.</t>
  </si>
  <si>
    <t>Wieder, R. K., Scott, K. D., Kamminga, K., Vile, M. A., Vitt, D. H., Bone, T., Xu, B.I.N., Benscoter, B.W., &amp; Bhatti, J. S. 2009. Postfire carbon balance in boreal bogs of Alberta, Canada. Global Change Biology, 15(1), 63-81. https://doi:10.1111/j.1365-2486.2008.01756.x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</si>
</sst>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\°##\'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sz val="11"/>
      <color theme="2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70C0"/>
      <name val="Calibri"/>
      <family val="2"/>
      <scheme val="minor"/>
    </font>
    <font>
      <sz val="12"/>
      <color rgb="FF000000"/>
      <name val="Calibri"/>
      <family val="2"/>
      <scheme val="minor"/>
    </font>
    <font>
      <sz val="10"/>
      <name val="Arial"/>
      <family val="2"/>
    </font>
    <font>
      <sz val="11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74">
    <xf numFmtId="0" fontId="0" fillId="0" borderId="0" xfId="0"/>
    <xf numFmtId="0" fontId="0" fillId="0" borderId="0" xfId="0" applyFill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ill="1" applyAlignment="1">
      <alignment horizontal="center" vertical="center"/>
    </xf>
    <xf numFmtId="0" fontId="0" fillId="0" borderId="0" xfId="0" applyFont="1" applyFill="1" applyBorder="1" applyAlignment="1">
      <alignment readingOrder="1"/>
    </xf>
    <xf numFmtId="0" fontId="0" fillId="0" borderId="0" xfId="0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0" fillId="0" borderId="0" xfId="0" applyFill="1" applyBorder="1"/>
    <xf numFmtId="0" fontId="6" fillId="0" borderId="0" xfId="0" applyFont="1" applyFill="1" applyBorder="1"/>
    <xf numFmtId="0" fontId="0" fillId="0" borderId="0" xfId="0" applyFont="1" applyFill="1" applyBorder="1" applyAlignment="1">
      <alignment horizontal="right"/>
    </xf>
    <xf numFmtId="0" fontId="10" fillId="0" borderId="0" xfId="0" applyFont="1" applyFill="1" applyBorder="1" applyAlignment="1">
      <alignment horizontal="left"/>
    </xf>
    <xf numFmtId="0" fontId="10" fillId="0" borderId="0" xfId="0" applyFont="1" applyFill="1" applyBorder="1"/>
    <xf numFmtId="0" fontId="0" fillId="0" borderId="0" xfId="0" applyFont="1" applyFill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readingOrder="1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/>
    <xf numFmtId="0" fontId="7" fillId="0" borderId="0" xfId="0" applyFont="1" applyFill="1"/>
    <xf numFmtId="0" fontId="7" fillId="0" borderId="0" xfId="0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0" applyFont="1" applyFill="1" applyBorder="1" applyAlignment="1">
      <alignment readingOrder="1"/>
    </xf>
    <xf numFmtId="0" fontId="2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readingOrder="1"/>
    </xf>
    <xf numFmtId="0" fontId="13" fillId="0" borderId="0" xfId="0" applyFont="1" applyFill="1" applyBorder="1"/>
    <xf numFmtId="0" fontId="8" fillId="0" borderId="0" xfId="0" applyFont="1" applyFill="1" applyBorder="1"/>
    <xf numFmtId="0" fontId="2" fillId="0" borderId="0" xfId="0" applyFont="1" applyFill="1" applyBorder="1" applyAlignment="1">
      <alignment readingOrder="1"/>
    </xf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/>
    <xf numFmtId="0" fontId="9" fillId="0" borderId="0" xfId="0" applyFont="1" applyFill="1" applyBorder="1"/>
    <xf numFmtId="0" fontId="14" fillId="0" borderId="0" xfId="0" applyFont="1" applyFill="1" applyBorder="1"/>
    <xf numFmtId="0" fontId="7" fillId="0" borderId="0" xfId="1" applyFont="1" applyFill="1" applyBorder="1" applyAlignment="1">
      <alignment horizontal="left"/>
    </xf>
    <xf numFmtId="0" fontId="0" fillId="0" borderId="0" xfId="0" applyBorder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readingOrder="1"/>
    </xf>
    <xf numFmtId="0" fontId="0" fillId="2" borderId="0" xfId="0" applyFont="1" applyFill="1" applyBorder="1"/>
    <xf numFmtId="0" fontId="7" fillId="0" borderId="0" xfId="0" applyFont="1" applyFill="1" applyBorder="1" applyAlignment="1"/>
    <xf numFmtId="0" fontId="0" fillId="0" borderId="0" xfId="1" applyFont="1" applyFill="1" applyBorder="1" applyAlignment="1">
      <alignment horizontal="left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17" fontId="0" fillId="0" borderId="0" xfId="0" quotePrefix="1" applyNumberForma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right"/>
    </xf>
    <xf numFmtId="0" fontId="7" fillId="0" borderId="0" xfId="0" applyNumberFormat="1" applyFont="1" applyFill="1" applyBorder="1"/>
    <xf numFmtId="0" fontId="15" fillId="0" borderId="0" xfId="0" applyFont="1" applyFill="1" applyBorder="1" applyAlignment="1">
      <alignment horizontal="center" vertical="center"/>
    </xf>
    <xf numFmtId="16" fontId="0" fillId="0" borderId="0" xfId="0" applyNumberFormat="1" applyFill="1" applyBorder="1"/>
    <xf numFmtId="0" fontId="1" fillId="0" borderId="0" xfId="1" applyFont="1" applyFill="1" applyBorder="1" applyAlignment="1">
      <alignment horizontal="left"/>
    </xf>
    <xf numFmtId="0" fontId="0" fillId="0" borderId="0" xfId="0" applyAlignment="1">
      <alignment vertical="center"/>
    </xf>
    <xf numFmtId="0" fontId="17" fillId="0" borderId="0" xfId="0" applyFont="1" applyAlignment="1">
      <alignment vertical="center"/>
    </xf>
    <xf numFmtId="16" fontId="0" fillId="0" borderId="0" xfId="0" applyNumberFormat="1" applyFill="1" applyBorder="1" applyAlignment="1">
      <alignment horizontal="center"/>
    </xf>
    <xf numFmtId="17" fontId="0" fillId="0" borderId="0" xfId="0" quotePrefix="1" applyNumberFormat="1" applyFont="1" applyFill="1" applyBorder="1" applyAlignment="1">
      <alignment horizontal="center"/>
    </xf>
    <xf numFmtId="0" fontId="0" fillId="0" borderId="0" xfId="0" quotePrefix="1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 vertical="center" wrapText="1"/>
    </xf>
    <xf numFmtId="2" fontId="0" fillId="0" borderId="0" xfId="0" applyNumberFormat="1" applyFont="1" applyFill="1" applyBorder="1"/>
    <xf numFmtId="2" fontId="0" fillId="0" borderId="0" xfId="0" applyNumberFormat="1" applyFill="1" applyBorder="1"/>
    <xf numFmtId="2" fontId="0" fillId="0" borderId="0" xfId="0" applyNumberFormat="1" applyBorder="1"/>
    <xf numFmtId="0" fontId="7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Fill="1" applyBorder="1"/>
    <xf numFmtId="0" fontId="0" fillId="0" borderId="2" xfId="0" applyFill="1" applyBorder="1" applyAlignment="1">
      <alignment wrapText="1"/>
    </xf>
    <xf numFmtId="0" fontId="0" fillId="0" borderId="3" xfId="0" applyFill="1" applyBorder="1"/>
    <xf numFmtId="0" fontId="3" fillId="0" borderId="4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3" fillId="0" borderId="1" xfId="0" applyFont="1" applyFill="1" applyBorder="1"/>
    <xf numFmtId="0" fontId="3" fillId="0" borderId="5" xfId="0" applyFont="1" applyFill="1" applyBorder="1"/>
    <xf numFmtId="0" fontId="0" fillId="0" borderId="6" xfId="0" applyFill="1" applyBorder="1" applyAlignment="1">
      <alignment wrapText="1"/>
    </xf>
    <xf numFmtId="0" fontId="4" fillId="0" borderId="0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2">
    <dxf>
      <font>
        <condense val="0"/>
        <extend val="0"/>
        <color indexed="10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tabSelected="1" workbookViewId="0"/>
  </sheetViews>
  <sheetFormatPr defaultRowHeight="14.4" x14ac:dyDescent="0.3"/>
  <cols>
    <col min="1" max="1" width="44.77734375" customWidth="1"/>
    <col min="2" max="2" width="41.5546875" customWidth="1"/>
    <col min="5" max="5" width="38.88671875" customWidth="1"/>
    <col min="6" max="6" width="39.6640625" customWidth="1"/>
  </cols>
  <sheetData>
    <row r="1" spans="1:6" s="1" customFormat="1" x14ac:dyDescent="0.3">
      <c r="A1" s="66" t="s">
        <v>852</v>
      </c>
      <c r="B1" s="67"/>
      <c r="E1" s="66" t="s">
        <v>853</v>
      </c>
      <c r="F1" s="67"/>
    </row>
    <row r="2" spans="1:6" s="1" customFormat="1" x14ac:dyDescent="0.3">
      <c r="A2" s="70" t="s">
        <v>887</v>
      </c>
      <c r="B2" s="71" t="s">
        <v>888</v>
      </c>
      <c r="E2" s="70" t="s">
        <v>887</v>
      </c>
      <c r="F2" s="70" t="s">
        <v>888</v>
      </c>
    </row>
    <row r="3" spans="1:6" s="1" customFormat="1" x14ac:dyDescent="0.3">
      <c r="A3" s="68" t="s">
        <v>0</v>
      </c>
      <c r="B3" s="63" t="s">
        <v>854</v>
      </c>
      <c r="E3" s="68" t="s">
        <v>0</v>
      </c>
      <c r="F3" s="68" t="s">
        <v>854</v>
      </c>
    </row>
    <row r="4" spans="1:6" s="1" customFormat="1" x14ac:dyDescent="0.3">
      <c r="A4" s="68" t="s">
        <v>1</v>
      </c>
      <c r="B4" s="63" t="s">
        <v>865</v>
      </c>
      <c r="E4" s="68" t="s">
        <v>1</v>
      </c>
      <c r="F4" s="68" t="s">
        <v>865</v>
      </c>
    </row>
    <row r="5" spans="1:6" s="1" customFormat="1" x14ac:dyDescent="0.3">
      <c r="A5" s="68" t="s">
        <v>563</v>
      </c>
      <c r="B5" s="63" t="s">
        <v>866</v>
      </c>
      <c r="E5" s="68" t="s">
        <v>2</v>
      </c>
      <c r="F5" s="68" t="s">
        <v>866</v>
      </c>
    </row>
    <row r="6" spans="1:6" s="1" customFormat="1" x14ac:dyDescent="0.3">
      <c r="A6" s="68" t="s">
        <v>3</v>
      </c>
      <c r="B6" s="63"/>
      <c r="E6" s="68" t="s">
        <v>3</v>
      </c>
      <c r="F6" s="68"/>
    </row>
    <row r="7" spans="1:6" s="1" customFormat="1" x14ac:dyDescent="0.3">
      <c r="A7" s="68" t="s">
        <v>4</v>
      </c>
      <c r="B7" s="63" t="s">
        <v>867</v>
      </c>
      <c r="E7" s="68" t="s">
        <v>4</v>
      </c>
      <c r="F7" s="68" t="s">
        <v>867</v>
      </c>
    </row>
    <row r="8" spans="1:6" s="1" customFormat="1" x14ac:dyDescent="0.3">
      <c r="A8" s="68" t="s">
        <v>5</v>
      </c>
      <c r="B8" s="63"/>
      <c r="E8" s="68" t="s">
        <v>5</v>
      </c>
      <c r="F8" s="68"/>
    </row>
    <row r="9" spans="1:6" s="1" customFormat="1" x14ac:dyDescent="0.3">
      <c r="A9" s="68" t="s">
        <v>6</v>
      </c>
      <c r="B9" s="63"/>
      <c r="E9" s="68" t="s">
        <v>6</v>
      </c>
      <c r="F9" s="68"/>
    </row>
    <row r="10" spans="1:6" s="1" customFormat="1" x14ac:dyDescent="0.3">
      <c r="A10" s="68" t="s">
        <v>7</v>
      </c>
      <c r="B10" s="63"/>
      <c r="E10" s="68" t="s">
        <v>7</v>
      </c>
      <c r="F10" s="68"/>
    </row>
    <row r="11" spans="1:6" s="1" customFormat="1" x14ac:dyDescent="0.3">
      <c r="A11" s="68" t="s">
        <v>8</v>
      </c>
      <c r="B11" s="63"/>
      <c r="E11" s="68" t="s">
        <v>8</v>
      </c>
      <c r="F11" s="68"/>
    </row>
    <row r="12" spans="1:6" s="1" customFormat="1" x14ac:dyDescent="0.3">
      <c r="A12" s="68" t="s">
        <v>9</v>
      </c>
      <c r="B12" s="63"/>
      <c r="E12" s="68" t="s">
        <v>9</v>
      </c>
      <c r="F12" s="68"/>
    </row>
    <row r="13" spans="1:6" s="1" customFormat="1" ht="28.8" x14ac:dyDescent="0.3">
      <c r="A13" s="68" t="s">
        <v>564</v>
      </c>
      <c r="B13" s="64" t="s">
        <v>856</v>
      </c>
      <c r="E13" s="68" t="s">
        <v>10</v>
      </c>
      <c r="F13" s="72" t="s">
        <v>856</v>
      </c>
    </row>
    <row r="14" spans="1:6" s="1" customFormat="1" x14ac:dyDescent="0.3">
      <c r="A14" s="68" t="s">
        <v>565</v>
      </c>
      <c r="B14" s="63" t="s">
        <v>855</v>
      </c>
      <c r="E14" s="68" t="s">
        <v>11</v>
      </c>
      <c r="F14" s="68" t="s">
        <v>857</v>
      </c>
    </row>
    <row r="15" spans="1:6" s="1" customFormat="1" x14ac:dyDescent="0.3">
      <c r="A15" s="68" t="s">
        <v>11</v>
      </c>
      <c r="B15" s="63" t="s">
        <v>857</v>
      </c>
      <c r="E15" s="68" t="s">
        <v>12</v>
      </c>
      <c r="F15" s="68" t="s">
        <v>858</v>
      </c>
    </row>
    <row r="16" spans="1:6" s="1" customFormat="1" x14ac:dyDescent="0.3">
      <c r="A16" s="68" t="s">
        <v>12</v>
      </c>
      <c r="B16" s="63" t="s">
        <v>858</v>
      </c>
      <c r="E16" s="68" t="s">
        <v>859</v>
      </c>
      <c r="F16" s="68"/>
    </row>
    <row r="17" spans="1:6" s="1" customFormat="1" x14ac:dyDescent="0.3">
      <c r="A17" s="68" t="s">
        <v>859</v>
      </c>
      <c r="B17" s="63"/>
      <c r="E17" s="68" t="s">
        <v>14</v>
      </c>
      <c r="F17" s="68" t="s">
        <v>860</v>
      </c>
    </row>
    <row r="18" spans="1:6" s="1" customFormat="1" x14ac:dyDescent="0.3">
      <c r="A18" s="68" t="s">
        <v>14</v>
      </c>
      <c r="B18" s="63" t="s">
        <v>860</v>
      </c>
      <c r="E18" s="68" t="s">
        <v>15</v>
      </c>
      <c r="F18" s="68" t="s">
        <v>861</v>
      </c>
    </row>
    <row r="19" spans="1:6" s="1" customFormat="1" x14ac:dyDescent="0.3">
      <c r="A19" s="68" t="s">
        <v>15</v>
      </c>
      <c r="B19" s="63" t="s">
        <v>861</v>
      </c>
      <c r="E19" s="68" t="s">
        <v>16</v>
      </c>
      <c r="F19" s="68"/>
    </row>
    <row r="20" spans="1:6" s="1" customFormat="1" x14ac:dyDescent="0.3">
      <c r="A20" s="68" t="s">
        <v>566</v>
      </c>
      <c r="B20" s="63"/>
      <c r="E20" s="68" t="s">
        <v>17</v>
      </c>
      <c r="F20" s="68" t="s">
        <v>868</v>
      </c>
    </row>
    <row r="21" spans="1:6" s="1" customFormat="1" x14ac:dyDescent="0.3">
      <c r="A21" s="68" t="s">
        <v>17</v>
      </c>
      <c r="B21" s="63" t="s">
        <v>862</v>
      </c>
      <c r="E21" s="68" t="s">
        <v>18</v>
      </c>
      <c r="F21" s="68"/>
    </row>
    <row r="22" spans="1:6" s="1" customFormat="1" x14ac:dyDescent="0.3">
      <c r="A22" s="68" t="s">
        <v>18</v>
      </c>
      <c r="B22" s="63"/>
      <c r="E22" s="68" t="s">
        <v>19</v>
      </c>
      <c r="F22" s="68"/>
    </row>
    <row r="23" spans="1:6" s="1" customFormat="1" x14ac:dyDescent="0.3">
      <c r="A23" s="68" t="s">
        <v>19</v>
      </c>
      <c r="B23" s="63"/>
      <c r="E23" s="68" t="s">
        <v>20</v>
      </c>
      <c r="F23" s="68" t="s">
        <v>869</v>
      </c>
    </row>
    <row r="24" spans="1:6" s="1" customFormat="1" x14ac:dyDescent="0.3">
      <c r="A24" s="68" t="s">
        <v>567</v>
      </c>
      <c r="B24" s="63" t="s">
        <v>863</v>
      </c>
      <c r="E24" s="68" t="s">
        <v>21</v>
      </c>
      <c r="F24" s="68"/>
    </row>
    <row r="25" spans="1:6" s="1" customFormat="1" x14ac:dyDescent="0.3">
      <c r="A25" s="68" t="s">
        <v>568</v>
      </c>
      <c r="B25" s="63"/>
      <c r="E25" s="68" t="s">
        <v>18</v>
      </c>
      <c r="F25" s="68"/>
    </row>
    <row r="26" spans="1:6" s="1" customFormat="1" x14ac:dyDescent="0.3">
      <c r="A26" s="68" t="s">
        <v>18</v>
      </c>
      <c r="B26" s="63"/>
      <c r="E26" s="68" t="s">
        <v>19</v>
      </c>
      <c r="F26" s="68"/>
    </row>
    <row r="27" spans="1:6" s="1" customFormat="1" x14ac:dyDescent="0.3">
      <c r="A27" s="68" t="s">
        <v>19</v>
      </c>
      <c r="B27" s="63"/>
      <c r="E27" s="68" t="s">
        <v>22</v>
      </c>
      <c r="F27" s="68" t="s">
        <v>871</v>
      </c>
    </row>
    <row r="28" spans="1:6" s="1" customFormat="1" x14ac:dyDescent="0.3">
      <c r="A28" s="68" t="s">
        <v>22</v>
      </c>
      <c r="B28" s="63" t="s">
        <v>870</v>
      </c>
      <c r="E28" s="68" t="s">
        <v>23</v>
      </c>
      <c r="F28" s="68"/>
    </row>
    <row r="29" spans="1:6" s="1" customFormat="1" x14ac:dyDescent="0.3">
      <c r="A29" s="68" t="s">
        <v>23</v>
      </c>
      <c r="B29" s="63"/>
      <c r="E29" s="68" t="s">
        <v>24</v>
      </c>
      <c r="F29" s="68"/>
    </row>
    <row r="30" spans="1:6" s="1" customFormat="1" ht="57.6" x14ac:dyDescent="0.3">
      <c r="A30" s="68" t="s">
        <v>24</v>
      </c>
      <c r="B30" s="63"/>
      <c r="E30" s="68" t="s">
        <v>885</v>
      </c>
      <c r="F30" s="72" t="s">
        <v>886</v>
      </c>
    </row>
    <row r="31" spans="1:6" s="1" customFormat="1" x14ac:dyDescent="0.3">
      <c r="A31" s="68" t="s">
        <v>569</v>
      </c>
      <c r="B31" s="63"/>
      <c r="E31" s="69" t="s">
        <v>25</v>
      </c>
      <c r="F31" s="69"/>
    </row>
    <row r="32" spans="1:6" s="1" customFormat="1" x14ac:dyDescent="0.3">
      <c r="A32" s="68" t="s">
        <v>19</v>
      </c>
      <c r="B32" s="63"/>
    </row>
    <row r="33" spans="1:2" s="1" customFormat="1" x14ac:dyDescent="0.3">
      <c r="A33" s="68" t="s">
        <v>570</v>
      </c>
      <c r="B33" s="63"/>
    </row>
    <row r="34" spans="1:2" s="1" customFormat="1" x14ac:dyDescent="0.3">
      <c r="A34" s="68" t="s">
        <v>571</v>
      </c>
      <c r="B34" s="63"/>
    </row>
    <row r="35" spans="1:2" s="1" customFormat="1" x14ac:dyDescent="0.3">
      <c r="A35" s="68" t="s">
        <v>19</v>
      </c>
      <c r="B35" s="63"/>
    </row>
    <row r="36" spans="1:2" s="1" customFormat="1" ht="57.6" x14ac:dyDescent="0.3">
      <c r="A36" s="68" t="s">
        <v>885</v>
      </c>
      <c r="B36" s="64" t="s">
        <v>886</v>
      </c>
    </row>
    <row r="37" spans="1:2" s="1" customFormat="1" x14ac:dyDescent="0.3">
      <c r="A37" s="69" t="s">
        <v>25</v>
      </c>
      <c r="B37" s="65"/>
    </row>
    <row r="38" spans="1:2" s="1" customFormat="1" x14ac:dyDescent="0.3"/>
    <row r="39" spans="1:2" s="1" customFormat="1" x14ac:dyDescent="0.3"/>
    <row r="40" spans="1:2" s="1" customFormat="1" x14ac:dyDescent="0.3"/>
    <row r="41" spans="1:2" s="1" customFormat="1" x14ac:dyDescent="0.3"/>
    <row r="42" spans="1:2" s="1" customFormat="1" x14ac:dyDescent="0.3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J267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8.88671875" defaultRowHeight="14.4" x14ac:dyDescent="0.3"/>
  <cols>
    <col min="1" max="1" width="32" style="33" customWidth="1"/>
    <col min="2" max="3" width="8.88671875" style="33" customWidth="1"/>
    <col min="4" max="4" width="19.44140625" style="33" customWidth="1"/>
    <col min="5" max="5" width="34.33203125" style="33" customWidth="1"/>
    <col min="6" max="6" width="23" style="33" customWidth="1"/>
    <col min="7" max="7" width="20" style="35" customWidth="1"/>
    <col min="8" max="8" width="23.33203125" style="62" customWidth="1"/>
    <col min="9" max="9" width="16.44140625" style="60" customWidth="1"/>
    <col min="10" max="10" width="15.33203125" style="60" customWidth="1"/>
    <col min="11" max="12" width="15.33203125" style="33" customWidth="1"/>
    <col min="13" max="13" width="35.6640625" style="33" customWidth="1"/>
    <col min="14" max="14" width="23.88671875" style="33" customWidth="1"/>
    <col min="15" max="15" width="6.6640625" style="35" customWidth="1"/>
    <col min="16" max="16" width="8.88671875" style="33" customWidth="1"/>
    <col min="17" max="17" width="22.33203125" style="36" hidden="1" customWidth="1"/>
    <col min="18" max="19" width="9.88671875" style="36" customWidth="1"/>
    <col min="20" max="20" width="8.88671875" style="8"/>
    <col min="21" max="21" width="18.6640625" style="8" customWidth="1"/>
    <col min="22" max="22" width="8.33203125" style="8" customWidth="1"/>
    <col min="23" max="23" width="18.6640625" style="8" customWidth="1"/>
    <col min="24" max="24" width="12.33203125" style="8" customWidth="1"/>
    <col min="25" max="26" width="16" style="8" customWidth="1"/>
    <col min="27" max="27" width="9.88671875" style="8" customWidth="1"/>
    <col min="28" max="29" width="9.77734375" style="8" customWidth="1"/>
    <col min="30" max="30" width="14.33203125" style="33" customWidth="1"/>
    <col min="31" max="31" width="15.88671875" style="33" bestFit="1" customWidth="1"/>
    <col min="32" max="32" width="15.88671875" style="33" customWidth="1"/>
    <col min="33" max="35" width="8.88671875" style="33"/>
    <col min="36" max="36" width="12.6640625" style="33" customWidth="1"/>
    <col min="37" max="37" width="6.5546875" style="37" customWidth="1"/>
    <col min="38" max="62" width="8.88671875" style="33"/>
  </cols>
  <sheetData>
    <row r="1" spans="1:62" s="4" customFormat="1" ht="40.799999999999997" x14ac:dyDescent="0.3">
      <c r="A1" s="45" t="s">
        <v>0</v>
      </c>
      <c r="B1" s="28" t="s">
        <v>1</v>
      </c>
      <c r="C1" s="28" t="s">
        <v>563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7</v>
      </c>
      <c r="I1" s="57" t="s">
        <v>8</v>
      </c>
      <c r="J1" s="57" t="s">
        <v>9</v>
      </c>
      <c r="K1" s="44" t="s">
        <v>564</v>
      </c>
      <c r="L1" s="44" t="s">
        <v>565</v>
      </c>
      <c r="M1" s="28" t="s">
        <v>11</v>
      </c>
      <c r="N1" s="28" t="s">
        <v>12</v>
      </c>
      <c r="O1" s="28" t="s">
        <v>13</v>
      </c>
      <c r="P1" s="28" t="s">
        <v>14</v>
      </c>
      <c r="Q1" s="28" t="s">
        <v>15</v>
      </c>
      <c r="R1" s="28" t="s">
        <v>566</v>
      </c>
      <c r="S1" s="28" t="s">
        <v>17</v>
      </c>
      <c r="T1" s="28" t="s">
        <v>18</v>
      </c>
      <c r="U1" s="28" t="s">
        <v>19</v>
      </c>
      <c r="V1" s="28" t="s">
        <v>567</v>
      </c>
      <c r="W1" s="28" t="s">
        <v>568</v>
      </c>
      <c r="X1" s="28" t="s">
        <v>18</v>
      </c>
      <c r="Y1" s="28" t="s">
        <v>19</v>
      </c>
      <c r="Z1" s="28"/>
      <c r="AA1" s="28" t="s">
        <v>22</v>
      </c>
      <c r="AB1" s="28" t="s">
        <v>23</v>
      </c>
      <c r="AC1" s="28" t="s">
        <v>872</v>
      </c>
      <c r="AD1" s="28" t="s">
        <v>569</v>
      </c>
      <c r="AE1" s="28" t="s">
        <v>19</v>
      </c>
      <c r="AF1" s="28" t="s">
        <v>570</v>
      </c>
      <c r="AG1" s="28" t="s">
        <v>571</v>
      </c>
      <c r="AH1" s="28" t="s">
        <v>19</v>
      </c>
      <c r="AI1" s="14"/>
      <c r="AJ1" s="49" t="s">
        <v>880</v>
      </c>
      <c r="AK1" s="28" t="s">
        <v>864</v>
      </c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</row>
    <row r="2" spans="1:62" s="1" customFormat="1" x14ac:dyDescent="0.3">
      <c r="A2" s="8" t="s">
        <v>26</v>
      </c>
      <c r="B2" s="8" t="s">
        <v>27</v>
      </c>
      <c r="C2" s="8" t="s">
        <v>27</v>
      </c>
      <c r="D2" s="8" t="s">
        <v>28</v>
      </c>
      <c r="E2" s="8" t="s">
        <v>29</v>
      </c>
      <c r="F2" s="8" t="s">
        <v>30</v>
      </c>
      <c r="G2" s="41" t="s">
        <v>31</v>
      </c>
      <c r="H2" s="41" t="s">
        <v>32</v>
      </c>
      <c r="I2" s="58">
        <v>46.1</v>
      </c>
      <c r="J2" s="58">
        <v>-71.366666666666703</v>
      </c>
      <c r="K2" s="8">
        <v>189</v>
      </c>
      <c r="L2" s="8">
        <v>182</v>
      </c>
      <c r="M2" s="3" t="s">
        <v>33</v>
      </c>
      <c r="N2" s="3" t="s">
        <v>34</v>
      </c>
      <c r="O2" s="14" t="s">
        <v>35</v>
      </c>
      <c r="P2" s="3" t="s">
        <v>36</v>
      </c>
      <c r="Q2" s="5" t="s">
        <v>37</v>
      </c>
      <c r="R2" s="5"/>
      <c r="S2" s="24">
        <f>W2/K2*5</f>
        <v>-11.148142331726064</v>
      </c>
      <c r="T2" s="8"/>
      <c r="U2" s="8"/>
      <c r="V2" s="5"/>
      <c r="W2" s="5">
        <f t="shared" ref="W2:W8" si="0">X2/0.2729</f>
        <v>-421.39978013924519</v>
      </c>
      <c r="X2" s="17">
        <v>-115</v>
      </c>
      <c r="Y2" s="17" t="s">
        <v>447</v>
      </c>
      <c r="Z2" s="25" t="s">
        <v>572</v>
      </c>
      <c r="AA2" s="25">
        <f>0.9*(365-K2)</f>
        <v>158.4</v>
      </c>
      <c r="AB2" s="25">
        <f>W2</f>
        <v>-421.39978013924519</v>
      </c>
      <c r="AC2" s="25">
        <f>W2+AA2</f>
        <v>-262.99978013924522</v>
      </c>
      <c r="AD2" s="8">
        <v>0.06</v>
      </c>
      <c r="AE2" s="8" t="s">
        <v>573</v>
      </c>
      <c r="AF2" s="5">
        <f t="shared" ref="AF2:AF5" si="1">AG2/0.2729</f>
        <v>380.35910589959695</v>
      </c>
      <c r="AG2" s="8">
        <v>103.8</v>
      </c>
      <c r="AH2" s="17" t="s">
        <v>447</v>
      </c>
      <c r="AI2" s="8"/>
      <c r="AJ2" s="8" t="s">
        <v>881</v>
      </c>
      <c r="AK2" s="3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</row>
    <row r="3" spans="1:62" s="1" customFormat="1" x14ac:dyDescent="0.3">
      <c r="A3" s="8" t="s">
        <v>26</v>
      </c>
      <c r="B3" s="8" t="s">
        <v>27</v>
      </c>
      <c r="C3" s="8" t="s">
        <v>27</v>
      </c>
      <c r="D3" s="8" t="s">
        <v>28</v>
      </c>
      <c r="E3" s="8" t="s">
        <v>29</v>
      </c>
      <c r="F3" s="8" t="s">
        <v>30</v>
      </c>
      <c r="G3" s="41" t="s">
        <v>31</v>
      </c>
      <c r="H3" s="41" t="s">
        <v>32</v>
      </c>
      <c r="I3" s="58">
        <v>46.1</v>
      </c>
      <c r="J3" s="58">
        <v>-71.366666666666703</v>
      </c>
      <c r="K3" s="8">
        <v>189</v>
      </c>
      <c r="L3" s="8">
        <v>182</v>
      </c>
      <c r="M3" s="3" t="s">
        <v>40</v>
      </c>
      <c r="N3" s="3" t="s">
        <v>41</v>
      </c>
      <c r="O3" s="14" t="s">
        <v>35</v>
      </c>
      <c r="P3" s="3" t="s">
        <v>36</v>
      </c>
      <c r="Q3" s="5" t="s">
        <v>42</v>
      </c>
      <c r="R3" s="5"/>
      <c r="S3" s="24">
        <f>W3/K3*5</f>
        <v>-2.7143303068550417</v>
      </c>
      <c r="T3" s="8"/>
      <c r="U3" s="8"/>
      <c r="V3" s="5"/>
      <c r="W3" s="5">
        <f t="shared" si="0"/>
        <v>-102.60168559912057</v>
      </c>
      <c r="X3" s="17">
        <v>-28</v>
      </c>
      <c r="Y3" s="17" t="s">
        <v>447</v>
      </c>
      <c r="Z3" s="25" t="s">
        <v>572</v>
      </c>
      <c r="AA3" s="25">
        <f t="shared" ref="AA3:AA5" si="2">0.9*(365-K3)</f>
        <v>158.4</v>
      </c>
      <c r="AB3" s="25">
        <f>W3</f>
        <v>-102.60168559912057</v>
      </c>
      <c r="AC3" s="25">
        <f>W3+AA3</f>
        <v>55.798314400879434</v>
      </c>
      <c r="AD3" s="8">
        <v>7.0000000000000007E-2</v>
      </c>
      <c r="AE3" s="8" t="s">
        <v>573</v>
      </c>
      <c r="AF3" s="5">
        <f t="shared" si="1"/>
        <v>491.38878710150243</v>
      </c>
      <c r="AG3" s="8">
        <v>134.1</v>
      </c>
      <c r="AH3" s="17" t="s">
        <v>447</v>
      </c>
      <c r="AI3" s="8"/>
      <c r="AJ3" s="8" t="s">
        <v>881</v>
      </c>
      <c r="AK3" s="3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</row>
    <row r="4" spans="1:62" s="1" customFormat="1" x14ac:dyDescent="0.3">
      <c r="A4" s="8" t="s">
        <v>26</v>
      </c>
      <c r="B4" s="8" t="s">
        <v>27</v>
      </c>
      <c r="C4" s="8" t="s">
        <v>27</v>
      </c>
      <c r="D4" s="8" t="s">
        <v>28</v>
      </c>
      <c r="E4" s="8" t="s">
        <v>29</v>
      </c>
      <c r="F4" s="8" t="s">
        <v>30</v>
      </c>
      <c r="G4" s="41" t="s">
        <v>31</v>
      </c>
      <c r="H4" s="41" t="s">
        <v>32</v>
      </c>
      <c r="I4" s="58">
        <v>46.1</v>
      </c>
      <c r="J4" s="58">
        <v>-71.366666666666703</v>
      </c>
      <c r="K4" s="8">
        <v>189</v>
      </c>
      <c r="L4" s="8">
        <v>182</v>
      </c>
      <c r="M4" s="3" t="s">
        <v>43</v>
      </c>
      <c r="N4" s="3" t="s">
        <v>44</v>
      </c>
      <c r="O4" s="14" t="s">
        <v>35</v>
      </c>
      <c r="P4" s="3" t="s">
        <v>36</v>
      </c>
      <c r="Q4" s="5" t="s">
        <v>45</v>
      </c>
      <c r="R4" s="5"/>
      <c r="S4" s="24">
        <f>W4/K4*5</f>
        <v>-1.6576802945436149</v>
      </c>
      <c r="T4" s="8"/>
      <c r="U4" s="8"/>
      <c r="V4" s="5"/>
      <c r="W4" s="5">
        <f t="shared" si="0"/>
        <v>-62.660315133748639</v>
      </c>
      <c r="X4" s="17">
        <v>-17.100000000000001</v>
      </c>
      <c r="Y4" s="17" t="s">
        <v>447</v>
      </c>
      <c r="Z4" s="25" t="s">
        <v>572</v>
      </c>
      <c r="AA4" s="25">
        <f t="shared" si="2"/>
        <v>158.4</v>
      </c>
      <c r="AB4" s="25">
        <f>W4</f>
        <v>-62.660315133748639</v>
      </c>
      <c r="AC4" s="25">
        <f>W4+AA4</f>
        <v>95.739684866251366</v>
      </c>
      <c r="AD4" s="8">
        <v>0.06</v>
      </c>
      <c r="AE4" s="8" t="s">
        <v>573</v>
      </c>
      <c r="AF4" s="5">
        <f t="shared" si="1"/>
        <v>229.02161964089413</v>
      </c>
      <c r="AG4" s="8">
        <v>62.5</v>
      </c>
      <c r="AH4" s="17" t="s">
        <v>447</v>
      </c>
      <c r="AI4" s="8"/>
      <c r="AJ4" s="8" t="s">
        <v>881</v>
      </c>
      <c r="AK4" s="3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</row>
    <row r="5" spans="1:62" s="1" customFormat="1" x14ac:dyDescent="0.3">
      <c r="A5" s="8" t="s">
        <v>26</v>
      </c>
      <c r="B5" s="8" t="s">
        <v>27</v>
      </c>
      <c r="C5" s="8" t="s">
        <v>27</v>
      </c>
      <c r="D5" s="8" t="s">
        <v>28</v>
      </c>
      <c r="E5" s="8" t="s">
        <v>29</v>
      </c>
      <c r="F5" s="8" t="s">
        <v>30</v>
      </c>
      <c r="G5" s="41" t="s">
        <v>31</v>
      </c>
      <c r="H5" s="41" t="s">
        <v>32</v>
      </c>
      <c r="I5" s="58">
        <v>46.1</v>
      </c>
      <c r="J5" s="58">
        <v>-71.366666666666703</v>
      </c>
      <c r="K5" s="8">
        <v>189</v>
      </c>
      <c r="L5" s="8">
        <v>182</v>
      </c>
      <c r="M5" s="3" t="s">
        <v>46</v>
      </c>
      <c r="N5" s="3" t="s">
        <v>47</v>
      </c>
      <c r="O5" s="14" t="s">
        <v>35</v>
      </c>
      <c r="P5" s="3" t="s">
        <v>36</v>
      </c>
      <c r="Q5" s="5" t="s">
        <v>48</v>
      </c>
      <c r="R5" s="5"/>
      <c r="S5" s="24">
        <f>W5/K5*5</f>
        <v>-6.6307211781744595</v>
      </c>
      <c r="T5" s="8"/>
      <c r="U5" s="8"/>
      <c r="V5" s="5"/>
      <c r="W5" s="5">
        <f t="shared" si="0"/>
        <v>-250.64126053499456</v>
      </c>
      <c r="X5" s="17">
        <v>-68.400000000000006</v>
      </c>
      <c r="Y5" s="17" t="s">
        <v>447</v>
      </c>
      <c r="Z5" s="25" t="s">
        <v>572</v>
      </c>
      <c r="AA5" s="25">
        <f t="shared" si="2"/>
        <v>158.4</v>
      </c>
      <c r="AB5" s="25">
        <f>W5</f>
        <v>-250.64126053499456</v>
      </c>
      <c r="AC5" s="25">
        <f>W5+AA5</f>
        <v>-92.241260534994552</v>
      </c>
      <c r="AD5" s="8">
        <v>0.1</v>
      </c>
      <c r="AE5" s="8" t="s">
        <v>573</v>
      </c>
      <c r="AF5" s="5">
        <f t="shared" si="1"/>
        <v>166.72773909857091</v>
      </c>
      <c r="AG5" s="8">
        <v>45.5</v>
      </c>
      <c r="AH5" s="17" t="s">
        <v>447</v>
      </c>
      <c r="AI5" s="8"/>
      <c r="AJ5" s="8" t="s">
        <v>881</v>
      </c>
      <c r="AK5" s="3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</row>
    <row r="6" spans="1:62" s="1" customFormat="1" x14ac:dyDescent="0.3">
      <c r="A6" s="8" t="s">
        <v>878</v>
      </c>
      <c r="B6" s="8" t="s">
        <v>27</v>
      </c>
      <c r="C6" s="8" t="s">
        <v>27</v>
      </c>
      <c r="D6" s="8" t="s">
        <v>28</v>
      </c>
      <c r="E6" s="8" t="s">
        <v>49</v>
      </c>
      <c r="F6" s="8" t="s">
        <v>30</v>
      </c>
      <c r="G6" s="34">
        <v>2010</v>
      </c>
      <c r="H6" s="34" t="s">
        <v>574</v>
      </c>
      <c r="I6" s="59">
        <v>47.967100000000002</v>
      </c>
      <c r="J6" s="59">
        <v>-69.4285</v>
      </c>
      <c r="K6" s="8">
        <v>193</v>
      </c>
      <c r="L6" s="8"/>
      <c r="M6" s="8" t="s">
        <v>51</v>
      </c>
      <c r="N6" s="8" t="s">
        <v>52</v>
      </c>
      <c r="O6" s="8"/>
      <c r="P6" s="8" t="s">
        <v>36</v>
      </c>
      <c r="Q6" s="8"/>
      <c r="R6" s="8"/>
      <c r="S6" s="24">
        <f>W7/K6*5</f>
        <v>18.805878901911345</v>
      </c>
      <c r="T6" s="8"/>
      <c r="U6" s="8"/>
      <c r="V6" s="8"/>
      <c r="W6" s="8">
        <f>X6/0.2729</f>
        <v>894.46683766947604</v>
      </c>
      <c r="X6" s="17">
        <f>X7+X8</f>
        <v>244.1</v>
      </c>
      <c r="Y6" s="17" t="s">
        <v>575</v>
      </c>
      <c r="Z6" s="26" t="s">
        <v>576</v>
      </c>
      <c r="AA6" s="26"/>
      <c r="AB6" s="26"/>
      <c r="AC6" s="26"/>
      <c r="AD6" s="8"/>
      <c r="AE6" s="8"/>
      <c r="AF6" s="8"/>
      <c r="AG6" s="8"/>
      <c r="AH6" s="8"/>
      <c r="AI6" s="8"/>
      <c r="AJ6" s="8" t="s">
        <v>881</v>
      </c>
      <c r="AK6" s="3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</row>
    <row r="7" spans="1:62" s="1" customFormat="1" x14ac:dyDescent="0.3">
      <c r="A7" s="8" t="s">
        <v>878</v>
      </c>
      <c r="B7" s="8" t="s">
        <v>27</v>
      </c>
      <c r="C7" s="8" t="s">
        <v>27</v>
      </c>
      <c r="D7" s="8" t="s">
        <v>28</v>
      </c>
      <c r="E7" s="8" t="s">
        <v>49</v>
      </c>
      <c r="F7" s="8" t="s">
        <v>30</v>
      </c>
      <c r="G7" s="34">
        <v>2010</v>
      </c>
      <c r="H7" s="34" t="s">
        <v>250</v>
      </c>
      <c r="I7" s="59">
        <v>47.967100000000002</v>
      </c>
      <c r="J7" s="59">
        <v>-69.4285</v>
      </c>
      <c r="K7" s="8">
        <v>193</v>
      </c>
      <c r="L7" s="8"/>
      <c r="M7" s="8" t="s">
        <v>51</v>
      </c>
      <c r="N7" s="8" t="s">
        <v>52</v>
      </c>
      <c r="O7" s="8"/>
      <c r="P7" s="8" t="s">
        <v>36</v>
      </c>
      <c r="Q7" s="8"/>
      <c r="R7" s="8"/>
      <c r="S7" s="8"/>
      <c r="T7" s="8"/>
      <c r="U7" s="8"/>
      <c r="V7" s="8"/>
      <c r="W7" s="8">
        <f t="shared" si="0"/>
        <v>725.90692561377796</v>
      </c>
      <c r="X7" s="17">
        <v>198.1</v>
      </c>
      <c r="Y7" s="17" t="s">
        <v>577</v>
      </c>
      <c r="Z7" s="25" t="s">
        <v>572</v>
      </c>
      <c r="AA7" s="25"/>
      <c r="AB7" s="25">
        <f>W7</f>
        <v>725.90692561377796</v>
      </c>
      <c r="AC7" s="25">
        <f>W8+W7</f>
        <v>894.46683766947604</v>
      </c>
      <c r="AD7" s="8"/>
      <c r="AE7" s="8"/>
      <c r="AF7" s="8"/>
      <c r="AG7" s="8" t="s">
        <v>578</v>
      </c>
      <c r="AH7" s="8"/>
      <c r="AI7" s="8"/>
      <c r="AJ7" s="8" t="s">
        <v>883</v>
      </c>
      <c r="AK7" s="3" t="s">
        <v>579</v>
      </c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</row>
    <row r="8" spans="1:62" s="1" customFormat="1" x14ac:dyDescent="0.3">
      <c r="A8" s="8" t="s">
        <v>878</v>
      </c>
      <c r="B8" s="8" t="s">
        <v>27</v>
      </c>
      <c r="C8" s="8" t="s">
        <v>27</v>
      </c>
      <c r="D8" s="8" t="s">
        <v>28</v>
      </c>
      <c r="E8" s="8" t="s">
        <v>49</v>
      </c>
      <c r="F8" s="8" t="s">
        <v>30</v>
      </c>
      <c r="G8" s="34">
        <v>2010</v>
      </c>
      <c r="H8" s="34" t="s">
        <v>580</v>
      </c>
      <c r="I8" s="59">
        <v>47.967100000000002</v>
      </c>
      <c r="J8" s="59">
        <v>-69.4285</v>
      </c>
      <c r="K8" s="8">
        <v>193</v>
      </c>
      <c r="L8" s="8"/>
      <c r="M8" s="8" t="s">
        <v>51</v>
      </c>
      <c r="N8" s="8" t="s">
        <v>52</v>
      </c>
      <c r="O8" s="8"/>
      <c r="P8" s="8" t="s">
        <v>36</v>
      </c>
      <c r="Q8" s="8"/>
      <c r="R8" s="8"/>
      <c r="S8" s="8"/>
      <c r="T8" s="8"/>
      <c r="U8" s="8"/>
      <c r="V8" s="8"/>
      <c r="W8" s="8">
        <f t="shared" si="0"/>
        <v>168.55991205569808</v>
      </c>
      <c r="X8" s="17">
        <v>46</v>
      </c>
      <c r="Y8" s="17" t="s">
        <v>577</v>
      </c>
      <c r="Z8" s="25" t="s">
        <v>572</v>
      </c>
      <c r="AA8" s="25"/>
      <c r="AB8" s="25"/>
      <c r="AC8" s="25"/>
      <c r="AD8" s="8"/>
      <c r="AE8" s="8"/>
      <c r="AF8" s="8"/>
      <c r="AG8" s="8"/>
      <c r="AH8" s="8"/>
      <c r="AI8" s="8"/>
      <c r="AJ8" s="8" t="s">
        <v>883</v>
      </c>
      <c r="AK8" s="3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</row>
    <row r="9" spans="1:62" s="13" customFormat="1" ht="15.6" x14ac:dyDescent="0.3">
      <c r="A9" s="8" t="s">
        <v>581</v>
      </c>
      <c r="B9" s="3" t="s">
        <v>27</v>
      </c>
      <c r="C9" s="8" t="s">
        <v>27</v>
      </c>
      <c r="D9" s="3" t="s">
        <v>74</v>
      </c>
      <c r="E9" s="8" t="s">
        <v>75</v>
      </c>
      <c r="F9" s="3" t="s">
        <v>76</v>
      </c>
      <c r="G9" s="34" t="s">
        <v>101</v>
      </c>
      <c r="H9" s="34" t="s">
        <v>95</v>
      </c>
      <c r="I9" s="59">
        <v>45.24</v>
      </c>
      <c r="J9" s="59">
        <v>-75.3</v>
      </c>
      <c r="K9" s="8">
        <v>210</v>
      </c>
      <c r="L9" s="8"/>
      <c r="M9" s="29" t="s">
        <v>96</v>
      </c>
      <c r="N9" s="8" t="s">
        <v>91</v>
      </c>
      <c r="O9" s="14"/>
      <c r="P9" s="8" t="s">
        <v>85</v>
      </c>
      <c r="Q9" s="15"/>
      <c r="R9" s="15"/>
      <c r="S9" s="30">
        <f>(W9+(365-K9))/K9*5</f>
        <v>-3.1513811094243498</v>
      </c>
      <c r="T9" s="8" t="s">
        <v>582</v>
      </c>
      <c r="U9" s="3"/>
      <c r="V9" s="8"/>
      <c r="W9" s="8">
        <f>X9/0.2729</f>
        <v>-287.3580065958227</v>
      </c>
      <c r="X9" s="31">
        <v>-78.42</v>
      </c>
      <c r="Y9" s="17" t="s">
        <v>583</v>
      </c>
      <c r="Z9" s="26" t="s">
        <v>576</v>
      </c>
      <c r="AA9" s="26"/>
      <c r="AB9" s="26">
        <f>W9-(365-K9)</f>
        <v>-442.3580065958227</v>
      </c>
      <c r="AC9" s="26">
        <f>W9</f>
        <v>-287.3580065958227</v>
      </c>
      <c r="AD9" s="3"/>
      <c r="AE9" s="3"/>
      <c r="AF9" s="3"/>
      <c r="AG9" s="3"/>
      <c r="AH9" s="3"/>
      <c r="AI9" s="3"/>
      <c r="AJ9" s="8" t="s">
        <v>881</v>
      </c>
      <c r="AK9" s="3" t="s">
        <v>585</v>
      </c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</row>
    <row r="10" spans="1:62" s="13" customFormat="1" x14ac:dyDescent="0.3">
      <c r="A10" s="8" t="s">
        <v>586</v>
      </c>
      <c r="B10" s="3" t="s">
        <v>27</v>
      </c>
      <c r="C10" s="8" t="s">
        <v>27</v>
      </c>
      <c r="D10" s="3" t="s">
        <v>74</v>
      </c>
      <c r="E10" s="8" t="s">
        <v>75</v>
      </c>
      <c r="F10" s="3" t="s">
        <v>76</v>
      </c>
      <c r="G10" s="14">
        <v>2004</v>
      </c>
      <c r="H10" s="34" t="s">
        <v>587</v>
      </c>
      <c r="I10" s="59">
        <v>45.24</v>
      </c>
      <c r="J10" s="59">
        <v>-75.3</v>
      </c>
      <c r="K10" s="8">
        <v>210</v>
      </c>
      <c r="L10" s="8"/>
      <c r="M10" s="8" t="s">
        <v>588</v>
      </c>
      <c r="N10" s="8" t="s">
        <v>91</v>
      </c>
      <c r="O10" s="14"/>
      <c r="P10" s="8" t="s">
        <v>85</v>
      </c>
      <c r="Q10" s="15" t="s">
        <v>97</v>
      </c>
      <c r="R10" s="8">
        <f>T10/0.2729</f>
        <v>-3.664345914254306</v>
      </c>
      <c r="S10" s="8"/>
      <c r="T10" s="8">
        <v>-1</v>
      </c>
      <c r="U10" s="8" t="s">
        <v>589</v>
      </c>
      <c r="V10" s="8"/>
      <c r="W10" s="8"/>
      <c r="X10" s="17"/>
      <c r="Y10" s="17"/>
      <c r="Z10" s="26"/>
      <c r="AA10" s="26"/>
      <c r="AB10" s="26"/>
      <c r="AC10" s="26"/>
      <c r="AD10" s="3"/>
      <c r="AE10" s="17"/>
      <c r="AF10" s="5">
        <f t="shared" ref="AF10:AF14" si="3">AG10/0.2729</f>
        <v>2183.9501648955666</v>
      </c>
      <c r="AG10" s="3">
        <v>596</v>
      </c>
      <c r="AH10" s="17" t="s">
        <v>590</v>
      </c>
      <c r="AI10" s="3"/>
      <c r="AJ10" s="8" t="s">
        <v>883</v>
      </c>
      <c r="AK10" s="3" t="s">
        <v>591</v>
      </c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</row>
    <row r="11" spans="1:62" s="13" customFormat="1" x14ac:dyDescent="0.3">
      <c r="A11" s="8" t="s">
        <v>592</v>
      </c>
      <c r="B11" s="3" t="s">
        <v>27</v>
      </c>
      <c r="C11" s="8" t="s">
        <v>27</v>
      </c>
      <c r="D11" s="3" t="s">
        <v>74</v>
      </c>
      <c r="E11" s="8" t="s">
        <v>75</v>
      </c>
      <c r="F11" s="3" t="s">
        <v>76</v>
      </c>
      <c r="G11" s="14" t="s">
        <v>94</v>
      </c>
      <c r="H11" s="34" t="s">
        <v>584</v>
      </c>
      <c r="I11" s="59">
        <v>45.24</v>
      </c>
      <c r="J11" s="59">
        <v>-75.3</v>
      </c>
      <c r="K11" s="8">
        <v>210</v>
      </c>
      <c r="L11" s="8"/>
      <c r="M11" s="8" t="s">
        <v>588</v>
      </c>
      <c r="N11" s="8" t="s">
        <v>91</v>
      </c>
      <c r="O11" s="14"/>
      <c r="P11" s="8" t="s">
        <v>85</v>
      </c>
      <c r="Q11" s="15" t="s">
        <v>97</v>
      </c>
      <c r="R11" s="15"/>
      <c r="S11" s="15"/>
      <c r="T11" s="8"/>
      <c r="U11" s="8"/>
      <c r="V11" s="8"/>
      <c r="W11" s="8">
        <f t="shared" ref="W11:W30" si="4">X11/0.2729</f>
        <v>-201.53902528398683</v>
      </c>
      <c r="X11" s="17">
        <v>-55</v>
      </c>
      <c r="Y11" s="17" t="s">
        <v>593</v>
      </c>
      <c r="Z11" s="26" t="s">
        <v>576</v>
      </c>
      <c r="AA11" s="26"/>
      <c r="AB11" s="26"/>
      <c r="AC11" s="26"/>
      <c r="AD11" s="3"/>
      <c r="AE11" s="17"/>
      <c r="AF11" s="5">
        <f t="shared" si="3"/>
        <v>2183.9501648955666</v>
      </c>
      <c r="AG11" s="3">
        <v>596</v>
      </c>
      <c r="AH11" s="17" t="s">
        <v>590</v>
      </c>
      <c r="AI11" s="3"/>
      <c r="AJ11" s="8" t="s">
        <v>883</v>
      </c>
      <c r="AK11" s="3" t="s">
        <v>591</v>
      </c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</row>
    <row r="12" spans="1:62" s="13" customFormat="1" x14ac:dyDescent="0.3">
      <c r="A12" s="8" t="s">
        <v>592</v>
      </c>
      <c r="B12" s="3" t="s">
        <v>27</v>
      </c>
      <c r="C12" s="8" t="s">
        <v>27</v>
      </c>
      <c r="D12" s="3" t="s">
        <v>74</v>
      </c>
      <c r="E12" s="8" t="s">
        <v>75</v>
      </c>
      <c r="F12" s="3" t="s">
        <v>76</v>
      </c>
      <c r="G12" s="14" t="s">
        <v>99</v>
      </c>
      <c r="H12" s="34" t="s">
        <v>584</v>
      </c>
      <c r="I12" s="59">
        <v>45.24</v>
      </c>
      <c r="J12" s="59">
        <v>-75.3</v>
      </c>
      <c r="K12" s="8">
        <v>210</v>
      </c>
      <c r="L12" s="8"/>
      <c r="M12" s="8" t="s">
        <v>588</v>
      </c>
      <c r="N12" s="8" t="s">
        <v>91</v>
      </c>
      <c r="O12" s="14"/>
      <c r="P12" s="8" t="s">
        <v>85</v>
      </c>
      <c r="Q12" s="15" t="s">
        <v>97</v>
      </c>
      <c r="R12" s="15"/>
      <c r="S12" s="15"/>
      <c r="T12" s="8"/>
      <c r="U12" s="8"/>
      <c r="V12" s="8"/>
      <c r="W12" s="8">
        <f t="shared" si="4"/>
        <v>-285.81898131183584</v>
      </c>
      <c r="X12" s="17">
        <v>-78</v>
      </c>
      <c r="Y12" s="17" t="s">
        <v>593</v>
      </c>
      <c r="Z12" s="26" t="s">
        <v>576</v>
      </c>
      <c r="AA12" s="26"/>
      <c r="AB12" s="26"/>
      <c r="AC12" s="26"/>
      <c r="AD12" s="3"/>
      <c r="AE12" s="17"/>
      <c r="AF12" s="5">
        <f t="shared" si="3"/>
        <v>2499.0839135214364</v>
      </c>
      <c r="AG12" s="3">
        <v>682</v>
      </c>
      <c r="AH12" s="17" t="s">
        <v>590</v>
      </c>
      <c r="AI12" s="3"/>
      <c r="AJ12" s="8" t="s">
        <v>883</v>
      </c>
      <c r="AK12" s="3" t="s">
        <v>591</v>
      </c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</row>
    <row r="13" spans="1:62" s="13" customFormat="1" x14ac:dyDescent="0.3">
      <c r="A13" s="8" t="s">
        <v>592</v>
      </c>
      <c r="B13" s="3" t="s">
        <v>27</v>
      </c>
      <c r="C13" s="8" t="s">
        <v>27</v>
      </c>
      <c r="D13" s="3" t="s">
        <v>74</v>
      </c>
      <c r="E13" s="8" t="s">
        <v>75</v>
      </c>
      <c r="F13" s="3" t="s">
        <v>76</v>
      </c>
      <c r="G13" s="14" t="s">
        <v>94</v>
      </c>
      <c r="H13" s="34" t="s">
        <v>594</v>
      </c>
      <c r="I13" s="59">
        <v>45.24</v>
      </c>
      <c r="J13" s="59">
        <v>-75.3</v>
      </c>
      <c r="K13" s="8">
        <v>210</v>
      </c>
      <c r="L13" s="8"/>
      <c r="M13" s="8" t="s">
        <v>588</v>
      </c>
      <c r="N13" s="8" t="s">
        <v>91</v>
      </c>
      <c r="O13" s="14"/>
      <c r="P13" s="8" t="s">
        <v>85</v>
      </c>
      <c r="Q13" s="15" t="s">
        <v>97</v>
      </c>
      <c r="R13" s="15"/>
      <c r="S13" s="15"/>
      <c r="T13" s="8"/>
      <c r="U13" s="8"/>
      <c r="V13" s="8"/>
      <c r="W13" s="8">
        <f t="shared" si="4"/>
        <v>-322.46244045437891</v>
      </c>
      <c r="X13" s="17">
        <v>-88</v>
      </c>
      <c r="Y13" s="17" t="s">
        <v>590</v>
      </c>
      <c r="Z13" s="25" t="s">
        <v>572</v>
      </c>
      <c r="AA13" s="25"/>
      <c r="AB13" s="25"/>
      <c r="AC13" s="25"/>
      <c r="AD13" s="3"/>
      <c r="AE13" s="17"/>
      <c r="AF13" s="5">
        <f t="shared" si="3"/>
        <v>1385.1227555881276</v>
      </c>
      <c r="AG13" s="3">
        <v>378</v>
      </c>
      <c r="AH13" s="17" t="s">
        <v>590</v>
      </c>
      <c r="AI13" s="3"/>
      <c r="AJ13" s="8" t="s">
        <v>883</v>
      </c>
      <c r="AK13" s="3" t="s">
        <v>595</v>
      </c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</row>
    <row r="14" spans="1:62" s="13" customFormat="1" x14ac:dyDescent="0.3">
      <c r="A14" s="8" t="s">
        <v>592</v>
      </c>
      <c r="B14" s="3" t="s">
        <v>27</v>
      </c>
      <c r="C14" s="8" t="s">
        <v>27</v>
      </c>
      <c r="D14" s="3" t="s">
        <v>74</v>
      </c>
      <c r="E14" s="8" t="s">
        <v>75</v>
      </c>
      <c r="F14" s="3" t="s">
        <v>76</v>
      </c>
      <c r="G14" s="14" t="s">
        <v>99</v>
      </c>
      <c r="H14" s="34" t="s">
        <v>594</v>
      </c>
      <c r="I14" s="59">
        <v>45.24</v>
      </c>
      <c r="J14" s="59">
        <v>-75.3</v>
      </c>
      <c r="K14" s="8">
        <v>210</v>
      </c>
      <c r="L14" s="8"/>
      <c r="M14" s="8" t="s">
        <v>588</v>
      </c>
      <c r="N14" s="8" t="s">
        <v>91</v>
      </c>
      <c r="O14" s="14"/>
      <c r="P14" s="8" t="s">
        <v>85</v>
      </c>
      <c r="Q14" s="15" t="s">
        <v>97</v>
      </c>
      <c r="R14" s="15"/>
      <c r="S14" s="15"/>
      <c r="T14" s="8"/>
      <c r="U14" s="8"/>
      <c r="V14" s="8"/>
      <c r="W14" s="8">
        <f t="shared" si="4"/>
        <v>-392.08501282521075</v>
      </c>
      <c r="X14" s="17">
        <v>-107</v>
      </c>
      <c r="Y14" s="17" t="s">
        <v>590</v>
      </c>
      <c r="Z14" s="25" t="s">
        <v>572</v>
      </c>
      <c r="AA14" s="25"/>
      <c r="AB14" s="25"/>
      <c r="AC14" s="25"/>
      <c r="AD14" s="3"/>
      <c r="AE14" s="17"/>
      <c r="AF14" s="5">
        <f t="shared" si="3"/>
        <v>1582.9974349578602</v>
      </c>
      <c r="AG14" s="3">
        <v>432</v>
      </c>
      <c r="AH14" s="17" t="s">
        <v>590</v>
      </c>
      <c r="AI14" s="3"/>
      <c r="AJ14" s="8" t="s">
        <v>883</v>
      </c>
      <c r="AK14" s="3" t="s">
        <v>595</v>
      </c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</row>
    <row r="15" spans="1:62" s="13" customFormat="1" ht="15.6" x14ac:dyDescent="0.3">
      <c r="A15" s="8" t="s">
        <v>947</v>
      </c>
      <c r="B15" s="3" t="s">
        <v>27</v>
      </c>
      <c r="C15" s="8" t="s">
        <v>27</v>
      </c>
      <c r="D15" s="3" t="s">
        <v>74</v>
      </c>
      <c r="E15" s="8" t="s">
        <v>75</v>
      </c>
      <c r="F15" s="3" t="s">
        <v>76</v>
      </c>
      <c r="G15" s="34" t="s">
        <v>596</v>
      </c>
      <c r="H15" s="34" t="s">
        <v>95</v>
      </c>
      <c r="I15" s="59">
        <v>45.24</v>
      </c>
      <c r="J15" s="59">
        <v>-75.3</v>
      </c>
      <c r="K15" s="8">
        <v>210</v>
      </c>
      <c r="L15" s="8"/>
      <c r="M15" s="29" t="s">
        <v>96</v>
      </c>
      <c r="N15" s="8" t="s">
        <v>91</v>
      </c>
      <c r="O15" s="14"/>
      <c r="P15" s="8" t="s">
        <v>85</v>
      </c>
      <c r="Q15" s="15" t="s">
        <v>97</v>
      </c>
      <c r="R15" s="15"/>
      <c r="S15" s="15"/>
      <c r="T15" s="8"/>
      <c r="U15" s="8"/>
      <c r="V15" s="8"/>
      <c r="W15" s="8">
        <f t="shared" si="4"/>
        <v>-212.53206302674974</v>
      </c>
      <c r="X15" s="17">
        <v>-58</v>
      </c>
      <c r="Y15" s="17" t="s">
        <v>583</v>
      </c>
      <c r="Z15" s="26" t="s">
        <v>576</v>
      </c>
      <c r="AA15" s="26"/>
      <c r="AB15" s="26"/>
      <c r="AC15" s="26"/>
      <c r="AD15" s="3"/>
      <c r="AE15" s="3"/>
      <c r="AF15" s="3"/>
      <c r="AG15" s="3"/>
      <c r="AH15" s="3"/>
      <c r="AI15" s="3"/>
      <c r="AJ15" s="8" t="s">
        <v>883</v>
      </c>
      <c r="AK15" s="3" t="s">
        <v>585</v>
      </c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</row>
    <row r="16" spans="1:62" s="13" customFormat="1" ht="15.6" x14ac:dyDescent="0.3">
      <c r="A16" s="8" t="s">
        <v>947</v>
      </c>
      <c r="B16" s="3" t="s">
        <v>27</v>
      </c>
      <c r="C16" s="8" t="s">
        <v>27</v>
      </c>
      <c r="D16" s="3" t="s">
        <v>74</v>
      </c>
      <c r="E16" s="8" t="s">
        <v>75</v>
      </c>
      <c r="F16" s="3" t="s">
        <v>76</v>
      </c>
      <c r="G16" s="34" t="s">
        <v>597</v>
      </c>
      <c r="H16" s="34" t="s">
        <v>95</v>
      </c>
      <c r="I16" s="59">
        <v>45.24</v>
      </c>
      <c r="J16" s="59">
        <v>-75.3</v>
      </c>
      <c r="K16" s="8">
        <v>210</v>
      </c>
      <c r="L16" s="8"/>
      <c r="M16" s="29" t="s">
        <v>96</v>
      </c>
      <c r="N16" s="8" t="s">
        <v>91</v>
      </c>
      <c r="O16" s="14"/>
      <c r="P16" s="8" t="s">
        <v>85</v>
      </c>
      <c r="Q16" s="15" t="s">
        <v>97</v>
      </c>
      <c r="R16" s="15"/>
      <c r="S16" s="15"/>
      <c r="T16" s="8"/>
      <c r="U16" s="8"/>
      <c r="V16" s="8"/>
      <c r="W16" s="8">
        <f t="shared" si="4"/>
        <v>-161.23122022718945</v>
      </c>
      <c r="X16" s="17">
        <v>-44</v>
      </c>
      <c r="Y16" s="17" t="s">
        <v>583</v>
      </c>
      <c r="Z16" s="26" t="s">
        <v>576</v>
      </c>
      <c r="AA16" s="26"/>
      <c r="AB16" s="26"/>
      <c r="AC16" s="26"/>
      <c r="AD16" s="3"/>
      <c r="AE16" s="3"/>
      <c r="AF16" s="3"/>
      <c r="AG16" s="3"/>
      <c r="AH16" s="3"/>
      <c r="AI16" s="3"/>
      <c r="AJ16" s="8" t="s">
        <v>883</v>
      </c>
      <c r="AK16" s="3" t="s">
        <v>585</v>
      </c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</row>
    <row r="17" spans="1:62" s="13" customFormat="1" ht="15.6" x14ac:dyDescent="0.3">
      <c r="A17" s="8" t="s">
        <v>947</v>
      </c>
      <c r="B17" s="3" t="s">
        <v>27</v>
      </c>
      <c r="C17" s="8" t="s">
        <v>27</v>
      </c>
      <c r="D17" s="3" t="s">
        <v>74</v>
      </c>
      <c r="E17" s="8" t="s">
        <v>75</v>
      </c>
      <c r="F17" s="3" t="s">
        <v>76</v>
      </c>
      <c r="G17" s="34" t="s">
        <v>598</v>
      </c>
      <c r="H17" s="34" t="s">
        <v>95</v>
      </c>
      <c r="I17" s="59">
        <v>45.24</v>
      </c>
      <c r="J17" s="59">
        <v>-75.3</v>
      </c>
      <c r="K17" s="8">
        <v>210</v>
      </c>
      <c r="L17" s="8"/>
      <c r="M17" s="29" t="s">
        <v>96</v>
      </c>
      <c r="N17" s="8" t="s">
        <v>91</v>
      </c>
      <c r="O17" s="14"/>
      <c r="P17" s="8" t="s">
        <v>85</v>
      </c>
      <c r="Q17" s="15" t="s">
        <v>97</v>
      </c>
      <c r="R17" s="15"/>
      <c r="S17" s="15"/>
      <c r="T17" s="8"/>
      <c r="U17" s="8"/>
      <c r="V17" s="8"/>
      <c r="W17" s="8">
        <f t="shared" si="4"/>
        <v>-36.643459142543058</v>
      </c>
      <c r="X17" s="17">
        <v>-10</v>
      </c>
      <c r="Y17" s="17" t="s">
        <v>583</v>
      </c>
      <c r="Z17" s="26" t="s">
        <v>576</v>
      </c>
      <c r="AA17" s="26"/>
      <c r="AB17" s="26"/>
      <c r="AC17" s="26"/>
      <c r="AD17" s="3"/>
      <c r="AE17" s="3"/>
      <c r="AF17" s="3"/>
      <c r="AG17" s="3"/>
      <c r="AH17" s="3"/>
      <c r="AI17" s="3"/>
      <c r="AJ17" s="8" t="s">
        <v>883</v>
      </c>
      <c r="AK17" s="3" t="s">
        <v>585</v>
      </c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</row>
    <row r="18" spans="1:62" s="13" customFormat="1" ht="15.6" x14ac:dyDescent="0.3">
      <c r="A18" s="8" t="s">
        <v>947</v>
      </c>
      <c r="B18" s="3" t="s">
        <v>27</v>
      </c>
      <c r="C18" s="8" t="s">
        <v>27</v>
      </c>
      <c r="D18" s="3" t="s">
        <v>74</v>
      </c>
      <c r="E18" s="8" t="s">
        <v>75</v>
      </c>
      <c r="F18" s="3" t="s">
        <v>76</v>
      </c>
      <c r="G18" s="54" t="s">
        <v>599</v>
      </c>
      <c r="H18" s="34" t="s">
        <v>95</v>
      </c>
      <c r="I18" s="59">
        <v>45.24</v>
      </c>
      <c r="J18" s="59">
        <v>-75.3</v>
      </c>
      <c r="K18" s="8">
        <v>210</v>
      </c>
      <c r="L18" s="8"/>
      <c r="M18" s="29" t="s">
        <v>96</v>
      </c>
      <c r="N18" s="8" t="s">
        <v>91</v>
      </c>
      <c r="O18" s="14"/>
      <c r="P18" s="8" t="s">
        <v>85</v>
      </c>
      <c r="Q18" s="15" t="s">
        <v>97</v>
      </c>
      <c r="R18" s="15"/>
      <c r="S18" s="15"/>
      <c r="T18" s="8"/>
      <c r="U18" s="8"/>
      <c r="V18" s="8"/>
      <c r="W18" s="8">
        <f t="shared" si="4"/>
        <v>-95.272993770611947</v>
      </c>
      <c r="X18" s="17">
        <v>-26</v>
      </c>
      <c r="Y18" s="17" t="s">
        <v>583</v>
      </c>
      <c r="Z18" s="26" t="s">
        <v>576</v>
      </c>
      <c r="AA18" s="26"/>
      <c r="AB18" s="26"/>
      <c r="AC18" s="26"/>
      <c r="AD18" s="3"/>
      <c r="AE18" s="3"/>
      <c r="AF18" s="3"/>
      <c r="AG18" s="3"/>
      <c r="AH18" s="3"/>
      <c r="AI18" s="3"/>
      <c r="AJ18" s="8" t="s">
        <v>883</v>
      </c>
      <c r="AK18" s="3" t="s">
        <v>585</v>
      </c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</row>
    <row r="19" spans="1:62" s="13" customFormat="1" ht="15.6" x14ac:dyDescent="0.3">
      <c r="A19" s="8" t="s">
        <v>947</v>
      </c>
      <c r="B19" s="3" t="s">
        <v>27</v>
      </c>
      <c r="C19" s="8" t="s">
        <v>27</v>
      </c>
      <c r="D19" s="3" t="s">
        <v>74</v>
      </c>
      <c r="E19" s="8" t="s">
        <v>75</v>
      </c>
      <c r="F19" s="3" t="s">
        <v>76</v>
      </c>
      <c r="G19" s="54" t="s">
        <v>282</v>
      </c>
      <c r="H19" s="34" t="s">
        <v>95</v>
      </c>
      <c r="I19" s="59">
        <v>45.24</v>
      </c>
      <c r="J19" s="59">
        <v>-75.3</v>
      </c>
      <c r="K19" s="8">
        <v>210</v>
      </c>
      <c r="L19" s="8"/>
      <c r="M19" s="29" t="s">
        <v>96</v>
      </c>
      <c r="N19" s="8" t="s">
        <v>91</v>
      </c>
      <c r="O19" s="14"/>
      <c r="P19" s="8" t="s">
        <v>85</v>
      </c>
      <c r="Q19" s="15" t="s">
        <v>97</v>
      </c>
      <c r="R19" s="15"/>
      <c r="S19" s="15"/>
      <c r="T19" s="8"/>
      <c r="U19" s="8"/>
      <c r="V19" s="8"/>
      <c r="W19" s="8">
        <f t="shared" si="4"/>
        <v>-109.93037742762918</v>
      </c>
      <c r="X19" s="17">
        <v>-30</v>
      </c>
      <c r="Y19" s="17" t="s">
        <v>583</v>
      </c>
      <c r="Z19" s="26" t="s">
        <v>576</v>
      </c>
      <c r="AA19" s="26"/>
      <c r="AB19" s="26"/>
      <c r="AC19" s="26"/>
      <c r="AD19" s="3"/>
      <c r="AE19" s="3"/>
      <c r="AF19" s="3"/>
      <c r="AG19" s="3"/>
      <c r="AH19" s="3"/>
      <c r="AI19" s="3"/>
      <c r="AJ19" s="8" t="s">
        <v>883</v>
      </c>
      <c r="AK19" s="3" t="s">
        <v>585</v>
      </c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</row>
    <row r="20" spans="1:62" s="13" customFormat="1" ht="15.6" x14ac:dyDescent="0.3">
      <c r="A20" s="8" t="s">
        <v>947</v>
      </c>
      <c r="B20" s="3" t="s">
        <v>27</v>
      </c>
      <c r="C20" s="8" t="s">
        <v>27</v>
      </c>
      <c r="D20" s="3" t="s">
        <v>74</v>
      </c>
      <c r="E20" s="8" t="s">
        <v>75</v>
      </c>
      <c r="F20" s="3" t="s">
        <v>76</v>
      </c>
      <c r="G20" s="34" t="s">
        <v>600</v>
      </c>
      <c r="H20" s="34" t="s">
        <v>95</v>
      </c>
      <c r="I20" s="59">
        <v>45.24</v>
      </c>
      <c r="J20" s="59">
        <v>-75.3</v>
      </c>
      <c r="K20" s="8">
        <v>210</v>
      </c>
      <c r="L20" s="8"/>
      <c r="M20" s="29" t="s">
        <v>96</v>
      </c>
      <c r="N20" s="8" t="s">
        <v>91</v>
      </c>
      <c r="O20" s="14"/>
      <c r="P20" s="8" t="s">
        <v>85</v>
      </c>
      <c r="Q20" s="15" t="s">
        <v>97</v>
      </c>
      <c r="R20" s="15"/>
      <c r="S20" s="15"/>
      <c r="T20" s="8"/>
      <c r="U20" s="8"/>
      <c r="V20" s="8"/>
      <c r="W20" s="8">
        <f t="shared" si="4"/>
        <v>-469.03627702455117</v>
      </c>
      <c r="X20" s="17">
        <v>-128</v>
      </c>
      <c r="Y20" s="17" t="s">
        <v>583</v>
      </c>
      <c r="Z20" s="26" t="s">
        <v>576</v>
      </c>
      <c r="AA20" s="26"/>
      <c r="AB20" s="26"/>
      <c r="AC20" s="26"/>
      <c r="AD20" s="3"/>
      <c r="AE20" s="3"/>
      <c r="AF20" s="3"/>
      <c r="AG20" s="3"/>
      <c r="AH20" s="3"/>
      <c r="AI20" s="3"/>
      <c r="AJ20" s="8" t="s">
        <v>883</v>
      </c>
      <c r="AK20" s="3" t="s">
        <v>585</v>
      </c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</row>
    <row r="21" spans="1:62" s="13" customFormat="1" ht="15.6" x14ac:dyDescent="0.3">
      <c r="A21" s="8" t="s">
        <v>947</v>
      </c>
      <c r="B21" s="3" t="s">
        <v>27</v>
      </c>
      <c r="C21" s="8" t="s">
        <v>27</v>
      </c>
      <c r="D21" s="3" t="s">
        <v>74</v>
      </c>
      <c r="E21" s="8" t="s">
        <v>75</v>
      </c>
      <c r="F21" s="3" t="s">
        <v>76</v>
      </c>
      <c r="G21" s="34" t="s">
        <v>601</v>
      </c>
      <c r="H21" s="34" t="s">
        <v>95</v>
      </c>
      <c r="I21" s="59">
        <v>45.24</v>
      </c>
      <c r="J21" s="59">
        <v>-75.3</v>
      </c>
      <c r="K21" s="8">
        <v>210</v>
      </c>
      <c r="L21" s="8"/>
      <c r="M21" s="29" t="s">
        <v>96</v>
      </c>
      <c r="N21" s="8" t="s">
        <v>91</v>
      </c>
      <c r="O21" s="14"/>
      <c r="P21" s="8" t="s">
        <v>85</v>
      </c>
      <c r="Q21" s="15" t="s">
        <v>97</v>
      </c>
      <c r="R21" s="15"/>
      <c r="S21" s="15"/>
      <c r="T21" s="8"/>
      <c r="U21" s="8"/>
      <c r="V21" s="8"/>
      <c r="W21" s="8">
        <f t="shared" si="4"/>
        <v>-344.44851593990478</v>
      </c>
      <c r="X21" s="17">
        <v>-94</v>
      </c>
      <c r="Y21" s="17" t="s">
        <v>583</v>
      </c>
      <c r="Z21" s="26" t="s">
        <v>576</v>
      </c>
      <c r="AA21" s="26"/>
      <c r="AB21" s="26"/>
      <c r="AC21" s="26"/>
      <c r="AD21" s="3"/>
      <c r="AE21" s="3"/>
      <c r="AF21" s="3"/>
      <c r="AG21" s="3"/>
      <c r="AH21" s="3"/>
      <c r="AI21" s="3"/>
      <c r="AJ21" s="8" t="s">
        <v>883</v>
      </c>
      <c r="AK21" s="3" t="s">
        <v>585</v>
      </c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</row>
    <row r="22" spans="1:62" s="13" customFormat="1" ht="15.6" x14ac:dyDescent="0.3">
      <c r="A22" s="8" t="s">
        <v>947</v>
      </c>
      <c r="B22" s="3" t="s">
        <v>27</v>
      </c>
      <c r="C22" s="8" t="s">
        <v>27</v>
      </c>
      <c r="D22" s="3" t="s">
        <v>74</v>
      </c>
      <c r="E22" s="8" t="s">
        <v>75</v>
      </c>
      <c r="F22" s="3" t="s">
        <v>76</v>
      </c>
      <c r="G22" s="34" t="s">
        <v>260</v>
      </c>
      <c r="H22" s="34" t="s">
        <v>95</v>
      </c>
      <c r="I22" s="59">
        <v>45.24</v>
      </c>
      <c r="J22" s="59">
        <v>-75.3</v>
      </c>
      <c r="K22" s="8">
        <v>210</v>
      </c>
      <c r="L22" s="8"/>
      <c r="M22" s="29" t="s">
        <v>96</v>
      </c>
      <c r="N22" s="8" t="s">
        <v>91</v>
      </c>
      <c r="O22" s="14"/>
      <c r="P22" s="8" t="s">
        <v>85</v>
      </c>
      <c r="Q22" s="15" t="s">
        <v>97</v>
      </c>
      <c r="R22" s="15"/>
      <c r="S22" s="15"/>
      <c r="T22" s="8"/>
      <c r="U22" s="8"/>
      <c r="V22" s="8"/>
      <c r="W22" s="8">
        <f t="shared" si="4"/>
        <v>-505.67973616709423</v>
      </c>
      <c r="X22" s="17">
        <v>-138</v>
      </c>
      <c r="Y22" s="17" t="s">
        <v>583</v>
      </c>
      <c r="Z22" s="26" t="s">
        <v>576</v>
      </c>
      <c r="AA22" s="26"/>
      <c r="AB22" s="26"/>
      <c r="AC22" s="26"/>
      <c r="AD22" s="3"/>
      <c r="AE22" s="3"/>
      <c r="AF22" s="3"/>
      <c r="AG22" s="3"/>
      <c r="AH22" s="3"/>
      <c r="AI22" s="3"/>
      <c r="AJ22" s="8" t="s">
        <v>883</v>
      </c>
      <c r="AK22" s="3" t="s">
        <v>585</v>
      </c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</row>
    <row r="23" spans="1:62" s="13" customFormat="1" ht="15.6" x14ac:dyDescent="0.3">
      <c r="A23" s="8" t="s">
        <v>947</v>
      </c>
      <c r="B23" s="3" t="s">
        <v>27</v>
      </c>
      <c r="C23" s="8" t="s">
        <v>27</v>
      </c>
      <c r="D23" s="3" t="s">
        <v>74</v>
      </c>
      <c r="E23" s="8" t="s">
        <v>75</v>
      </c>
      <c r="F23" s="3" t="s">
        <v>76</v>
      </c>
      <c r="G23" s="34" t="s">
        <v>602</v>
      </c>
      <c r="H23" s="34" t="s">
        <v>95</v>
      </c>
      <c r="I23" s="59">
        <v>45.24</v>
      </c>
      <c r="J23" s="59">
        <v>-75.3</v>
      </c>
      <c r="K23" s="8">
        <v>210</v>
      </c>
      <c r="L23" s="8"/>
      <c r="M23" s="29" t="s">
        <v>96</v>
      </c>
      <c r="N23" s="8" t="s">
        <v>91</v>
      </c>
      <c r="O23" s="14"/>
      <c r="P23" s="8" t="s">
        <v>85</v>
      </c>
      <c r="Q23" s="15" t="s">
        <v>97</v>
      </c>
      <c r="R23" s="15"/>
      <c r="S23" s="15"/>
      <c r="T23" s="8"/>
      <c r="U23" s="8"/>
      <c r="V23" s="8"/>
      <c r="W23" s="8">
        <f t="shared" si="4"/>
        <v>-366.4345914254306</v>
      </c>
      <c r="X23" s="17">
        <v>-100</v>
      </c>
      <c r="Y23" s="17" t="s">
        <v>583</v>
      </c>
      <c r="Z23" s="26" t="s">
        <v>576</v>
      </c>
      <c r="AA23" s="26"/>
      <c r="AB23" s="26"/>
      <c r="AC23" s="26"/>
      <c r="AD23" s="3"/>
      <c r="AE23" s="3"/>
      <c r="AF23" s="3"/>
      <c r="AG23" s="3"/>
      <c r="AH23" s="3"/>
      <c r="AI23" s="3"/>
      <c r="AJ23" s="8" t="s">
        <v>883</v>
      </c>
      <c r="AK23" s="3" t="s">
        <v>585</v>
      </c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</row>
    <row r="24" spans="1:62" s="13" customFormat="1" ht="15.6" x14ac:dyDescent="0.3">
      <c r="A24" s="8" t="s">
        <v>947</v>
      </c>
      <c r="B24" s="3" t="s">
        <v>27</v>
      </c>
      <c r="C24" s="8" t="s">
        <v>27</v>
      </c>
      <c r="D24" s="3" t="s">
        <v>74</v>
      </c>
      <c r="E24" s="8" t="s">
        <v>75</v>
      </c>
      <c r="F24" s="3" t="s">
        <v>76</v>
      </c>
      <c r="G24" s="34" t="s">
        <v>603</v>
      </c>
      <c r="H24" s="34" t="s">
        <v>95</v>
      </c>
      <c r="I24" s="59">
        <v>45.24</v>
      </c>
      <c r="J24" s="59">
        <v>-75.3</v>
      </c>
      <c r="K24" s="8">
        <v>210</v>
      </c>
      <c r="L24" s="8"/>
      <c r="M24" s="29" t="s">
        <v>96</v>
      </c>
      <c r="N24" s="8" t="s">
        <v>91</v>
      </c>
      <c r="O24" s="14"/>
      <c r="P24" s="8" t="s">
        <v>85</v>
      </c>
      <c r="Q24" s="15" t="s">
        <v>97</v>
      </c>
      <c r="R24" s="15"/>
      <c r="S24" s="15"/>
      <c r="T24" s="8"/>
      <c r="U24" s="8"/>
      <c r="V24" s="8"/>
      <c r="W24" s="8">
        <f t="shared" si="4"/>
        <v>-505.67973616709423</v>
      </c>
      <c r="X24" s="17">
        <v>-138</v>
      </c>
      <c r="Y24" s="17" t="s">
        <v>583</v>
      </c>
      <c r="Z24" s="26" t="s">
        <v>576</v>
      </c>
      <c r="AA24" s="26"/>
      <c r="AB24" s="26"/>
      <c r="AC24" s="26"/>
      <c r="AD24" s="3"/>
      <c r="AE24" s="3"/>
      <c r="AF24" s="3"/>
      <c r="AG24" s="3"/>
      <c r="AH24" s="3"/>
      <c r="AI24" s="3"/>
      <c r="AJ24" s="8" t="s">
        <v>883</v>
      </c>
      <c r="AK24" s="3" t="s">
        <v>585</v>
      </c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</row>
    <row r="25" spans="1:62" s="13" customFormat="1" ht="15.6" x14ac:dyDescent="0.3">
      <c r="A25" s="8" t="s">
        <v>947</v>
      </c>
      <c r="B25" s="3" t="s">
        <v>27</v>
      </c>
      <c r="C25" s="8" t="s">
        <v>27</v>
      </c>
      <c r="D25" s="3" t="s">
        <v>74</v>
      </c>
      <c r="E25" s="8" t="s">
        <v>75</v>
      </c>
      <c r="F25" s="3" t="s">
        <v>76</v>
      </c>
      <c r="G25" s="34" t="s">
        <v>604</v>
      </c>
      <c r="H25" s="34" t="s">
        <v>95</v>
      </c>
      <c r="I25" s="59">
        <v>45.24</v>
      </c>
      <c r="J25" s="59">
        <v>-75.3</v>
      </c>
      <c r="K25" s="8">
        <v>210</v>
      </c>
      <c r="L25" s="8"/>
      <c r="M25" s="29" t="s">
        <v>96</v>
      </c>
      <c r="N25" s="8" t="s">
        <v>91</v>
      </c>
      <c r="O25" s="14"/>
      <c r="P25" s="8" t="s">
        <v>85</v>
      </c>
      <c r="Q25" s="15" t="s">
        <v>97</v>
      </c>
      <c r="R25" s="15"/>
      <c r="S25" s="15"/>
      <c r="T25" s="8"/>
      <c r="U25" s="8"/>
      <c r="V25" s="8"/>
      <c r="W25" s="8">
        <f t="shared" si="4"/>
        <v>-392.08501282521075</v>
      </c>
      <c r="X25" s="17">
        <v>-107</v>
      </c>
      <c r="Y25" s="17" t="s">
        <v>583</v>
      </c>
      <c r="Z25" s="26" t="s">
        <v>576</v>
      </c>
      <c r="AA25" s="26"/>
      <c r="AB25" s="26"/>
      <c r="AC25" s="26"/>
      <c r="AD25" s="3"/>
      <c r="AE25" s="3"/>
      <c r="AF25" s="3"/>
      <c r="AG25" s="3"/>
      <c r="AH25" s="3"/>
      <c r="AI25" s="3"/>
      <c r="AJ25" s="8" t="s">
        <v>883</v>
      </c>
      <c r="AK25" s="3" t="s">
        <v>585</v>
      </c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</row>
    <row r="26" spans="1:62" s="13" customFormat="1" ht="15.6" x14ac:dyDescent="0.3">
      <c r="A26" s="8" t="s">
        <v>947</v>
      </c>
      <c r="B26" s="3" t="s">
        <v>27</v>
      </c>
      <c r="C26" s="8" t="s">
        <v>27</v>
      </c>
      <c r="D26" s="3" t="s">
        <v>74</v>
      </c>
      <c r="E26" s="8" t="s">
        <v>75</v>
      </c>
      <c r="F26" s="3" t="s">
        <v>76</v>
      </c>
      <c r="G26" s="34" t="s">
        <v>605</v>
      </c>
      <c r="H26" s="34" t="s">
        <v>95</v>
      </c>
      <c r="I26" s="59">
        <v>45.24</v>
      </c>
      <c r="J26" s="59">
        <v>-75.3</v>
      </c>
      <c r="K26" s="8">
        <v>210</v>
      </c>
      <c r="L26" s="8"/>
      <c r="M26" s="29" t="s">
        <v>96</v>
      </c>
      <c r="N26" s="8" t="s">
        <v>91</v>
      </c>
      <c r="O26" s="14"/>
      <c r="P26" s="8" t="s">
        <v>85</v>
      </c>
      <c r="Q26" s="15" t="s">
        <v>97</v>
      </c>
      <c r="R26" s="15"/>
      <c r="S26" s="15"/>
      <c r="T26" s="8"/>
      <c r="U26" s="8"/>
      <c r="V26" s="8"/>
      <c r="W26" s="8">
        <f t="shared" si="4"/>
        <v>-197.87467936973252</v>
      </c>
      <c r="X26" s="17">
        <v>-54</v>
      </c>
      <c r="Y26" s="17" t="s">
        <v>583</v>
      </c>
      <c r="Z26" s="26" t="s">
        <v>576</v>
      </c>
      <c r="AA26" s="26"/>
      <c r="AB26" s="26"/>
      <c r="AC26" s="26"/>
      <c r="AD26" s="3"/>
      <c r="AE26" s="3"/>
      <c r="AF26" s="3"/>
      <c r="AG26" s="3"/>
      <c r="AH26" s="3"/>
      <c r="AI26" s="3"/>
      <c r="AJ26" s="8" t="s">
        <v>883</v>
      </c>
      <c r="AK26" s="3" t="s">
        <v>585</v>
      </c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</row>
    <row r="27" spans="1:62" s="13" customFormat="1" ht="15.6" x14ac:dyDescent="0.3">
      <c r="A27" s="8" t="s">
        <v>947</v>
      </c>
      <c r="B27" s="3" t="s">
        <v>27</v>
      </c>
      <c r="C27" s="8" t="s">
        <v>27</v>
      </c>
      <c r="D27" s="3" t="s">
        <v>74</v>
      </c>
      <c r="E27" s="8" t="s">
        <v>75</v>
      </c>
      <c r="F27" s="3" t="s">
        <v>76</v>
      </c>
      <c r="G27" s="34" t="s">
        <v>94</v>
      </c>
      <c r="H27" s="34" t="s">
        <v>95</v>
      </c>
      <c r="I27" s="59">
        <v>45.24</v>
      </c>
      <c r="J27" s="59">
        <v>-75.3</v>
      </c>
      <c r="K27" s="8">
        <v>210</v>
      </c>
      <c r="L27" s="8"/>
      <c r="M27" s="29" t="s">
        <v>96</v>
      </c>
      <c r="N27" s="8" t="s">
        <v>91</v>
      </c>
      <c r="O27" s="14"/>
      <c r="P27" s="8" t="s">
        <v>85</v>
      </c>
      <c r="Q27" s="15" t="s">
        <v>97</v>
      </c>
      <c r="R27" s="15"/>
      <c r="S27" s="15"/>
      <c r="T27" s="8"/>
      <c r="U27" s="8"/>
      <c r="V27" s="8"/>
      <c r="W27" s="8">
        <f t="shared" si="4"/>
        <v>-205.20337119824114</v>
      </c>
      <c r="X27" s="17">
        <v>-56</v>
      </c>
      <c r="Y27" s="17" t="s">
        <v>583</v>
      </c>
      <c r="Z27" s="26" t="s">
        <v>576</v>
      </c>
      <c r="AA27" s="26"/>
      <c r="AB27" s="26"/>
      <c r="AC27" s="26"/>
      <c r="AD27" s="3"/>
      <c r="AE27" s="3"/>
      <c r="AF27" s="3"/>
      <c r="AG27" s="3"/>
      <c r="AH27" s="3"/>
      <c r="AI27" s="3"/>
      <c r="AJ27" s="8" t="s">
        <v>883</v>
      </c>
      <c r="AK27" s="3" t="s">
        <v>585</v>
      </c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</row>
    <row r="28" spans="1:62" s="13" customFormat="1" ht="15.6" x14ac:dyDescent="0.3">
      <c r="A28" s="8" t="s">
        <v>947</v>
      </c>
      <c r="B28" s="3" t="s">
        <v>27</v>
      </c>
      <c r="C28" s="8" t="s">
        <v>27</v>
      </c>
      <c r="D28" s="3" t="s">
        <v>74</v>
      </c>
      <c r="E28" s="8" t="s">
        <v>75</v>
      </c>
      <c r="F28" s="3" t="s">
        <v>76</v>
      </c>
      <c r="G28" s="34" t="s">
        <v>99</v>
      </c>
      <c r="H28" s="34" t="s">
        <v>95</v>
      </c>
      <c r="I28" s="59">
        <v>45.24</v>
      </c>
      <c r="J28" s="59">
        <v>-75.3</v>
      </c>
      <c r="K28" s="8">
        <v>210</v>
      </c>
      <c r="L28" s="8"/>
      <c r="M28" s="29" t="s">
        <v>96</v>
      </c>
      <c r="N28" s="8" t="s">
        <v>91</v>
      </c>
      <c r="O28" s="14"/>
      <c r="P28" s="8" t="s">
        <v>85</v>
      </c>
      <c r="Q28" s="15" t="s">
        <v>97</v>
      </c>
      <c r="R28" s="15"/>
      <c r="S28" s="15"/>
      <c r="T28" s="8"/>
      <c r="U28" s="8"/>
      <c r="V28" s="8"/>
      <c r="W28" s="8">
        <f t="shared" si="4"/>
        <v>-289.48332722609018</v>
      </c>
      <c r="X28" s="17">
        <v>-79</v>
      </c>
      <c r="Y28" s="17" t="s">
        <v>583</v>
      </c>
      <c r="Z28" s="26" t="s">
        <v>576</v>
      </c>
      <c r="AA28" s="26"/>
      <c r="AB28" s="26"/>
      <c r="AC28" s="26"/>
      <c r="AD28" s="3"/>
      <c r="AE28" s="3"/>
      <c r="AF28" s="3"/>
      <c r="AG28" s="3"/>
      <c r="AH28" s="3"/>
      <c r="AI28" s="3"/>
      <c r="AJ28" s="8" t="s">
        <v>883</v>
      </c>
      <c r="AK28" s="3" t="s">
        <v>585</v>
      </c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</row>
    <row r="29" spans="1:62" s="13" customFormat="1" ht="15.6" x14ac:dyDescent="0.3">
      <c r="A29" s="8" t="s">
        <v>947</v>
      </c>
      <c r="B29" s="3" t="s">
        <v>27</v>
      </c>
      <c r="C29" s="8" t="s">
        <v>27</v>
      </c>
      <c r="D29" s="3" t="s">
        <v>74</v>
      </c>
      <c r="E29" s="8" t="s">
        <v>75</v>
      </c>
      <c r="F29" s="3" t="s">
        <v>76</v>
      </c>
      <c r="G29" s="34" t="s">
        <v>100</v>
      </c>
      <c r="H29" s="34" t="s">
        <v>95</v>
      </c>
      <c r="I29" s="59">
        <v>45.24</v>
      </c>
      <c r="J29" s="59">
        <v>-75.3</v>
      </c>
      <c r="K29" s="8">
        <v>210</v>
      </c>
      <c r="L29" s="8"/>
      <c r="M29" s="29" t="s">
        <v>96</v>
      </c>
      <c r="N29" s="8" t="s">
        <v>91</v>
      </c>
      <c r="O29" s="14"/>
      <c r="P29" s="8" t="s">
        <v>85</v>
      </c>
      <c r="Q29" s="15" t="s">
        <v>97</v>
      </c>
      <c r="R29" s="15"/>
      <c r="S29" s="15"/>
      <c r="T29" s="8"/>
      <c r="U29" s="8"/>
      <c r="V29" s="8"/>
      <c r="W29" s="8">
        <f t="shared" si="4"/>
        <v>-245.51117625503849</v>
      </c>
      <c r="X29" s="17">
        <v>-67</v>
      </c>
      <c r="Y29" s="17" t="s">
        <v>583</v>
      </c>
      <c r="Z29" s="26" t="s">
        <v>576</v>
      </c>
      <c r="AA29" s="26"/>
      <c r="AB29" s="26"/>
      <c r="AC29" s="26"/>
      <c r="AD29" s="3"/>
      <c r="AE29" s="3"/>
      <c r="AF29" s="3"/>
      <c r="AG29" s="3"/>
      <c r="AH29" s="3"/>
      <c r="AI29" s="3"/>
      <c r="AJ29" s="8" t="s">
        <v>883</v>
      </c>
      <c r="AK29" s="3" t="s">
        <v>585</v>
      </c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</row>
    <row r="30" spans="1:62" s="13" customFormat="1" ht="15.6" x14ac:dyDescent="0.3">
      <c r="A30" s="8" t="s">
        <v>947</v>
      </c>
      <c r="B30" s="3" t="s">
        <v>27</v>
      </c>
      <c r="C30" s="8" t="s">
        <v>27</v>
      </c>
      <c r="D30" s="3" t="s">
        <v>74</v>
      </c>
      <c r="E30" s="8" t="s">
        <v>75</v>
      </c>
      <c r="F30" s="3" t="s">
        <v>76</v>
      </c>
      <c r="G30" s="34" t="s">
        <v>101</v>
      </c>
      <c r="H30" s="34" t="s">
        <v>95</v>
      </c>
      <c r="I30" s="59">
        <v>45.24</v>
      </c>
      <c r="J30" s="59">
        <v>-75.3</v>
      </c>
      <c r="K30" s="8">
        <v>210</v>
      </c>
      <c r="L30" s="8"/>
      <c r="M30" s="29" t="s">
        <v>96</v>
      </c>
      <c r="N30" s="8" t="s">
        <v>91</v>
      </c>
      <c r="O30" s="14"/>
      <c r="P30" s="8" t="s">
        <v>85</v>
      </c>
      <c r="Q30" s="15" t="s">
        <v>97</v>
      </c>
      <c r="R30" s="15"/>
      <c r="S30" s="15"/>
      <c r="T30" s="8"/>
      <c r="U30" s="8"/>
      <c r="V30" s="8"/>
      <c r="W30" s="8">
        <f t="shared" si="4"/>
        <v>-465.37193111029683</v>
      </c>
      <c r="X30" s="17">
        <v>-127</v>
      </c>
      <c r="Y30" s="17" t="s">
        <v>583</v>
      </c>
      <c r="Z30" s="26" t="s">
        <v>576</v>
      </c>
      <c r="AA30" s="26"/>
      <c r="AB30" s="26"/>
      <c r="AC30" s="26"/>
      <c r="AD30" s="3"/>
      <c r="AE30" s="3"/>
      <c r="AF30" s="3"/>
      <c r="AG30" s="3"/>
      <c r="AH30" s="3"/>
      <c r="AI30" s="3"/>
      <c r="AJ30" s="8" t="s">
        <v>883</v>
      </c>
      <c r="AK30" s="3" t="s">
        <v>585</v>
      </c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</row>
    <row r="31" spans="1:62" s="1" customFormat="1" x14ac:dyDescent="0.3">
      <c r="A31" s="8" t="s">
        <v>606</v>
      </c>
      <c r="B31" s="8" t="s">
        <v>27</v>
      </c>
      <c r="C31" s="8" t="s">
        <v>27</v>
      </c>
      <c r="D31" s="8" t="s">
        <v>74</v>
      </c>
      <c r="E31" s="8" t="s">
        <v>75</v>
      </c>
      <c r="F31" s="8" t="s">
        <v>76</v>
      </c>
      <c r="G31" s="14">
        <v>1999</v>
      </c>
      <c r="H31" s="34" t="s">
        <v>607</v>
      </c>
      <c r="I31" s="59">
        <v>45.1</v>
      </c>
      <c r="J31" s="59">
        <v>-75.48</v>
      </c>
      <c r="K31" s="8">
        <v>212</v>
      </c>
      <c r="L31" s="8"/>
      <c r="M31" s="8" t="s">
        <v>79</v>
      </c>
      <c r="N31" s="8" t="s">
        <v>143</v>
      </c>
      <c r="O31" s="14"/>
      <c r="P31" s="8" t="s">
        <v>36</v>
      </c>
      <c r="Q31" s="15" t="s">
        <v>608</v>
      </c>
      <c r="R31" s="8">
        <f>AVERAGE(R33,R35,R37)</f>
        <v>-4.0319999999999983</v>
      </c>
      <c r="S31" s="30"/>
      <c r="T31" s="8"/>
      <c r="U31" s="8" t="s">
        <v>609</v>
      </c>
      <c r="V31" s="8"/>
      <c r="W31" s="8"/>
      <c r="X31" s="8"/>
      <c r="Y31" s="8"/>
      <c r="Z31" s="25"/>
      <c r="AA31" s="25"/>
      <c r="AB31" s="25"/>
      <c r="AC31" s="25"/>
      <c r="AD31" s="8"/>
      <c r="AE31" s="8"/>
      <c r="AF31" s="8"/>
      <c r="AG31" s="8"/>
      <c r="AH31" s="8"/>
      <c r="AI31" s="8"/>
      <c r="AJ31" s="8" t="s">
        <v>883</v>
      </c>
      <c r="AK31" s="3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</row>
    <row r="32" spans="1:62" s="1" customFormat="1" x14ac:dyDescent="0.3">
      <c r="A32" s="8" t="s">
        <v>606</v>
      </c>
      <c r="B32" s="8" t="s">
        <v>27</v>
      </c>
      <c r="C32" s="8" t="s">
        <v>27</v>
      </c>
      <c r="D32" s="8" t="s">
        <v>74</v>
      </c>
      <c r="E32" s="8" t="s">
        <v>75</v>
      </c>
      <c r="F32" s="8" t="s">
        <v>76</v>
      </c>
      <c r="G32" s="14">
        <v>1999</v>
      </c>
      <c r="H32" s="34" t="s">
        <v>607</v>
      </c>
      <c r="I32" s="59">
        <v>45.1</v>
      </c>
      <c r="J32" s="59">
        <v>-75.48</v>
      </c>
      <c r="K32" s="8">
        <v>212</v>
      </c>
      <c r="L32" s="8"/>
      <c r="M32" s="8" t="s">
        <v>79</v>
      </c>
      <c r="N32" s="8" t="s">
        <v>71</v>
      </c>
      <c r="O32" s="14"/>
      <c r="P32" s="8" t="s">
        <v>36</v>
      </c>
      <c r="Q32" s="15" t="s">
        <v>610</v>
      </c>
      <c r="R32" s="8">
        <f>AVERAGE(R34,R36,R38)</f>
        <v>-5.4720000000000013</v>
      </c>
      <c r="S32" s="30"/>
      <c r="T32" s="8"/>
      <c r="U32" s="8" t="s">
        <v>609</v>
      </c>
      <c r="V32" s="8"/>
      <c r="W32" s="8"/>
      <c r="X32" s="8"/>
      <c r="Y32" s="8"/>
      <c r="Z32" s="25"/>
      <c r="AA32" s="25"/>
      <c r="AB32" s="25"/>
      <c r="AC32" s="25"/>
      <c r="AD32" s="8"/>
      <c r="AE32" s="8"/>
      <c r="AF32" s="8"/>
      <c r="AG32" s="8"/>
      <c r="AH32" s="8"/>
      <c r="AI32" s="8"/>
      <c r="AJ32" s="8" t="s">
        <v>883</v>
      </c>
      <c r="AK32" s="3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</row>
    <row r="33" spans="1:62" s="1" customFormat="1" x14ac:dyDescent="0.3">
      <c r="A33" s="8" t="s">
        <v>606</v>
      </c>
      <c r="B33" s="8" t="s">
        <v>27</v>
      </c>
      <c r="C33" s="8" t="s">
        <v>27</v>
      </c>
      <c r="D33" s="8" t="s">
        <v>74</v>
      </c>
      <c r="E33" s="8" t="s">
        <v>75</v>
      </c>
      <c r="F33" s="8" t="s">
        <v>76</v>
      </c>
      <c r="G33" s="14">
        <v>1999</v>
      </c>
      <c r="H33" s="34" t="s">
        <v>611</v>
      </c>
      <c r="I33" s="59">
        <v>45.1</v>
      </c>
      <c r="J33" s="59">
        <v>-75.48</v>
      </c>
      <c r="K33" s="8">
        <v>212</v>
      </c>
      <c r="L33" s="8"/>
      <c r="M33" s="8" t="s">
        <v>79</v>
      </c>
      <c r="N33" s="8" t="s">
        <v>143</v>
      </c>
      <c r="O33" s="14"/>
      <c r="P33" s="8" t="s">
        <v>36</v>
      </c>
      <c r="Q33" s="15" t="s">
        <v>608</v>
      </c>
      <c r="R33" s="15">
        <f t="shared" ref="R33:R38" si="5">T33/1000*86400</f>
        <v>-10.367999999999999</v>
      </c>
      <c r="S33" s="15"/>
      <c r="T33" s="17">
        <v>-0.12</v>
      </c>
      <c r="U33" s="17" t="s">
        <v>612</v>
      </c>
      <c r="V33" s="17"/>
      <c r="W33" s="17"/>
      <c r="X33" s="8"/>
      <c r="Y33" s="8"/>
      <c r="Z33" s="8"/>
      <c r="AA33" s="8"/>
      <c r="AB33" s="8"/>
      <c r="AC33" s="8"/>
      <c r="AD33" s="8">
        <v>0.15</v>
      </c>
      <c r="AE33" s="8" t="s">
        <v>612</v>
      </c>
      <c r="AF33" s="8"/>
      <c r="AG33" s="8"/>
      <c r="AH33" s="8"/>
      <c r="AI33" s="8"/>
      <c r="AJ33" s="8" t="s">
        <v>883</v>
      </c>
      <c r="AK33" s="3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</row>
    <row r="34" spans="1:62" s="1" customFormat="1" x14ac:dyDescent="0.3">
      <c r="A34" s="8" t="s">
        <v>606</v>
      </c>
      <c r="B34" s="8" t="s">
        <v>27</v>
      </c>
      <c r="C34" s="8" t="s">
        <v>27</v>
      </c>
      <c r="D34" s="8" t="s">
        <v>74</v>
      </c>
      <c r="E34" s="8" t="s">
        <v>75</v>
      </c>
      <c r="F34" s="8" t="s">
        <v>76</v>
      </c>
      <c r="G34" s="14">
        <v>1999</v>
      </c>
      <c r="H34" s="34" t="s">
        <v>611</v>
      </c>
      <c r="I34" s="59">
        <v>45.1</v>
      </c>
      <c r="J34" s="59">
        <v>-75.48</v>
      </c>
      <c r="K34" s="8">
        <v>212</v>
      </c>
      <c r="L34" s="8"/>
      <c r="M34" s="8" t="s">
        <v>79</v>
      </c>
      <c r="N34" s="8" t="s">
        <v>71</v>
      </c>
      <c r="O34" s="14"/>
      <c r="P34" s="8" t="s">
        <v>36</v>
      </c>
      <c r="Q34" s="15" t="s">
        <v>610</v>
      </c>
      <c r="R34" s="15">
        <f t="shared" si="5"/>
        <v>-6.9120000000000008</v>
      </c>
      <c r="S34" s="15"/>
      <c r="T34" s="17">
        <v>-0.08</v>
      </c>
      <c r="U34" s="17" t="s">
        <v>612</v>
      </c>
      <c r="V34" s="17"/>
      <c r="W34" s="17"/>
      <c r="X34" s="8"/>
      <c r="Y34" s="8"/>
      <c r="Z34" s="8"/>
      <c r="AA34" s="8"/>
      <c r="AB34" s="8"/>
      <c r="AC34" s="8"/>
      <c r="AD34" s="8">
        <v>0.19</v>
      </c>
      <c r="AE34" s="8" t="s">
        <v>612</v>
      </c>
      <c r="AF34" s="8"/>
      <c r="AG34" s="8"/>
      <c r="AH34" s="8"/>
      <c r="AI34" s="8"/>
      <c r="AJ34" s="8" t="s">
        <v>883</v>
      </c>
      <c r="AK34" s="3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</row>
    <row r="35" spans="1:62" s="1" customFormat="1" x14ac:dyDescent="0.3">
      <c r="A35" s="8" t="s">
        <v>606</v>
      </c>
      <c r="B35" s="8" t="s">
        <v>27</v>
      </c>
      <c r="C35" s="8" t="s">
        <v>27</v>
      </c>
      <c r="D35" s="8" t="s">
        <v>74</v>
      </c>
      <c r="E35" s="8" t="s">
        <v>75</v>
      </c>
      <c r="F35" s="8" t="s">
        <v>76</v>
      </c>
      <c r="G35" s="14">
        <v>1999</v>
      </c>
      <c r="H35" s="34" t="s">
        <v>613</v>
      </c>
      <c r="I35" s="59">
        <v>45.1</v>
      </c>
      <c r="J35" s="59">
        <v>-75.48</v>
      </c>
      <c r="K35" s="8">
        <v>212</v>
      </c>
      <c r="L35" s="8"/>
      <c r="M35" s="8" t="s">
        <v>79</v>
      </c>
      <c r="N35" s="8" t="s">
        <v>143</v>
      </c>
      <c r="O35" s="14"/>
      <c r="P35" s="8" t="s">
        <v>36</v>
      </c>
      <c r="Q35" s="15" t="s">
        <v>608</v>
      </c>
      <c r="R35" s="15">
        <f t="shared" si="5"/>
        <v>-12.959999999999999</v>
      </c>
      <c r="S35" s="15"/>
      <c r="T35" s="17">
        <v>-0.15</v>
      </c>
      <c r="U35" s="17" t="s">
        <v>612</v>
      </c>
      <c r="V35" s="17"/>
      <c r="W35" s="17"/>
      <c r="X35" s="8"/>
      <c r="Y35" s="8"/>
      <c r="Z35" s="8"/>
      <c r="AA35" s="8"/>
      <c r="AB35" s="8"/>
      <c r="AC35" s="8"/>
      <c r="AD35" s="8">
        <v>0.18</v>
      </c>
      <c r="AE35" s="8" t="s">
        <v>612</v>
      </c>
      <c r="AF35" s="8"/>
      <c r="AG35" s="8"/>
      <c r="AH35" s="8"/>
      <c r="AI35" s="8"/>
      <c r="AJ35" s="8" t="s">
        <v>883</v>
      </c>
      <c r="AK35" s="3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</row>
    <row r="36" spans="1:62" s="1" customFormat="1" x14ac:dyDescent="0.3">
      <c r="A36" s="8" t="s">
        <v>606</v>
      </c>
      <c r="B36" s="8" t="s">
        <v>27</v>
      </c>
      <c r="C36" s="8" t="s">
        <v>27</v>
      </c>
      <c r="D36" s="8" t="s">
        <v>74</v>
      </c>
      <c r="E36" s="8" t="s">
        <v>75</v>
      </c>
      <c r="F36" s="8" t="s">
        <v>76</v>
      </c>
      <c r="G36" s="14">
        <v>1999</v>
      </c>
      <c r="H36" s="34" t="s">
        <v>613</v>
      </c>
      <c r="I36" s="59">
        <v>45.1</v>
      </c>
      <c r="J36" s="59">
        <v>-75.48</v>
      </c>
      <c r="K36" s="8">
        <v>212</v>
      </c>
      <c r="L36" s="8"/>
      <c r="M36" s="8" t="s">
        <v>79</v>
      </c>
      <c r="N36" s="8" t="s">
        <v>71</v>
      </c>
      <c r="O36" s="14"/>
      <c r="P36" s="8" t="s">
        <v>36</v>
      </c>
      <c r="Q36" s="15" t="s">
        <v>610</v>
      </c>
      <c r="R36" s="15">
        <f t="shared" si="5"/>
        <v>-13.824000000000002</v>
      </c>
      <c r="S36" s="15"/>
      <c r="T36" s="17">
        <v>-0.16</v>
      </c>
      <c r="U36" s="17" t="s">
        <v>612</v>
      </c>
      <c r="V36" s="17"/>
      <c r="W36" s="17"/>
      <c r="X36" s="8"/>
      <c r="Y36" s="8"/>
      <c r="Z36" s="8"/>
      <c r="AA36" s="8"/>
      <c r="AB36" s="8"/>
      <c r="AC36" s="8"/>
      <c r="AD36" s="8">
        <v>0.15</v>
      </c>
      <c r="AE36" s="8" t="s">
        <v>612</v>
      </c>
      <c r="AF36" s="8"/>
      <c r="AG36" s="8"/>
      <c r="AH36" s="8"/>
      <c r="AI36" s="8"/>
      <c r="AJ36" s="8" t="s">
        <v>883</v>
      </c>
      <c r="AK36" s="3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</row>
    <row r="37" spans="1:62" s="1" customFormat="1" x14ac:dyDescent="0.3">
      <c r="A37" s="8" t="s">
        <v>606</v>
      </c>
      <c r="B37" s="8" t="s">
        <v>27</v>
      </c>
      <c r="C37" s="8" t="s">
        <v>27</v>
      </c>
      <c r="D37" s="8" t="s">
        <v>74</v>
      </c>
      <c r="E37" s="8" t="s">
        <v>75</v>
      </c>
      <c r="F37" s="8" t="s">
        <v>76</v>
      </c>
      <c r="G37" s="14">
        <v>1999</v>
      </c>
      <c r="H37" s="34" t="s">
        <v>614</v>
      </c>
      <c r="I37" s="59">
        <v>45.1</v>
      </c>
      <c r="J37" s="59">
        <v>-75.48</v>
      </c>
      <c r="K37" s="8">
        <v>212</v>
      </c>
      <c r="L37" s="8"/>
      <c r="M37" s="8" t="s">
        <v>79</v>
      </c>
      <c r="N37" s="8" t="s">
        <v>143</v>
      </c>
      <c r="O37" s="14"/>
      <c r="P37" s="8" t="s">
        <v>36</v>
      </c>
      <c r="Q37" s="15" t="s">
        <v>608</v>
      </c>
      <c r="R37" s="15">
        <f t="shared" si="5"/>
        <v>11.232000000000001</v>
      </c>
      <c r="S37" s="15"/>
      <c r="T37" s="17">
        <v>0.13</v>
      </c>
      <c r="U37" s="17" t="s">
        <v>612</v>
      </c>
      <c r="V37" s="17"/>
      <c r="W37" s="17"/>
      <c r="X37" s="8"/>
      <c r="Y37" s="8"/>
      <c r="Z37" s="8"/>
      <c r="AA37" s="8"/>
      <c r="AB37" s="8"/>
      <c r="AC37" s="8"/>
      <c r="AD37" s="8">
        <v>0.36</v>
      </c>
      <c r="AE37" s="8" t="s">
        <v>612</v>
      </c>
      <c r="AF37" s="8"/>
      <c r="AG37" s="8"/>
      <c r="AH37" s="8"/>
      <c r="AI37" s="8"/>
      <c r="AJ37" s="8" t="s">
        <v>883</v>
      </c>
      <c r="AK37" s="3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</row>
    <row r="38" spans="1:62" s="1" customFormat="1" x14ac:dyDescent="0.3">
      <c r="A38" s="8" t="s">
        <v>606</v>
      </c>
      <c r="B38" s="8" t="s">
        <v>27</v>
      </c>
      <c r="C38" s="8" t="s">
        <v>27</v>
      </c>
      <c r="D38" s="8" t="s">
        <v>74</v>
      </c>
      <c r="E38" s="8" t="s">
        <v>75</v>
      </c>
      <c r="F38" s="8" t="s">
        <v>76</v>
      </c>
      <c r="G38" s="14">
        <v>1999</v>
      </c>
      <c r="H38" s="34" t="s">
        <v>614</v>
      </c>
      <c r="I38" s="59">
        <v>45.1</v>
      </c>
      <c r="J38" s="59">
        <v>-75.48</v>
      </c>
      <c r="K38" s="8">
        <v>212</v>
      </c>
      <c r="L38" s="8"/>
      <c r="M38" s="8" t="s">
        <v>79</v>
      </c>
      <c r="N38" s="8" t="s">
        <v>71</v>
      </c>
      <c r="O38" s="14"/>
      <c r="P38" s="8" t="s">
        <v>36</v>
      </c>
      <c r="Q38" s="15" t="s">
        <v>610</v>
      </c>
      <c r="R38" s="15">
        <f t="shared" si="5"/>
        <v>4.32</v>
      </c>
      <c r="S38" s="15"/>
      <c r="T38" s="17">
        <v>0.05</v>
      </c>
      <c r="U38" s="17" t="s">
        <v>612</v>
      </c>
      <c r="V38" s="17"/>
      <c r="W38" s="17"/>
      <c r="X38" s="8"/>
      <c r="Y38" s="8"/>
      <c r="Z38" s="8"/>
      <c r="AA38" s="8"/>
      <c r="AB38" s="8"/>
      <c r="AC38" s="8"/>
      <c r="AD38" s="8">
        <v>0.28999999999999998</v>
      </c>
      <c r="AE38" s="8" t="s">
        <v>612</v>
      </c>
      <c r="AF38" s="8"/>
      <c r="AG38" s="8"/>
      <c r="AH38" s="8"/>
      <c r="AI38" s="8"/>
      <c r="AJ38" s="8" t="s">
        <v>883</v>
      </c>
      <c r="AK38" s="3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</row>
    <row r="39" spans="1:62" s="1" customFormat="1" x14ac:dyDescent="0.3">
      <c r="A39" s="32" t="s">
        <v>615</v>
      </c>
      <c r="B39" s="8" t="s">
        <v>27</v>
      </c>
      <c r="C39" s="8" t="s">
        <v>27</v>
      </c>
      <c r="D39" s="8" t="s">
        <v>74</v>
      </c>
      <c r="E39" s="8" t="s">
        <v>75</v>
      </c>
      <c r="F39" s="8" t="s">
        <v>76</v>
      </c>
      <c r="G39" s="2" t="s">
        <v>596</v>
      </c>
      <c r="H39" s="41" t="s">
        <v>616</v>
      </c>
      <c r="I39" s="59">
        <v>45.4</v>
      </c>
      <c r="J39" s="59">
        <v>-75.5</v>
      </c>
      <c r="K39" s="8">
        <v>210</v>
      </c>
      <c r="L39" s="8"/>
      <c r="M39" s="8" t="s">
        <v>617</v>
      </c>
      <c r="N39" s="8" t="s">
        <v>91</v>
      </c>
      <c r="O39" s="2"/>
      <c r="P39" s="3" t="s">
        <v>85</v>
      </c>
      <c r="Q39" s="5" t="s">
        <v>618</v>
      </c>
      <c r="R39" s="5"/>
      <c r="S39" s="5"/>
      <c r="T39" s="3"/>
      <c r="U39" s="17"/>
      <c r="V39" s="47"/>
      <c r="W39" s="47">
        <f>X39</f>
        <v>-248</v>
      </c>
      <c r="X39" s="47">
        <v>-248</v>
      </c>
      <c r="Y39" s="8" t="s">
        <v>619</v>
      </c>
      <c r="Z39" s="26" t="s">
        <v>576</v>
      </c>
      <c r="AA39" s="26"/>
      <c r="AB39" s="26"/>
      <c r="AC39" s="26"/>
      <c r="AD39" s="8">
        <v>1690</v>
      </c>
      <c r="AE39" s="8" t="s">
        <v>620</v>
      </c>
      <c r="AF39" s="8"/>
      <c r="AG39" s="8"/>
      <c r="AH39" s="8"/>
      <c r="AI39" s="8"/>
      <c r="AJ39" s="8" t="s">
        <v>883</v>
      </c>
      <c r="AK39" s="3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</row>
    <row r="40" spans="1:62" s="1" customFormat="1" x14ac:dyDescent="0.3">
      <c r="A40" s="8" t="s">
        <v>621</v>
      </c>
      <c r="B40" s="8" t="s">
        <v>27</v>
      </c>
      <c r="C40" s="8" t="s">
        <v>27</v>
      </c>
      <c r="D40" s="8" t="s">
        <v>74</v>
      </c>
      <c r="E40" s="8" t="s">
        <v>75</v>
      </c>
      <c r="F40" s="8" t="s">
        <v>76</v>
      </c>
      <c r="G40" s="14" t="s">
        <v>596</v>
      </c>
      <c r="H40" s="34" t="s">
        <v>616</v>
      </c>
      <c r="I40" s="59">
        <v>45.4</v>
      </c>
      <c r="J40" s="59">
        <v>-75.5</v>
      </c>
      <c r="K40" s="8">
        <v>210</v>
      </c>
      <c r="L40" s="8"/>
      <c r="M40" s="8" t="s">
        <v>622</v>
      </c>
      <c r="N40" s="8" t="s">
        <v>91</v>
      </c>
      <c r="O40" s="14"/>
      <c r="P40" s="8" t="s">
        <v>85</v>
      </c>
      <c r="Q40" s="15" t="s">
        <v>623</v>
      </c>
      <c r="R40" s="15"/>
      <c r="S40" s="15"/>
      <c r="T40" s="8"/>
      <c r="U40" s="8"/>
      <c r="V40" s="48"/>
      <c r="W40" s="48">
        <v>-278</v>
      </c>
      <c r="X40" s="48">
        <v>-278</v>
      </c>
      <c r="Y40" s="8" t="s">
        <v>624</v>
      </c>
      <c r="Z40" s="26" t="s">
        <v>576</v>
      </c>
      <c r="AA40" s="26"/>
      <c r="AB40" s="26"/>
      <c r="AC40" s="26"/>
      <c r="AD40" s="8"/>
      <c r="AE40" s="8"/>
      <c r="AF40" s="8"/>
      <c r="AG40" s="8"/>
      <c r="AH40" s="8"/>
      <c r="AI40" s="8"/>
      <c r="AJ40" s="8" t="s">
        <v>883</v>
      </c>
      <c r="AK40" s="3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</row>
    <row r="41" spans="1:62" s="1" customFormat="1" x14ac:dyDescent="0.3">
      <c r="A41" s="8" t="s">
        <v>621</v>
      </c>
      <c r="B41" s="8" t="s">
        <v>27</v>
      </c>
      <c r="C41" s="8" t="s">
        <v>27</v>
      </c>
      <c r="D41" s="8" t="s">
        <v>74</v>
      </c>
      <c r="E41" s="8" t="s">
        <v>75</v>
      </c>
      <c r="F41" s="8" t="s">
        <v>76</v>
      </c>
      <c r="G41" s="14" t="s">
        <v>596</v>
      </c>
      <c r="H41" s="14" t="s">
        <v>625</v>
      </c>
      <c r="I41" s="59">
        <v>45.4</v>
      </c>
      <c r="J41" s="59">
        <v>-75.5</v>
      </c>
      <c r="K41" s="8">
        <v>210</v>
      </c>
      <c r="L41" s="8"/>
      <c r="M41" s="8" t="s">
        <v>622</v>
      </c>
      <c r="N41" s="8" t="s">
        <v>91</v>
      </c>
      <c r="O41" s="14"/>
      <c r="P41" s="8" t="s">
        <v>85</v>
      </c>
      <c r="Q41" s="15" t="s">
        <v>623</v>
      </c>
      <c r="R41" s="15"/>
      <c r="S41" s="15"/>
      <c r="T41" s="8"/>
      <c r="U41" s="8"/>
      <c r="V41" s="48"/>
      <c r="W41" s="48">
        <v>-70</v>
      </c>
      <c r="X41" s="48">
        <v>-70</v>
      </c>
      <c r="Y41" s="8" t="s">
        <v>626</v>
      </c>
      <c r="Z41" s="25" t="s">
        <v>572</v>
      </c>
      <c r="AA41" s="25"/>
      <c r="AB41" s="25"/>
      <c r="AC41" s="25"/>
      <c r="AD41" s="8"/>
      <c r="AE41" s="8"/>
      <c r="AF41" s="8"/>
      <c r="AG41" s="8"/>
      <c r="AH41" s="8"/>
      <c r="AI41" s="8"/>
      <c r="AJ41" s="8" t="s">
        <v>883</v>
      </c>
      <c r="AK41" s="3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</row>
    <row r="42" spans="1:62" s="1" customFormat="1" x14ac:dyDescent="0.3">
      <c r="A42" s="8" t="s">
        <v>621</v>
      </c>
      <c r="B42" s="8" t="s">
        <v>27</v>
      </c>
      <c r="C42" s="8" t="s">
        <v>27</v>
      </c>
      <c r="D42" s="8" t="s">
        <v>74</v>
      </c>
      <c r="E42" s="8" t="s">
        <v>75</v>
      </c>
      <c r="F42" s="8" t="s">
        <v>76</v>
      </c>
      <c r="G42" s="14" t="s">
        <v>596</v>
      </c>
      <c r="H42" s="14" t="s">
        <v>627</v>
      </c>
      <c r="I42" s="59">
        <v>45.4</v>
      </c>
      <c r="J42" s="59">
        <v>-75.5</v>
      </c>
      <c r="K42" s="8">
        <v>210</v>
      </c>
      <c r="L42" s="8"/>
      <c r="M42" s="8" t="s">
        <v>622</v>
      </c>
      <c r="N42" s="8" t="s">
        <v>91</v>
      </c>
      <c r="O42" s="14"/>
      <c r="P42" s="8" t="s">
        <v>85</v>
      </c>
      <c r="Q42" s="15" t="s">
        <v>623</v>
      </c>
      <c r="R42" s="30">
        <f>T42</f>
        <v>-2.84</v>
      </c>
      <c r="S42" s="30">
        <f>AVERAGE(R42,R47,R52,R57)</f>
        <v>-2.33</v>
      </c>
      <c r="T42" s="8">
        <v>-2.84</v>
      </c>
      <c r="U42" s="8" t="s">
        <v>609</v>
      </c>
      <c r="V42" s="48"/>
      <c r="W42" s="48">
        <v>-346</v>
      </c>
      <c r="X42" s="48">
        <v>-346</v>
      </c>
      <c r="Y42" s="8" t="s">
        <v>626</v>
      </c>
      <c r="Z42" s="25" t="s">
        <v>572</v>
      </c>
      <c r="AA42" s="25"/>
      <c r="AB42" s="25"/>
      <c r="AC42" s="25"/>
      <c r="AD42" s="8"/>
      <c r="AE42" s="8"/>
      <c r="AF42" s="8"/>
      <c r="AG42" s="8"/>
      <c r="AH42" s="8"/>
      <c r="AI42" s="8"/>
      <c r="AJ42" s="8" t="s">
        <v>883</v>
      </c>
      <c r="AK42" s="3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</row>
    <row r="43" spans="1:62" s="1" customFormat="1" x14ac:dyDescent="0.3">
      <c r="A43" s="8" t="s">
        <v>621</v>
      </c>
      <c r="B43" s="8" t="s">
        <v>27</v>
      </c>
      <c r="C43" s="8" t="s">
        <v>27</v>
      </c>
      <c r="D43" s="8" t="s">
        <v>74</v>
      </c>
      <c r="E43" s="8" t="s">
        <v>75</v>
      </c>
      <c r="F43" s="8" t="s">
        <v>76</v>
      </c>
      <c r="G43" s="14" t="s">
        <v>596</v>
      </c>
      <c r="H43" s="14" t="s">
        <v>628</v>
      </c>
      <c r="I43" s="59">
        <v>45.4</v>
      </c>
      <c r="J43" s="59">
        <v>-75.5</v>
      </c>
      <c r="K43" s="8">
        <v>210</v>
      </c>
      <c r="L43" s="8"/>
      <c r="M43" s="8" t="s">
        <v>622</v>
      </c>
      <c r="N43" s="8" t="s">
        <v>91</v>
      </c>
      <c r="O43" s="14"/>
      <c r="P43" s="8" t="s">
        <v>85</v>
      </c>
      <c r="Q43" s="15" t="s">
        <v>623</v>
      </c>
      <c r="R43" s="8"/>
      <c r="S43" s="8"/>
      <c r="T43" s="8"/>
      <c r="U43" s="8"/>
      <c r="V43" s="48"/>
      <c r="W43" s="48">
        <v>19</v>
      </c>
      <c r="X43" s="48">
        <v>19</v>
      </c>
      <c r="Y43" s="8" t="s">
        <v>626</v>
      </c>
      <c r="Z43" s="25" t="s">
        <v>572</v>
      </c>
      <c r="AA43" s="25"/>
      <c r="AB43" s="25"/>
      <c r="AC43" s="25"/>
      <c r="AD43" s="8"/>
      <c r="AE43" s="8"/>
      <c r="AF43" s="8"/>
      <c r="AG43" s="8"/>
      <c r="AH43" s="8"/>
      <c r="AI43" s="8"/>
      <c r="AJ43" s="8" t="s">
        <v>883</v>
      </c>
      <c r="AK43" s="3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</row>
    <row r="44" spans="1:62" s="1" customFormat="1" x14ac:dyDescent="0.3">
      <c r="A44" s="8" t="s">
        <v>621</v>
      </c>
      <c r="B44" s="8" t="s">
        <v>27</v>
      </c>
      <c r="C44" s="8" t="s">
        <v>27</v>
      </c>
      <c r="D44" s="8" t="s">
        <v>74</v>
      </c>
      <c r="E44" s="8" t="s">
        <v>75</v>
      </c>
      <c r="F44" s="8" t="s">
        <v>76</v>
      </c>
      <c r="G44" s="14" t="s">
        <v>596</v>
      </c>
      <c r="H44" s="14" t="s">
        <v>629</v>
      </c>
      <c r="I44" s="59">
        <v>45.4</v>
      </c>
      <c r="J44" s="59">
        <v>-75.5</v>
      </c>
      <c r="K44" s="8">
        <v>210</v>
      </c>
      <c r="L44" s="8"/>
      <c r="M44" s="8" t="s">
        <v>622</v>
      </c>
      <c r="N44" s="8" t="s">
        <v>91</v>
      </c>
      <c r="O44" s="14"/>
      <c r="P44" s="8" t="s">
        <v>85</v>
      </c>
      <c r="Q44" s="15" t="s">
        <v>623</v>
      </c>
      <c r="R44" s="8">
        <f>T44</f>
        <v>0.98</v>
      </c>
      <c r="S44" s="8"/>
      <c r="T44" s="8">
        <v>0.98</v>
      </c>
      <c r="U44" s="8" t="s">
        <v>609</v>
      </c>
      <c r="V44" s="48"/>
      <c r="W44" s="48">
        <v>119</v>
      </c>
      <c r="X44" s="48">
        <v>119</v>
      </c>
      <c r="Y44" s="8" t="s">
        <v>626</v>
      </c>
      <c r="Z44" s="25" t="s">
        <v>572</v>
      </c>
      <c r="AA44" s="25"/>
      <c r="AB44" s="25"/>
      <c r="AC44" s="25"/>
      <c r="AD44" s="8"/>
      <c r="AE44" s="8"/>
      <c r="AF44" s="8"/>
      <c r="AG44" s="8"/>
      <c r="AH44" s="8"/>
      <c r="AI44" s="8"/>
      <c r="AJ44" s="8" t="s">
        <v>883</v>
      </c>
      <c r="AK44" s="3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</row>
    <row r="45" spans="1:62" s="1" customFormat="1" x14ac:dyDescent="0.3">
      <c r="A45" s="8" t="s">
        <v>621</v>
      </c>
      <c r="B45" s="8" t="s">
        <v>27</v>
      </c>
      <c r="C45" s="8" t="s">
        <v>27</v>
      </c>
      <c r="D45" s="8" t="s">
        <v>74</v>
      </c>
      <c r="E45" s="8" t="s">
        <v>75</v>
      </c>
      <c r="F45" s="8" t="s">
        <v>76</v>
      </c>
      <c r="G45" s="14" t="s">
        <v>597</v>
      </c>
      <c r="H45" s="34" t="s">
        <v>630</v>
      </c>
      <c r="I45" s="59">
        <v>45.4</v>
      </c>
      <c r="J45" s="59">
        <v>-75.5</v>
      </c>
      <c r="K45" s="8">
        <v>210</v>
      </c>
      <c r="L45" s="8"/>
      <c r="M45" s="8" t="s">
        <v>622</v>
      </c>
      <c r="N45" s="8" t="s">
        <v>91</v>
      </c>
      <c r="O45" s="14"/>
      <c r="P45" s="8" t="s">
        <v>85</v>
      </c>
      <c r="Q45" s="15" t="s">
        <v>623</v>
      </c>
      <c r="R45" s="8"/>
      <c r="S45" s="8"/>
      <c r="T45" s="8"/>
      <c r="U45" s="8"/>
      <c r="V45" s="20"/>
      <c r="W45" s="20">
        <v>-254</v>
      </c>
      <c r="X45" s="20">
        <v>-254</v>
      </c>
      <c r="Y45" s="8" t="s">
        <v>624</v>
      </c>
      <c r="Z45" s="26" t="s">
        <v>576</v>
      </c>
      <c r="AA45" s="26"/>
      <c r="AB45" s="26"/>
      <c r="AC45" s="26"/>
      <c r="AD45" s="8"/>
      <c r="AE45" s="8"/>
      <c r="AF45" s="5">
        <f t="shared" ref="AF45" si="6">AG45/0.2729</f>
        <v>1348.4792964455846</v>
      </c>
      <c r="AG45" s="17">
        <v>368</v>
      </c>
      <c r="AH45" s="17" t="s">
        <v>590</v>
      </c>
      <c r="AI45" s="8"/>
      <c r="AJ45" s="8" t="s">
        <v>883</v>
      </c>
      <c r="AK45" s="3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</row>
    <row r="46" spans="1:62" s="1" customFormat="1" x14ac:dyDescent="0.3">
      <c r="A46" s="8" t="s">
        <v>621</v>
      </c>
      <c r="B46" s="8" t="s">
        <v>27</v>
      </c>
      <c r="C46" s="8" t="s">
        <v>27</v>
      </c>
      <c r="D46" s="8" t="s">
        <v>74</v>
      </c>
      <c r="E46" s="8" t="s">
        <v>75</v>
      </c>
      <c r="F46" s="8" t="s">
        <v>76</v>
      </c>
      <c r="G46" s="14" t="s">
        <v>597</v>
      </c>
      <c r="H46" s="14" t="s">
        <v>625</v>
      </c>
      <c r="I46" s="59">
        <v>45.4</v>
      </c>
      <c r="J46" s="59">
        <v>-75.5</v>
      </c>
      <c r="K46" s="8">
        <v>210</v>
      </c>
      <c r="L46" s="8"/>
      <c r="M46" s="8" t="s">
        <v>622</v>
      </c>
      <c r="N46" s="8" t="s">
        <v>91</v>
      </c>
      <c r="O46" s="14"/>
      <c r="P46" s="8" t="s">
        <v>85</v>
      </c>
      <c r="Q46" s="15" t="s">
        <v>623</v>
      </c>
      <c r="R46" s="8"/>
      <c r="S46" s="8"/>
      <c r="T46" s="8"/>
      <c r="U46" s="8"/>
      <c r="V46" s="20"/>
      <c r="W46" s="20">
        <v>-72</v>
      </c>
      <c r="X46" s="20">
        <v>-72</v>
      </c>
      <c r="Y46" s="8" t="s">
        <v>626</v>
      </c>
      <c r="Z46" s="25" t="s">
        <v>572</v>
      </c>
      <c r="AA46" s="25"/>
      <c r="AB46" s="25"/>
      <c r="AC46" s="25"/>
      <c r="AD46" s="8"/>
      <c r="AE46" s="8"/>
      <c r="AF46" s="8"/>
      <c r="AG46" s="8"/>
      <c r="AH46" s="8"/>
      <c r="AI46" s="8"/>
      <c r="AJ46" s="8" t="s">
        <v>883</v>
      </c>
      <c r="AK46" s="3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  <c r="BE46" s="8"/>
      <c r="BF46" s="8"/>
      <c r="BG46" s="8"/>
      <c r="BH46" s="8"/>
      <c r="BI46" s="8"/>
      <c r="BJ46" s="8"/>
    </row>
    <row r="47" spans="1:62" s="1" customFormat="1" x14ac:dyDescent="0.3">
      <c r="A47" s="8" t="s">
        <v>621</v>
      </c>
      <c r="B47" s="8" t="s">
        <v>27</v>
      </c>
      <c r="C47" s="8" t="s">
        <v>27</v>
      </c>
      <c r="D47" s="8" t="s">
        <v>74</v>
      </c>
      <c r="E47" s="8" t="s">
        <v>75</v>
      </c>
      <c r="F47" s="8" t="s">
        <v>76</v>
      </c>
      <c r="G47" s="14" t="s">
        <v>597</v>
      </c>
      <c r="H47" s="14" t="s">
        <v>627</v>
      </c>
      <c r="I47" s="59">
        <v>45.4</v>
      </c>
      <c r="J47" s="59">
        <v>-75.5</v>
      </c>
      <c r="K47" s="8">
        <v>210</v>
      </c>
      <c r="L47" s="8"/>
      <c r="M47" s="8" t="s">
        <v>622</v>
      </c>
      <c r="N47" s="8" t="s">
        <v>91</v>
      </c>
      <c r="O47" s="14"/>
      <c r="P47" s="8" t="s">
        <v>85</v>
      </c>
      <c r="Q47" s="15" t="s">
        <v>623</v>
      </c>
      <c r="R47" s="30">
        <f>T47</f>
        <v>-2.2999999999999998</v>
      </c>
      <c r="S47" s="8"/>
      <c r="T47" s="8">
        <v>-2.2999999999999998</v>
      </c>
      <c r="U47" s="8" t="s">
        <v>609</v>
      </c>
      <c r="V47" s="20"/>
      <c r="W47" s="20">
        <v>-282</v>
      </c>
      <c r="X47" s="20">
        <v>-282</v>
      </c>
      <c r="Y47" s="8" t="s">
        <v>626</v>
      </c>
      <c r="Z47" s="25" t="s">
        <v>572</v>
      </c>
      <c r="AA47" s="25"/>
      <c r="AB47" s="25"/>
      <c r="AC47" s="25"/>
      <c r="AD47" s="8"/>
      <c r="AE47" s="8"/>
      <c r="AF47" s="8"/>
      <c r="AG47" s="8"/>
      <c r="AH47" s="8"/>
      <c r="AI47" s="8"/>
      <c r="AJ47" s="8" t="s">
        <v>883</v>
      </c>
      <c r="AK47" s="3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  <c r="BE47" s="8"/>
      <c r="BF47" s="8"/>
      <c r="BG47" s="8"/>
      <c r="BH47" s="8"/>
      <c r="BI47" s="8"/>
      <c r="BJ47" s="8"/>
    </row>
    <row r="48" spans="1:62" s="1" customFormat="1" x14ac:dyDescent="0.3">
      <c r="A48" s="8" t="s">
        <v>621</v>
      </c>
      <c r="B48" s="8" t="s">
        <v>27</v>
      </c>
      <c r="C48" s="8" t="s">
        <v>27</v>
      </c>
      <c r="D48" s="8" t="s">
        <v>74</v>
      </c>
      <c r="E48" s="8" t="s">
        <v>75</v>
      </c>
      <c r="F48" s="8" t="s">
        <v>76</v>
      </c>
      <c r="G48" s="14" t="s">
        <v>597</v>
      </c>
      <c r="H48" s="14" t="s">
        <v>628</v>
      </c>
      <c r="I48" s="59">
        <v>45.4</v>
      </c>
      <c r="J48" s="59">
        <v>-75.5</v>
      </c>
      <c r="K48" s="8">
        <v>210</v>
      </c>
      <c r="L48" s="8"/>
      <c r="M48" s="8" t="s">
        <v>622</v>
      </c>
      <c r="N48" s="8" t="s">
        <v>91</v>
      </c>
      <c r="O48" s="14"/>
      <c r="P48" s="8" t="s">
        <v>85</v>
      </c>
      <c r="Q48" s="15" t="s">
        <v>623</v>
      </c>
      <c r="R48" s="8"/>
      <c r="S48" s="8"/>
      <c r="T48" s="8"/>
      <c r="U48" s="8"/>
      <c r="V48" s="20"/>
      <c r="W48" s="20">
        <v>11</v>
      </c>
      <c r="X48" s="20">
        <v>11</v>
      </c>
      <c r="Y48" s="8" t="s">
        <v>626</v>
      </c>
      <c r="Z48" s="25" t="s">
        <v>572</v>
      </c>
      <c r="AA48" s="25"/>
      <c r="AB48" s="25"/>
      <c r="AC48" s="25"/>
      <c r="AD48" s="8"/>
      <c r="AE48" s="8"/>
      <c r="AF48" s="8"/>
      <c r="AG48" s="8"/>
      <c r="AH48" s="8"/>
      <c r="AI48" s="8"/>
      <c r="AJ48" s="8" t="s">
        <v>883</v>
      </c>
      <c r="AK48" s="3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/>
      <c r="BI48" s="8"/>
      <c r="BJ48" s="8"/>
    </row>
    <row r="49" spans="1:62" s="1" customFormat="1" x14ac:dyDescent="0.3">
      <c r="A49" s="8" t="s">
        <v>621</v>
      </c>
      <c r="B49" s="8" t="s">
        <v>27</v>
      </c>
      <c r="C49" s="8" t="s">
        <v>27</v>
      </c>
      <c r="D49" s="8" t="s">
        <v>74</v>
      </c>
      <c r="E49" s="8" t="s">
        <v>75</v>
      </c>
      <c r="F49" s="8" t="s">
        <v>76</v>
      </c>
      <c r="G49" s="14" t="s">
        <v>597</v>
      </c>
      <c r="H49" s="14" t="s">
        <v>629</v>
      </c>
      <c r="I49" s="59">
        <v>45.4</v>
      </c>
      <c r="J49" s="59">
        <v>-75.5</v>
      </c>
      <c r="K49" s="8">
        <v>210</v>
      </c>
      <c r="L49" s="8"/>
      <c r="M49" s="8" t="s">
        <v>622</v>
      </c>
      <c r="N49" s="8" t="s">
        <v>91</v>
      </c>
      <c r="O49" s="14"/>
      <c r="P49" s="8" t="s">
        <v>85</v>
      </c>
      <c r="Q49" s="15" t="s">
        <v>623</v>
      </c>
      <c r="R49" s="8">
        <f>T49</f>
        <v>0.74</v>
      </c>
      <c r="S49" s="8"/>
      <c r="T49" s="8">
        <v>0.74</v>
      </c>
      <c r="U49" s="8" t="s">
        <v>609</v>
      </c>
      <c r="V49" s="20"/>
      <c r="W49" s="20">
        <v>89</v>
      </c>
      <c r="X49" s="20">
        <v>89</v>
      </c>
      <c r="Y49" s="8" t="s">
        <v>626</v>
      </c>
      <c r="Z49" s="25" t="s">
        <v>572</v>
      </c>
      <c r="AA49" s="25"/>
      <c r="AB49" s="25"/>
      <c r="AC49" s="25"/>
      <c r="AD49" s="8"/>
      <c r="AE49" s="8"/>
      <c r="AF49" s="8"/>
      <c r="AG49" s="8"/>
      <c r="AH49" s="8"/>
      <c r="AI49" s="8"/>
      <c r="AJ49" s="8" t="s">
        <v>883</v>
      </c>
      <c r="AK49" s="3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  <c r="BE49" s="8"/>
      <c r="BF49" s="8"/>
      <c r="BG49" s="8"/>
      <c r="BH49" s="8"/>
      <c r="BI49" s="8"/>
      <c r="BJ49" s="8"/>
    </row>
    <row r="50" spans="1:62" s="1" customFormat="1" x14ac:dyDescent="0.3">
      <c r="A50" s="8" t="s">
        <v>621</v>
      </c>
      <c r="B50" s="8" t="s">
        <v>27</v>
      </c>
      <c r="C50" s="8" t="s">
        <v>27</v>
      </c>
      <c r="D50" s="8" t="s">
        <v>74</v>
      </c>
      <c r="E50" s="8" t="s">
        <v>75</v>
      </c>
      <c r="F50" s="8" t="s">
        <v>76</v>
      </c>
      <c r="G50" s="14" t="s">
        <v>598</v>
      </c>
      <c r="H50" s="34" t="s">
        <v>631</v>
      </c>
      <c r="I50" s="59">
        <v>45.4</v>
      </c>
      <c r="J50" s="59">
        <v>-75.5</v>
      </c>
      <c r="K50" s="8">
        <v>210</v>
      </c>
      <c r="L50" s="8"/>
      <c r="M50" s="8" t="s">
        <v>622</v>
      </c>
      <c r="N50" s="8" t="s">
        <v>91</v>
      </c>
      <c r="O50" s="14"/>
      <c r="P50" s="8" t="s">
        <v>85</v>
      </c>
      <c r="Q50" s="15" t="s">
        <v>623</v>
      </c>
      <c r="R50" s="8"/>
      <c r="S50" s="8"/>
      <c r="T50" s="8"/>
      <c r="U50" s="8"/>
      <c r="V50" s="20"/>
      <c r="W50" s="20">
        <v>-251</v>
      </c>
      <c r="X50" s="20">
        <v>-251</v>
      </c>
      <c r="Y50" s="8" t="s">
        <v>624</v>
      </c>
      <c r="Z50" s="26" t="s">
        <v>576</v>
      </c>
      <c r="AA50" s="26"/>
      <c r="AB50" s="26"/>
      <c r="AC50" s="26"/>
      <c r="AD50" s="8"/>
      <c r="AE50" s="8"/>
      <c r="AF50" s="5">
        <f t="shared" ref="AF50" si="7">AG50/0.2729</f>
        <v>1051.6672773909859</v>
      </c>
      <c r="AG50" s="17">
        <v>287</v>
      </c>
      <c r="AH50" s="17" t="s">
        <v>590</v>
      </c>
      <c r="AI50" s="8"/>
      <c r="AJ50" s="8" t="s">
        <v>883</v>
      </c>
      <c r="AK50" s="3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  <c r="BE50" s="8"/>
      <c r="BF50" s="8"/>
      <c r="BG50" s="8"/>
      <c r="BH50" s="8"/>
      <c r="BI50" s="8"/>
      <c r="BJ50" s="8"/>
    </row>
    <row r="51" spans="1:62" s="1" customFormat="1" x14ac:dyDescent="0.3">
      <c r="A51" s="8" t="s">
        <v>621</v>
      </c>
      <c r="B51" s="8" t="s">
        <v>27</v>
      </c>
      <c r="C51" s="8" t="s">
        <v>27</v>
      </c>
      <c r="D51" s="8" t="s">
        <v>74</v>
      </c>
      <c r="E51" s="8" t="s">
        <v>75</v>
      </c>
      <c r="F51" s="8" t="s">
        <v>76</v>
      </c>
      <c r="G51" s="14" t="s">
        <v>598</v>
      </c>
      <c r="H51" s="14" t="s">
        <v>625</v>
      </c>
      <c r="I51" s="59">
        <v>45.4</v>
      </c>
      <c r="J51" s="59">
        <v>-75.5</v>
      </c>
      <c r="K51" s="8">
        <v>210</v>
      </c>
      <c r="L51" s="8"/>
      <c r="M51" s="8" t="s">
        <v>622</v>
      </c>
      <c r="N51" s="8" t="s">
        <v>91</v>
      </c>
      <c r="O51" s="14"/>
      <c r="P51" s="8" t="s">
        <v>85</v>
      </c>
      <c r="Q51" s="15" t="s">
        <v>623</v>
      </c>
      <c r="R51" s="8"/>
      <c r="S51" s="8"/>
      <c r="T51" s="8"/>
      <c r="U51" s="8"/>
      <c r="V51" s="20"/>
      <c r="W51" s="20">
        <v>-96</v>
      </c>
      <c r="X51" s="20">
        <v>-96</v>
      </c>
      <c r="Y51" s="8" t="s">
        <v>626</v>
      </c>
      <c r="Z51" s="25" t="s">
        <v>572</v>
      </c>
      <c r="AA51" s="25"/>
      <c r="AB51" s="25"/>
      <c r="AC51" s="25"/>
      <c r="AD51" s="8"/>
      <c r="AE51" s="8"/>
      <c r="AF51" s="8"/>
      <c r="AG51" s="8"/>
      <c r="AH51" s="8"/>
      <c r="AI51" s="8"/>
      <c r="AJ51" s="8" t="s">
        <v>883</v>
      </c>
      <c r="AK51" s="3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  <c r="BE51" s="8"/>
      <c r="BF51" s="8"/>
      <c r="BG51" s="8"/>
      <c r="BH51" s="8"/>
      <c r="BI51" s="8"/>
      <c r="BJ51" s="8"/>
    </row>
    <row r="52" spans="1:62" s="1" customFormat="1" x14ac:dyDescent="0.3">
      <c r="A52" s="8" t="s">
        <v>621</v>
      </c>
      <c r="B52" s="8" t="s">
        <v>27</v>
      </c>
      <c r="C52" s="8" t="s">
        <v>27</v>
      </c>
      <c r="D52" s="8" t="s">
        <v>74</v>
      </c>
      <c r="E52" s="8" t="s">
        <v>75</v>
      </c>
      <c r="F52" s="8" t="s">
        <v>76</v>
      </c>
      <c r="G52" s="14" t="s">
        <v>598</v>
      </c>
      <c r="H52" s="14" t="s">
        <v>627</v>
      </c>
      <c r="I52" s="59">
        <v>45.4</v>
      </c>
      <c r="J52" s="59">
        <v>-75.5</v>
      </c>
      <c r="K52" s="8">
        <v>210</v>
      </c>
      <c r="L52" s="8"/>
      <c r="M52" s="8" t="s">
        <v>622</v>
      </c>
      <c r="N52" s="8" t="s">
        <v>91</v>
      </c>
      <c r="O52" s="14"/>
      <c r="P52" s="8" t="s">
        <v>85</v>
      </c>
      <c r="Q52" s="15" t="s">
        <v>623</v>
      </c>
      <c r="R52" s="30">
        <f>T52</f>
        <v>-2.62</v>
      </c>
      <c r="S52" s="8"/>
      <c r="T52" s="8">
        <v>-2.62</v>
      </c>
      <c r="U52" s="8" t="s">
        <v>609</v>
      </c>
      <c r="V52" s="20"/>
      <c r="W52" s="20">
        <v>-321</v>
      </c>
      <c r="X52" s="20">
        <v>-321</v>
      </c>
      <c r="Y52" s="8" t="s">
        <v>626</v>
      </c>
      <c r="Z52" s="25" t="s">
        <v>572</v>
      </c>
      <c r="AA52" s="25"/>
      <c r="AB52" s="25"/>
      <c r="AC52" s="25"/>
      <c r="AD52" s="8"/>
      <c r="AE52" s="8"/>
      <c r="AF52" s="8"/>
      <c r="AG52" s="8"/>
      <c r="AH52" s="8"/>
      <c r="AI52" s="8"/>
      <c r="AJ52" s="8" t="s">
        <v>883</v>
      </c>
      <c r="AK52" s="3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  <c r="BE52" s="8"/>
      <c r="BF52" s="8"/>
      <c r="BG52" s="8"/>
      <c r="BH52" s="8"/>
      <c r="BI52" s="8"/>
      <c r="BJ52" s="8"/>
    </row>
    <row r="53" spans="1:62" s="1" customFormat="1" x14ac:dyDescent="0.3">
      <c r="A53" s="8" t="s">
        <v>621</v>
      </c>
      <c r="B53" s="8" t="s">
        <v>27</v>
      </c>
      <c r="C53" s="8" t="s">
        <v>27</v>
      </c>
      <c r="D53" s="8" t="s">
        <v>74</v>
      </c>
      <c r="E53" s="8" t="s">
        <v>75</v>
      </c>
      <c r="F53" s="8" t="s">
        <v>76</v>
      </c>
      <c r="G53" s="14" t="s">
        <v>598</v>
      </c>
      <c r="H53" s="14" t="s">
        <v>628</v>
      </c>
      <c r="I53" s="59">
        <v>45.4</v>
      </c>
      <c r="J53" s="59">
        <v>-75.5</v>
      </c>
      <c r="K53" s="8">
        <v>210</v>
      </c>
      <c r="L53" s="8"/>
      <c r="M53" s="8" t="s">
        <v>622</v>
      </c>
      <c r="N53" s="8" t="s">
        <v>91</v>
      </c>
      <c r="O53" s="14"/>
      <c r="P53" s="8" t="s">
        <v>85</v>
      </c>
      <c r="Q53" s="15" t="s">
        <v>623</v>
      </c>
      <c r="R53" s="8"/>
      <c r="S53" s="8"/>
      <c r="T53" s="8"/>
      <c r="U53" s="8"/>
      <c r="V53" s="20"/>
      <c r="W53" s="20">
        <v>32</v>
      </c>
      <c r="X53" s="20">
        <v>32</v>
      </c>
      <c r="Y53" s="8" t="s">
        <v>626</v>
      </c>
      <c r="Z53" s="25" t="s">
        <v>572</v>
      </c>
      <c r="AA53" s="25"/>
      <c r="AB53" s="25"/>
      <c r="AC53" s="25"/>
      <c r="AD53" s="8"/>
      <c r="AE53" s="8"/>
      <c r="AF53" s="8"/>
      <c r="AG53" s="8"/>
      <c r="AH53" s="8"/>
      <c r="AI53" s="8"/>
      <c r="AJ53" s="8" t="s">
        <v>883</v>
      </c>
      <c r="AK53" s="3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  <c r="BE53" s="8"/>
      <c r="BF53" s="8"/>
      <c r="BG53" s="8"/>
      <c r="BH53" s="8"/>
      <c r="BI53" s="8"/>
      <c r="BJ53" s="8"/>
    </row>
    <row r="54" spans="1:62" s="1" customFormat="1" x14ac:dyDescent="0.3">
      <c r="A54" s="8" t="s">
        <v>621</v>
      </c>
      <c r="B54" s="8" t="s">
        <v>27</v>
      </c>
      <c r="C54" s="8" t="s">
        <v>27</v>
      </c>
      <c r="D54" s="8" t="s">
        <v>74</v>
      </c>
      <c r="E54" s="8" t="s">
        <v>75</v>
      </c>
      <c r="F54" s="8" t="s">
        <v>76</v>
      </c>
      <c r="G54" s="14" t="s">
        <v>598</v>
      </c>
      <c r="H54" s="14" t="s">
        <v>629</v>
      </c>
      <c r="I54" s="59">
        <v>45.4</v>
      </c>
      <c r="J54" s="59">
        <v>-75.5</v>
      </c>
      <c r="K54" s="8">
        <v>210</v>
      </c>
      <c r="L54" s="8"/>
      <c r="M54" s="8" t="s">
        <v>622</v>
      </c>
      <c r="N54" s="8" t="s">
        <v>91</v>
      </c>
      <c r="O54" s="14"/>
      <c r="P54" s="8" t="s">
        <v>85</v>
      </c>
      <c r="Q54" s="15" t="s">
        <v>623</v>
      </c>
      <c r="R54" s="8">
        <f>T54</f>
        <v>1.0900000000000001</v>
      </c>
      <c r="S54" s="8"/>
      <c r="T54" s="8">
        <v>1.0900000000000001</v>
      </c>
      <c r="U54" s="8" t="s">
        <v>609</v>
      </c>
      <c r="V54" s="20"/>
      <c r="W54" s="20">
        <v>132</v>
      </c>
      <c r="X54" s="20">
        <v>132</v>
      </c>
      <c r="Y54" s="8" t="s">
        <v>626</v>
      </c>
      <c r="Z54" s="25" t="s">
        <v>572</v>
      </c>
      <c r="AA54" s="25"/>
      <c r="AB54" s="25"/>
      <c r="AC54" s="25"/>
      <c r="AD54" s="8"/>
      <c r="AE54" s="8"/>
      <c r="AF54" s="8"/>
      <c r="AG54" s="8"/>
      <c r="AH54" s="8"/>
      <c r="AI54" s="8"/>
      <c r="AJ54" s="8" t="s">
        <v>883</v>
      </c>
      <c r="AK54" s="3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  <c r="BE54" s="8"/>
      <c r="BF54" s="8"/>
      <c r="BG54" s="8"/>
      <c r="BH54" s="8"/>
      <c r="BI54" s="8"/>
      <c r="BJ54" s="8"/>
    </row>
    <row r="55" spans="1:62" s="1" customFormat="1" x14ac:dyDescent="0.3">
      <c r="A55" s="8" t="s">
        <v>621</v>
      </c>
      <c r="B55" s="8" t="s">
        <v>27</v>
      </c>
      <c r="C55" s="8" t="s">
        <v>27</v>
      </c>
      <c r="D55" s="8" t="s">
        <v>74</v>
      </c>
      <c r="E55" s="8" t="s">
        <v>75</v>
      </c>
      <c r="F55" s="8" t="s">
        <v>76</v>
      </c>
      <c r="G55" s="14" t="s">
        <v>599</v>
      </c>
      <c r="H55" s="34" t="s">
        <v>632</v>
      </c>
      <c r="I55" s="59">
        <v>45.4</v>
      </c>
      <c r="J55" s="59">
        <v>-75.5</v>
      </c>
      <c r="K55" s="8">
        <v>210</v>
      </c>
      <c r="L55" s="8"/>
      <c r="M55" s="8" t="s">
        <v>622</v>
      </c>
      <c r="N55" s="8" t="s">
        <v>91</v>
      </c>
      <c r="O55" s="14"/>
      <c r="P55" s="8" t="s">
        <v>85</v>
      </c>
      <c r="Q55" s="15" t="s">
        <v>623</v>
      </c>
      <c r="R55" s="8"/>
      <c r="S55" s="8"/>
      <c r="T55" s="8"/>
      <c r="U55" s="8"/>
      <c r="V55" s="20"/>
      <c r="W55" s="20">
        <v>-37</v>
      </c>
      <c r="X55" s="20">
        <v>-37</v>
      </c>
      <c r="Y55" s="8" t="s">
        <v>624</v>
      </c>
      <c r="Z55" s="26" t="s">
        <v>576</v>
      </c>
      <c r="AA55" s="26"/>
      <c r="AB55" s="26"/>
      <c r="AC55" s="26"/>
      <c r="AD55" s="8"/>
      <c r="AE55" s="8"/>
      <c r="AF55" s="5">
        <f t="shared" ref="AF55" si="8">AG55/0.2729</f>
        <v>1293.5141077317701</v>
      </c>
      <c r="AG55" s="17">
        <v>353</v>
      </c>
      <c r="AH55" s="17" t="s">
        <v>590</v>
      </c>
      <c r="AI55" s="8"/>
      <c r="AJ55" s="8" t="s">
        <v>883</v>
      </c>
      <c r="AK55" s="3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</row>
    <row r="56" spans="1:62" s="1" customFormat="1" x14ac:dyDescent="0.3">
      <c r="A56" s="8" t="s">
        <v>621</v>
      </c>
      <c r="B56" s="8" t="s">
        <v>27</v>
      </c>
      <c r="C56" s="8" t="s">
        <v>27</v>
      </c>
      <c r="D56" s="8" t="s">
        <v>74</v>
      </c>
      <c r="E56" s="8" t="s">
        <v>75</v>
      </c>
      <c r="F56" s="8" t="s">
        <v>76</v>
      </c>
      <c r="G56" s="14" t="s">
        <v>599</v>
      </c>
      <c r="H56" s="14" t="s">
        <v>625</v>
      </c>
      <c r="I56" s="59">
        <v>45.4</v>
      </c>
      <c r="J56" s="59">
        <v>-75.5</v>
      </c>
      <c r="K56" s="8">
        <v>210</v>
      </c>
      <c r="L56" s="8"/>
      <c r="M56" s="8" t="s">
        <v>622</v>
      </c>
      <c r="N56" s="8" t="s">
        <v>91</v>
      </c>
      <c r="O56" s="14"/>
      <c r="P56" s="8" t="s">
        <v>85</v>
      </c>
      <c r="Q56" s="15" t="s">
        <v>623</v>
      </c>
      <c r="R56" s="8"/>
      <c r="S56" s="8"/>
      <c r="T56" s="8"/>
      <c r="U56" s="8"/>
      <c r="V56" s="8"/>
      <c r="W56" s="8">
        <v>-24</v>
      </c>
      <c r="X56" s="8">
        <v>-24</v>
      </c>
      <c r="Y56" s="8" t="s">
        <v>626</v>
      </c>
      <c r="Z56" s="25" t="s">
        <v>572</v>
      </c>
      <c r="AA56" s="25"/>
      <c r="AB56" s="25"/>
      <c r="AC56" s="25"/>
      <c r="AD56" s="8"/>
      <c r="AE56" s="8"/>
      <c r="AF56" s="8"/>
      <c r="AG56" s="8"/>
      <c r="AH56" s="8"/>
      <c r="AI56" s="8"/>
      <c r="AJ56" s="8" t="s">
        <v>883</v>
      </c>
      <c r="AK56" s="3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  <c r="BE56" s="8"/>
      <c r="BF56" s="8"/>
      <c r="BG56" s="8"/>
      <c r="BH56" s="8"/>
      <c r="BI56" s="8"/>
      <c r="BJ56" s="8"/>
    </row>
    <row r="57" spans="1:62" s="1" customFormat="1" x14ac:dyDescent="0.3">
      <c r="A57" s="8" t="s">
        <v>621</v>
      </c>
      <c r="B57" s="8" t="s">
        <v>27</v>
      </c>
      <c r="C57" s="8" t="s">
        <v>27</v>
      </c>
      <c r="D57" s="8" t="s">
        <v>74</v>
      </c>
      <c r="E57" s="8" t="s">
        <v>75</v>
      </c>
      <c r="F57" s="8" t="s">
        <v>76</v>
      </c>
      <c r="G57" s="14" t="s">
        <v>599</v>
      </c>
      <c r="H57" s="14" t="s">
        <v>627</v>
      </c>
      <c r="I57" s="59">
        <v>45.4</v>
      </c>
      <c r="J57" s="59">
        <v>-75.5</v>
      </c>
      <c r="K57" s="8">
        <v>210</v>
      </c>
      <c r="L57" s="8"/>
      <c r="M57" s="8" t="s">
        <v>622</v>
      </c>
      <c r="N57" s="8" t="s">
        <v>91</v>
      </c>
      <c r="O57" s="14"/>
      <c r="P57" s="8" t="s">
        <v>85</v>
      </c>
      <c r="Q57" s="15" t="s">
        <v>623</v>
      </c>
      <c r="R57" s="30">
        <f>T57</f>
        <v>-1.56</v>
      </c>
      <c r="S57" s="8"/>
      <c r="T57" s="8">
        <v>-1.56</v>
      </c>
      <c r="U57" s="8" t="s">
        <v>609</v>
      </c>
      <c r="V57" s="8"/>
      <c r="W57" s="8">
        <v>-191</v>
      </c>
      <c r="X57" s="8">
        <v>-191</v>
      </c>
      <c r="Y57" s="8" t="s">
        <v>626</v>
      </c>
      <c r="Z57" s="25" t="s">
        <v>572</v>
      </c>
      <c r="AA57" s="25"/>
      <c r="AB57" s="25"/>
      <c r="AC57" s="25"/>
      <c r="AD57" s="8"/>
      <c r="AE57" s="8"/>
      <c r="AF57" s="8"/>
      <c r="AG57" s="8"/>
      <c r="AH57" s="8"/>
      <c r="AI57" s="8"/>
      <c r="AJ57" s="8" t="s">
        <v>883</v>
      </c>
      <c r="AK57" s="3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  <c r="BE57" s="8"/>
      <c r="BF57" s="8"/>
      <c r="BG57" s="8"/>
      <c r="BH57" s="8"/>
      <c r="BI57" s="8"/>
      <c r="BJ57" s="8"/>
    </row>
    <row r="58" spans="1:62" s="1" customFormat="1" x14ac:dyDescent="0.3">
      <c r="A58" s="8" t="s">
        <v>621</v>
      </c>
      <c r="B58" s="8" t="s">
        <v>27</v>
      </c>
      <c r="C58" s="8" t="s">
        <v>27</v>
      </c>
      <c r="D58" s="8" t="s">
        <v>74</v>
      </c>
      <c r="E58" s="8" t="s">
        <v>75</v>
      </c>
      <c r="F58" s="8" t="s">
        <v>76</v>
      </c>
      <c r="G58" s="14" t="s">
        <v>599</v>
      </c>
      <c r="H58" s="14" t="s">
        <v>628</v>
      </c>
      <c r="I58" s="59">
        <v>45.4</v>
      </c>
      <c r="J58" s="59">
        <v>-75.5</v>
      </c>
      <c r="K58" s="8">
        <v>210</v>
      </c>
      <c r="L58" s="8"/>
      <c r="M58" s="8" t="s">
        <v>622</v>
      </c>
      <c r="N58" s="8" t="s">
        <v>91</v>
      </c>
      <c r="O58" s="14"/>
      <c r="P58" s="8" t="s">
        <v>85</v>
      </c>
      <c r="Q58" s="15" t="s">
        <v>623</v>
      </c>
      <c r="R58" s="8"/>
      <c r="S58" s="8"/>
      <c r="T58" s="8"/>
      <c r="U58" s="8"/>
      <c r="V58" s="8"/>
      <c r="W58" s="8">
        <v>51</v>
      </c>
      <c r="X58" s="8">
        <v>51</v>
      </c>
      <c r="Y58" s="8" t="s">
        <v>626</v>
      </c>
      <c r="Z58" s="25" t="s">
        <v>572</v>
      </c>
      <c r="AA58" s="25"/>
      <c r="AB58" s="25"/>
      <c r="AC58" s="25"/>
      <c r="AD58" s="8"/>
      <c r="AE58" s="8"/>
      <c r="AF58" s="8"/>
      <c r="AG58" s="8"/>
      <c r="AH58" s="8"/>
      <c r="AI58" s="8"/>
      <c r="AJ58" s="8" t="s">
        <v>883</v>
      </c>
      <c r="AK58" s="3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  <c r="BE58" s="8"/>
      <c r="BF58" s="8"/>
      <c r="BG58" s="8"/>
      <c r="BH58" s="8"/>
      <c r="BI58" s="8"/>
      <c r="BJ58" s="8"/>
    </row>
    <row r="59" spans="1:62" s="1" customFormat="1" x14ac:dyDescent="0.3">
      <c r="A59" s="8" t="s">
        <v>621</v>
      </c>
      <c r="B59" s="8" t="s">
        <v>27</v>
      </c>
      <c r="C59" s="8" t="s">
        <v>27</v>
      </c>
      <c r="D59" s="8" t="s">
        <v>74</v>
      </c>
      <c r="E59" s="8" t="s">
        <v>75</v>
      </c>
      <c r="F59" s="8" t="s">
        <v>76</v>
      </c>
      <c r="G59" s="14" t="s">
        <v>599</v>
      </c>
      <c r="H59" s="14" t="s">
        <v>629</v>
      </c>
      <c r="I59" s="59">
        <v>45.4</v>
      </c>
      <c r="J59" s="59">
        <v>-75.5</v>
      </c>
      <c r="K59" s="8">
        <v>210</v>
      </c>
      <c r="L59" s="8"/>
      <c r="M59" s="8" t="s">
        <v>622</v>
      </c>
      <c r="N59" s="8" t="s">
        <v>91</v>
      </c>
      <c r="O59" s="14"/>
      <c r="P59" s="8" t="s">
        <v>85</v>
      </c>
      <c r="Q59" s="15" t="s">
        <v>623</v>
      </c>
      <c r="R59" s="8">
        <f>T59</f>
        <v>1.05</v>
      </c>
      <c r="S59" s="8"/>
      <c r="T59" s="8">
        <v>1.05</v>
      </c>
      <c r="U59" s="8" t="s">
        <v>609</v>
      </c>
      <c r="V59" s="8"/>
      <c r="W59" s="8">
        <v>127</v>
      </c>
      <c r="X59" s="8">
        <v>127</v>
      </c>
      <c r="Y59" s="8" t="s">
        <v>626</v>
      </c>
      <c r="Z59" s="25" t="s">
        <v>572</v>
      </c>
      <c r="AA59" s="25"/>
      <c r="AB59" s="25"/>
      <c r="AC59" s="25"/>
      <c r="AD59" s="8"/>
      <c r="AE59" s="8"/>
      <c r="AF59" s="8"/>
      <c r="AG59" s="8"/>
      <c r="AH59" s="8"/>
      <c r="AI59" s="8"/>
      <c r="AJ59" s="8" t="s">
        <v>883</v>
      </c>
      <c r="AK59" s="3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  <c r="BE59" s="8"/>
      <c r="BF59" s="8"/>
      <c r="BG59" s="8"/>
      <c r="BH59" s="8"/>
      <c r="BI59" s="8"/>
      <c r="BJ59" s="8"/>
    </row>
    <row r="60" spans="1:62" s="1" customFormat="1" x14ac:dyDescent="0.3">
      <c r="A60" s="8" t="s">
        <v>88</v>
      </c>
      <c r="B60" s="8" t="s">
        <v>27</v>
      </c>
      <c r="C60" s="8" t="s">
        <v>27</v>
      </c>
      <c r="D60" s="8" t="s">
        <v>74</v>
      </c>
      <c r="E60" s="8" t="s">
        <v>75</v>
      </c>
      <c r="F60" s="8" t="s">
        <v>76</v>
      </c>
      <c r="G60" s="14" t="s">
        <v>89</v>
      </c>
      <c r="H60" s="34"/>
      <c r="I60" s="59">
        <v>45.4</v>
      </c>
      <c r="J60" s="59">
        <v>-75.5</v>
      </c>
      <c r="K60" s="8">
        <v>210</v>
      </c>
      <c r="L60" s="8"/>
      <c r="M60" s="8" t="s">
        <v>90</v>
      </c>
      <c r="N60" s="8" t="s">
        <v>91</v>
      </c>
      <c r="O60" s="14"/>
      <c r="P60" s="8" t="s">
        <v>85</v>
      </c>
      <c r="Q60" s="15" t="s">
        <v>92</v>
      </c>
      <c r="R60" s="15"/>
      <c r="S60" s="15"/>
      <c r="T60" s="8"/>
      <c r="U60" s="8"/>
      <c r="V60" s="5"/>
      <c r="W60" s="5">
        <f>X60/0.2729</f>
        <v>-147.3067057530231</v>
      </c>
      <c r="X60" s="22">
        <v>-40.200000000000003</v>
      </c>
      <c r="Y60" s="17" t="s">
        <v>633</v>
      </c>
      <c r="Z60" s="26" t="s">
        <v>576</v>
      </c>
      <c r="AA60" s="26"/>
      <c r="AB60" s="26"/>
      <c r="AC60" s="26"/>
      <c r="AD60" s="8"/>
      <c r="AE60" s="8"/>
      <c r="AF60" s="8"/>
      <c r="AG60" s="8"/>
      <c r="AH60" s="8"/>
      <c r="AI60" s="8"/>
      <c r="AJ60" s="8" t="s">
        <v>883</v>
      </c>
      <c r="AK60" s="3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  <c r="BE60" s="8"/>
      <c r="BF60" s="8"/>
      <c r="BG60" s="8"/>
      <c r="BH60" s="8"/>
      <c r="BI60" s="8"/>
      <c r="BJ60" s="8"/>
    </row>
    <row r="61" spans="1:62" s="1" customFormat="1" ht="15.6" customHeight="1" x14ac:dyDescent="0.3">
      <c r="A61" s="32" t="s">
        <v>634</v>
      </c>
      <c r="B61" s="8" t="s">
        <v>27</v>
      </c>
      <c r="C61" s="8" t="s">
        <v>27</v>
      </c>
      <c r="D61" s="8" t="s">
        <v>74</v>
      </c>
      <c r="E61" s="8" t="s">
        <v>635</v>
      </c>
      <c r="F61" s="8" t="s">
        <v>76</v>
      </c>
      <c r="G61" s="14" t="s">
        <v>602</v>
      </c>
      <c r="H61" s="34" t="s">
        <v>378</v>
      </c>
      <c r="I61" s="58">
        <v>45.406886111111106</v>
      </c>
      <c r="J61" s="58">
        <v>-75.484375</v>
      </c>
      <c r="K61" s="8">
        <v>210</v>
      </c>
      <c r="L61" s="8"/>
      <c r="M61" s="8" t="s">
        <v>636</v>
      </c>
      <c r="N61" s="8" t="s">
        <v>91</v>
      </c>
      <c r="O61" s="14"/>
      <c r="P61" s="8" t="s">
        <v>85</v>
      </c>
      <c r="Q61" s="15" t="s">
        <v>637</v>
      </c>
      <c r="R61" s="15"/>
      <c r="S61" s="15"/>
      <c r="T61" s="8"/>
      <c r="U61" s="8"/>
      <c r="V61" s="5"/>
      <c r="W61" s="5">
        <f>X61/0.2729</f>
        <v>-263.83290582631003</v>
      </c>
      <c r="X61" s="17">
        <v>-72</v>
      </c>
      <c r="Y61" s="17" t="s">
        <v>638</v>
      </c>
      <c r="Z61" s="26" t="s">
        <v>576</v>
      </c>
      <c r="AA61" s="26"/>
      <c r="AB61" s="26"/>
      <c r="AC61" s="26"/>
      <c r="AD61" s="8">
        <v>3.5</v>
      </c>
      <c r="AE61" s="8" t="s">
        <v>589</v>
      </c>
      <c r="AF61" s="8"/>
      <c r="AG61" s="8"/>
      <c r="AH61" s="8"/>
      <c r="AI61" s="8"/>
      <c r="AJ61" s="8" t="s">
        <v>883</v>
      </c>
      <c r="AK61" s="3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  <c r="BE61" s="8"/>
      <c r="BF61" s="8"/>
      <c r="BG61" s="8"/>
      <c r="BH61" s="8"/>
      <c r="BI61" s="8"/>
      <c r="BJ61" s="8"/>
    </row>
    <row r="62" spans="1:62" s="1" customFormat="1" x14ac:dyDescent="0.3">
      <c r="A62" s="32" t="s">
        <v>634</v>
      </c>
      <c r="B62" s="8" t="s">
        <v>27</v>
      </c>
      <c r="C62" s="8" t="s">
        <v>27</v>
      </c>
      <c r="D62" s="8" t="s">
        <v>74</v>
      </c>
      <c r="E62" s="8" t="s">
        <v>635</v>
      </c>
      <c r="F62" s="8" t="s">
        <v>76</v>
      </c>
      <c r="G62" s="14" t="s">
        <v>602</v>
      </c>
      <c r="H62" s="34" t="s">
        <v>378</v>
      </c>
      <c r="I62" s="58">
        <v>45.409441666666666</v>
      </c>
      <c r="J62" s="58">
        <v>-75.518708333333294</v>
      </c>
      <c r="K62" s="8">
        <v>210</v>
      </c>
      <c r="L62" s="8"/>
      <c r="M62" s="8" t="s">
        <v>639</v>
      </c>
      <c r="N62" s="8" t="s">
        <v>91</v>
      </c>
      <c r="O62" s="14"/>
      <c r="P62" s="8" t="s">
        <v>85</v>
      </c>
      <c r="Q62" s="15" t="s">
        <v>640</v>
      </c>
      <c r="R62" s="15"/>
      <c r="S62" s="15"/>
      <c r="T62" s="8"/>
      <c r="U62" s="8"/>
      <c r="V62" s="5"/>
      <c r="W62" s="5">
        <f>X62/0.2729</f>
        <v>-381.09197508244779</v>
      </c>
      <c r="X62" s="17">
        <v>-104</v>
      </c>
      <c r="Y62" s="17" t="s">
        <v>638</v>
      </c>
      <c r="Z62" s="26" t="s">
        <v>576</v>
      </c>
      <c r="AA62" s="26"/>
      <c r="AB62" s="26"/>
      <c r="AC62" s="26"/>
      <c r="AD62" s="8">
        <v>3.7</v>
      </c>
      <c r="AE62" s="8" t="s">
        <v>589</v>
      </c>
      <c r="AF62" s="8"/>
      <c r="AG62" s="8"/>
      <c r="AH62" s="8"/>
      <c r="AI62" s="8"/>
      <c r="AJ62" s="8" t="s">
        <v>883</v>
      </c>
      <c r="AK62" s="3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</row>
    <row r="63" spans="1:62" s="1" customFormat="1" x14ac:dyDescent="0.3">
      <c r="A63" s="8" t="s">
        <v>641</v>
      </c>
      <c r="B63" s="8" t="s">
        <v>27</v>
      </c>
      <c r="C63" s="8" t="s">
        <v>27</v>
      </c>
      <c r="D63" s="8" t="s">
        <v>28</v>
      </c>
      <c r="E63" s="8" t="s">
        <v>642</v>
      </c>
      <c r="F63" s="8" t="s">
        <v>76</v>
      </c>
      <c r="G63" s="14">
        <v>1997</v>
      </c>
      <c r="H63" s="34" t="s">
        <v>643</v>
      </c>
      <c r="I63" s="58">
        <v>45.419999999999995</v>
      </c>
      <c r="J63" s="58">
        <v>-73.55</v>
      </c>
      <c r="K63" s="8">
        <v>219</v>
      </c>
      <c r="L63" s="8"/>
      <c r="M63" s="8" t="s">
        <v>644</v>
      </c>
      <c r="N63" s="8" t="s">
        <v>91</v>
      </c>
      <c r="O63" s="14"/>
      <c r="P63" s="8" t="s">
        <v>36</v>
      </c>
      <c r="Q63" s="15" t="s">
        <v>645</v>
      </c>
      <c r="R63" s="15"/>
      <c r="S63" s="24">
        <f>(W63+(365-K63))/K63*5</f>
        <v>-3.0248924539572437</v>
      </c>
      <c r="T63" s="8" t="s">
        <v>582</v>
      </c>
      <c r="U63" s="8"/>
      <c r="V63" s="5"/>
      <c r="W63" s="5">
        <f>X63/0.2729</f>
        <v>-278.49028948332727</v>
      </c>
      <c r="X63" s="17">
        <v>-76</v>
      </c>
      <c r="Y63" s="17" t="s">
        <v>646</v>
      </c>
      <c r="Z63" s="26" t="s">
        <v>576</v>
      </c>
      <c r="AA63" s="26"/>
      <c r="AB63" s="26">
        <f>W63-(365-K63)</f>
        <v>-424.49028948332727</v>
      </c>
      <c r="AC63" s="26">
        <f>W63</f>
        <v>-278.49028948332727</v>
      </c>
      <c r="AD63" s="8"/>
      <c r="AE63" s="8"/>
      <c r="AF63" s="8"/>
      <c r="AG63" s="8"/>
      <c r="AH63" s="8"/>
      <c r="AI63" s="8"/>
      <c r="AJ63" s="8" t="s">
        <v>881</v>
      </c>
      <c r="AK63" s="3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  <c r="BE63" s="8"/>
      <c r="BF63" s="8"/>
      <c r="BG63" s="8"/>
      <c r="BH63" s="8"/>
      <c r="BI63" s="8"/>
      <c r="BJ63" s="8"/>
    </row>
    <row r="64" spans="1:62" s="1" customFormat="1" x14ac:dyDescent="0.3">
      <c r="A64" s="8" t="s">
        <v>84</v>
      </c>
      <c r="B64" s="8" t="s">
        <v>27</v>
      </c>
      <c r="C64" s="8" t="s">
        <v>27</v>
      </c>
      <c r="D64" s="8" t="s">
        <v>74</v>
      </c>
      <c r="E64" s="8" t="s">
        <v>117</v>
      </c>
      <c r="F64" s="8" t="s">
        <v>118</v>
      </c>
      <c r="G64" s="55" t="s">
        <v>119</v>
      </c>
      <c r="H64" s="41" t="s">
        <v>120</v>
      </c>
      <c r="I64" s="58">
        <v>52.7</v>
      </c>
      <c r="J64" s="58">
        <v>-83.9</v>
      </c>
      <c r="K64" s="8">
        <v>151</v>
      </c>
      <c r="L64" s="8"/>
      <c r="M64" s="3"/>
      <c r="N64" s="3"/>
      <c r="O64" s="14"/>
      <c r="P64" s="3" t="s">
        <v>85</v>
      </c>
      <c r="Q64" s="5"/>
      <c r="R64" s="5"/>
      <c r="S64" s="24">
        <f>(W64+(365-K64))/K64*5</f>
        <v>-1.7714321768398777</v>
      </c>
      <c r="T64" s="8" t="s">
        <v>582</v>
      </c>
      <c r="U64" s="8"/>
      <c r="V64" s="5"/>
      <c r="W64" s="5">
        <f>AVERAGE(W65:W67)</f>
        <v>-267.49725174056431</v>
      </c>
      <c r="X64" s="27">
        <f>AVERAGE(X65:X67)</f>
        <v>-73</v>
      </c>
      <c r="Y64" s="17" t="s">
        <v>638</v>
      </c>
      <c r="Z64" s="26" t="s">
        <v>576</v>
      </c>
      <c r="AA64" s="26"/>
      <c r="AB64" s="26">
        <f>W64-(365-K64)</f>
        <v>-481.49725174056431</v>
      </c>
      <c r="AC64" s="26">
        <f>W64</f>
        <v>-267.49725174056431</v>
      </c>
      <c r="AD64" s="8"/>
      <c r="AE64" s="8"/>
      <c r="AF64" s="5">
        <f t="shared" ref="AF64:AF75" si="9">AG64/0.2729</f>
        <v>1102.9681201905462</v>
      </c>
      <c r="AG64" s="17">
        <v>301</v>
      </c>
      <c r="AH64" s="17" t="s">
        <v>638</v>
      </c>
      <c r="AI64" s="8"/>
      <c r="AJ64" s="8" t="s">
        <v>881</v>
      </c>
      <c r="AK64" s="3" t="s">
        <v>647</v>
      </c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  <c r="BE64" s="8"/>
      <c r="BF64" s="8"/>
      <c r="BG64" s="8"/>
      <c r="BH64" s="8"/>
      <c r="BI64" s="8"/>
      <c r="BJ64" s="8"/>
    </row>
    <row r="65" spans="1:62" s="1" customFormat="1" x14ac:dyDescent="0.3">
      <c r="A65" s="8" t="s">
        <v>84</v>
      </c>
      <c r="B65" s="8" t="s">
        <v>27</v>
      </c>
      <c r="C65" s="8" t="s">
        <v>27</v>
      </c>
      <c r="D65" s="8" t="s">
        <v>74</v>
      </c>
      <c r="E65" s="8" t="s">
        <v>117</v>
      </c>
      <c r="F65" s="8" t="s">
        <v>118</v>
      </c>
      <c r="G65" s="55" t="s">
        <v>648</v>
      </c>
      <c r="H65" s="41" t="s">
        <v>120</v>
      </c>
      <c r="I65" s="58">
        <v>52.7</v>
      </c>
      <c r="J65" s="58">
        <v>-83.9</v>
      </c>
      <c r="K65" s="8">
        <v>151</v>
      </c>
      <c r="L65" s="8"/>
      <c r="M65" s="3"/>
      <c r="N65" s="3"/>
      <c r="O65" s="14"/>
      <c r="P65" s="3" t="s">
        <v>85</v>
      </c>
      <c r="Q65" s="5"/>
      <c r="R65" s="5"/>
      <c r="S65" s="5"/>
      <c r="T65" s="8"/>
      <c r="U65" s="8"/>
      <c r="V65" s="5"/>
      <c r="W65" s="5">
        <f t="shared" ref="W65:W75" si="10">X65/0.2729</f>
        <v>-260.16855991205574</v>
      </c>
      <c r="X65" s="27">
        <v>-71</v>
      </c>
      <c r="Y65" s="17" t="s">
        <v>638</v>
      </c>
      <c r="Z65" s="26" t="s">
        <v>576</v>
      </c>
      <c r="AA65" s="26"/>
      <c r="AB65" s="26"/>
      <c r="AC65" s="26"/>
      <c r="AD65" s="8"/>
      <c r="AE65" s="8"/>
      <c r="AF65" s="5">
        <f t="shared" si="9"/>
        <v>1102.9681201905462</v>
      </c>
      <c r="AG65" s="17">
        <v>301</v>
      </c>
      <c r="AH65" s="17" t="s">
        <v>638</v>
      </c>
      <c r="AI65" s="8"/>
      <c r="AJ65" s="8" t="s">
        <v>884</v>
      </c>
      <c r="AK65" s="3" t="s">
        <v>647</v>
      </c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  <c r="BE65" s="8"/>
      <c r="BF65" s="8"/>
      <c r="BG65" s="8"/>
      <c r="BH65" s="8"/>
      <c r="BI65" s="8"/>
      <c r="BJ65" s="8"/>
    </row>
    <row r="66" spans="1:62" s="1" customFormat="1" x14ac:dyDescent="0.3">
      <c r="A66" s="8" t="s">
        <v>84</v>
      </c>
      <c r="B66" s="8" t="s">
        <v>27</v>
      </c>
      <c r="C66" s="8" t="s">
        <v>27</v>
      </c>
      <c r="D66" s="8" t="s">
        <v>74</v>
      </c>
      <c r="E66" s="8" t="s">
        <v>117</v>
      </c>
      <c r="F66" s="8" t="s">
        <v>118</v>
      </c>
      <c r="G66" s="56" t="s">
        <v>649</v>
      </c>
      <c r="H66" s="41" t="s">
        <v>120</v>
      </c>
      <c r="I66" s="58">
        <v>52.7</v>
      </c>
      <c r="J66" s="58">
        <v>-83.9</v>
      </c>
      <c r="K66" s="8">
        <v>151</v>
      </c>
      <c r="L66" s="8"/>
      <c r="M66" s="3"/>
      <c r="N66" s="3"/>
      <c r="O66" s="14"/>
      <c r="P66" s="3" t="s">
        <v>85</v>
      </c>
      <c r="Q66" s="5"/>
      <c r="R66" s="5"/>
      <c r="S66" s="5"/>
      <c r="T66" s="8"/>
      <c r="U66" s="8"/>
      <c r="V66" s="5"/>
      <c r="W66" s="5">
        <f t="shared" si="10"/>
        <v>-201.53902528398683</v>
      </c>
      <c r="X66" s="27">
        <v>-55</v>
      </c>
      <c r="Y66" s="17" t="s">
        <v>638</v>
      </c>
      <c r="Z66" s="26" t="s">
        <v>576</v>
      </c>
      <c r="AA66" s="26"/>
      <c r="AB66" s="26"/>
      <c r="AC66" s="26"/>
      <c r="AD66" s="8"/>
      <c r="AE66" s="8"/>
      <c r="AF66" s="5">
        <f t="shared" si="9"/>
        <v>1051.6672773909859</v>
      </c>
      <c r="AG66" s="17">
        <v>287</v>
      </c>
      <c r="AH66" s="17" t="s">
        <v>638</v>
      </c>
      <c r="AI66" s="8"/>
      <c r="AJ66" s="8" t="s">
        <v>884</v>
      </c>
      <c r="AK66" s="3" t="s">
        <v>647</v>
      </c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  <c r="BE66" s="8"/>
      <c r="BF66" s="8"/>
      <c r="BG66" s="8"/>
      <c r="BH66" s="8"/>
      <c r="BI66" s="8"/>
      <c r="BJ66" s="8"/>
    </row>
    <row r="67" spans="1:62" s="1" customFormat="1" x14ac:dyDescent="0.3">
      <c r="A67" s="8" t="s">
        <v>84</v>
      </c>
      <c r="B67" s="8" t="s">
        <v>27</v>
      </c>
      <c r="C67" s="8" t="s">
        <v>27</v>
      </c>
      <c r="D67" s="8" t="s">
        <v>74</v>
      </c>
      <c r="E67" s="8" t="s">
        <v>117</v>
      </c>
      <c r="F67" s="8" t="s">
        <v>118</v>
      </c>
      <c r="G67" s="56" t="s">
        <v>650</v>
      </c>
      <c r="H67" s="41" t="s">
        <v>120</v>
      </c>
      <c r="I67" s="58">
        <v>52.7</v>
      </c>
      <c r="J67" s="58">
        <v>-83.9</v>
      </c>
      <c r="K67" s="8">
        <v>151</v>
      </c>
      <c r="L67" s="8"/>
      <c r="M67" s="3"/>
      <c r="N67" s="3"/>
      <c r="O67" s="14"/>
      <c r="P67" s="3" t="s">
        <v>85</v>
      </c>
      <c r="Q67" s="5"/>
      <c r="R67" s="5"/>
      <c r="S67" s="5"/>
      <c r="T67" s="8"/>
      <c r="U67" s="8"/>
      <c r="V67" s="5"/>
      <c r="W67" s="5">
        <f t="shared" si="10"/>
        <v>-340.78417002565044</v>
      </c>
      <c r="X67" s="27">
        <v>-93</v>
      </c>
      <c r="Y67" s="17" t="s">
        <v>638</v>
      </c>
      <c r="Z67" s="26" t="s">
        <v>576</v>
      </c>
      <c r="AA67" s="26"/>
      <c r="AB67" s="26"/>
      <c r="AC67" s="26"/>
      <c r="AD67" s="8"/>
      <c r="AE67" s="8"/>
      <c r="AF67" s="5">
        <f t="shared" si="9"/>
        <v>1026.0168559912056</v>
      </c>
      <c r="AG67" s="17">
        <v>280</v>
      </c>
      <c r="AH67" s="17" t="s">
        <v>638</v>
      </c>
      <c r="AI67" s="8"/>
      <c r="AJ67" s="8" t="s">
        <v>884</v>
      </c>
      <c r="AK67" s="3" t="s">
        <v>647</v>
      </c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  <c r="BE67" s="8"/>
      <c r="BF67" s="8"/>
      <c r="BG67" s="8"/>
      <c r="BH67" s="8"/>
      <c r="BI67" s="8"/>
      <c r="BJ67" s="8"/>
    </row>
    <row r="68" spans="1:62" s="1" customFormat="1" x14ac:dyDescent="0.3">
      <c r="A68" s="8" t="s">
        <v>84</v>
      </c>
      <c r="B68" s="8" t="s">
        <v>27</v>
      </c>
      <c r="C68" s="8" t="s">
        <v>27</v>
      </c>
      <c r="D68" s="8" t="s">
        <v>74</v>
      </c>
      <c r="E68" s="8" t="s">
        <v>117</v>
      </c>
      <c r="F68" s="8" t="s">
        <v>118</v>
      </c>
      <c r="G68" s="55" t="s">
        <v>648</v>
      </c>
      <c r="H68" s="41" t="s">
        <v>651</v>
      </c>
      <c r="I68" s="58">
        <v>52.7</v>
      </c>
      <c r="J68" s="58">
        <v>-83.9</v>
      </c>
      <c r="K68" s="8">
        <v>151</v>
      </c>
      <c r="L68" s="8"/>
      <c r="M68" s="3"/>
      <c r="N68" s="3"/>
      <c r="O68" s="14"/>
      <c r="P68" s="3" t="s">
        <v>85</v>
      </c>
      <c r="Q68" s="5"/>
      <c r="R68" s="5"/>
      <c r="S68" s="5"/>
      <c r="T68" s="8"/>
      <c r="U68" s="8"/>
      <c r="V68" s="5"/>
      <c r="W68" s="5">
        <f t="shared" si="10"/>
        <v>-274.82594356907293</v>
      </c>
      <c r="X68" s="27">
        <v>-75</v>
      </c>
      <c r="Y68" s="17" t="s">
        <v>447</v>
      </c>
      <c r="Z68" s="25" t="s">
        <v>572</v>
      </c>
      <c r="AA68" s="25"/>
      <c r="AB68" s="25"/>
      <c r="AC68" s="25"/>
      <c r="AD68" s="8"/>
      <c r="AE68" s="8"/>
      <c r="AF68" s="5">
        <f t="shared" si="9"/>
        <v>806.15610113594732</v>
      </c>
      <c r="AG68" s="17">
        <v>220</v>
      </c>
      <c r="AH68" s="17" t="s">
        <v>447</v>
      </c>
      <c r="AI68" s="8"/>
      <c r="AJ68" s="8" t="s">
        <v>883</v>
      </c>
      <c r="AK68" s="3" t="s">
        <v>652</v>
      </c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</row>
    <row r="69" spans="1:62" s="1" customFormat="1" x14ac:dyDescent="0.3">
      <c r="A69" s="8" t="s">
        <v>84</v>
      </c>
      <c r="B69" s="8" t="s">
        <v>27</v>
      </c>
      <c r="C69" s="8" t="s">
        <v>27</v>
      </c>
      <c r="D69" s="8" t="s">
        <v>74</v>
      </c>
      <c r="E69" s="8" t="s">
        <v>117</v>
      </c>
      <c r="F69" s="8" t="s">
        <v>118</v>
      </c>
      <c r="G69" s="56" t="s">
        <v>649</v>
      </c>
      <c r="H69" s="41" t="s">
        <v>651</v>
      </c>
      <c r="I69" s="58">
        <v>52.7</v>
      </c>
      <c r="J69" s="58">
        <v>-83.9</v>
      </c>
      <c r="K69" s="8">
        <v>151</v>
      </c>
      <c r="L69" s="8"/>
      <c r="M69" s="3"/>
      <c r="N69" s="3"/>
      <c r="O69" s="14"/>
      <c r="P69" s="3" t="s">
        <v>85</v>
      </c>
      <c r="Q69" s="5"/>
      <c r="R69" s="5"/>
      <c r="S69" s="5"/>
      <c r="T69" s="8"/>
      <c r="U69" s="8"/>
      <c r="V69" s="5"/>
      <c r="W69" s="5">
        <f t="shared" si="10"/>
        <v>-252.83986808354712</v>
      </c>
      <c r="X69" s="27">
        <v>-69</v>
      </c>
      <c r="Y69" s="17" t="s">
        <v>447</v>
      </c>
      <c r="Z69" s="25" t="s">
        <v>572</v>
      </c>
      <c r="AA69" s="25"/>
      <c r="AB69" s="25"/>
      <c r="AC69" s="25"/>
      <c r="AD69" s="8"/>
      <c r="AE69" s="8"/>
      <c r="AF69" s="5">
        <f t="shared" si="9"/>
        <v>754.85525833638701</v>
      </c>
      <c r="AG69" s="17">
        <v>206</v>
      </c>
      <c r="AH69" s="17" t="s">
        <v>447</v>
      </c>
      <c r="AI69" s="8"/>
      <c r="AJ69" s="8" t="s">
        <v>883</v>
      </c>
      <c r="AK69" s="3" t="s">
        <v>652</v>
      </c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  <c r="BE69" s="8"/>
      <c r="BF69" s="8"/>
      <c r="BG69" s="8"/>
      <c r="BH69" s="8"/>
      <c r="BI69" s="8"/>
      <c r="BJ69" s="8"/>
    </row>
    <row r="70" spans="1:62" s="1" customFormat="1" x14ac:dyDescent="0.3">
      <c r="A70" s="8" t="s">
        <v>84</v>
      </c>
      <c r="B70" s="8" t="s">
        <v>27</v>
      </c>
      <c r="C70" s="8" t="s">
        <v>27</v>
      </c>
      <c r="D70" s="8" t="s">
        <v>74</v>
      </c>
      <c r="E70" s="8" t="s">
        <v>117</v>
      </c>
      <c r="F70" s="8" t="s">
        <v>118</v>
      </c>
      <c r="G70" s="56" t="s">
        <v>650</v>
      </c>
      <c r="H70" s="41" t="s">
        <v>651</v>
      </c>
      <c r="I70" s="58">
        <v>52.7</v>
      </c>
      <c r="J70" s="58">
        <v>-83.9</v>
      </c>
      <c r="K70" s="8">
        <v>151</v>
      </c>
      <c r="L70" s="8"/>
      <c r="M70" s="3"/>
      <c r="N70" s="3"/>
      <c r="O70" s="14"/>
      <c r="P70" s="3" t="s">
        <v>85</v>
      </c>
      <c r="Q70" s="5"/>
      <c r="R70" s="5"/>
      <c r="S70" s="5"/>
      <c r="T70" s="8"/>
      <c r="U70" s="8"/>
      <c r="V70" s="5"/>
      <c r="W70" s="5">
        <f t="shared" si="10"/>
        <v>-362.77024551117631</v>
      </c>
      <c r="X70" s="27">
        <v>-99</v>
      </c>
      <c r="Y70" s="17" t="s">
        <v>447</v>
      </c>
      <c r="Z70" s="25" t="s">
        <v>572</v>
      </c>
      <c r="AA70" s="25"/>
      <c r="AB70" s="25"/>
      <c r="AC70" s="25"/>
      <c r="AD70" s="8"/>
      <c r="AE70" s="8"/>
      <c r="AF70" s="5">
        <f t="shared" si="9"/>
        <v>736.53352876511553</v>
      </c>
      <c r="AG70" s="17">
        <v>201</v>
      </c>
      <c r="AH70" s="17" t="s">
        <v>447</v>
      </c>
      <c r="AI70" s="8"/>
      <c r="AJ70" s="8" t="s">
        <v>883</v>
      </c>
      <c r="AK70" s="3" t="s">
        <v>652</v>
      </c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  <c r="BE70" s="8"/>
      <c r="BF70" s="8"/>
      <c r="BG70" s="8"/>
      <c r="BH70" s="8"/>
      <c r="BI70" s="8"/>
      <c r="BJ70" s="8"/>
    </row>
    <row r="71" spans="1:62" s="1" customFormat="1" x14ac:dyDescent="0.3">
      <c r="A71" s="8" t="s">
        <v>592</v>
      </c>
      <c r="B71" s="8" t="s">
        <v>27</v>
      </c>
      <c r="C71" s="8" t="s">
        <v>27</v>
      </c>
      <c r="D71" s="8" t="s">
        <v>74</v>
      </c>
      <c r="E71" s="8" t="s">
        <v>653</v>
      </c>
      <c r="F71" s="8" t="s">
        <v>118</v>
      </c>
      <c r="G71" s="55" t="s">
        <v>654</v>
      </c>
      <c r="H71" s="41" t="s">
        <v>120</v>
      </c>
      <c r="I71" s="58">
        <v>51.59</v>
      </c>
      <c r="J71" s="58">
        <v>-81.77</v>
      </c>
      <c r="K71" s="8">
        <v>156</v>
      </c>
      <c r="L71" s="8"/>
      <c r="M71" s="3"/>
      <c r="N71" s="3"/>
      <c r="O71" s="14"/>
      <c r="P71" s="3" t="s">
        <v>85</v>
      </c>
      <c r="Q71" s="5"/>
      <c r="R71" s="5"/>
      <c r="S71" s="24">
        <f>AVERAGE(W74:W75)/K71*5</f>
        <v>-6.9293720814424375</v>
      </c>
      <c r="T71" s="8"/>
      <c r="U71" s="8"/>
      <c r="V71" s="5"/>
      <c r="W71" s="5">
        <f>AVERAGE(W72:W73)</f>
        <v>-183.2172957127153</v>
      </c>
      <c r="X71" s="27">
        <f>AVERAGE(X72:X73)</f>
        <v>-50</v>
      </c>
      <c r="Y71" s="17" t="s">
        <v>638</v>
      </c>
      <c r="Z71" s="26" t="s">
        <v>576</v>
      </c>
      <c r="AA71" s="26"/>
      <c r="AB71" s="26">
        <f>W71-(365-K71)</f>
        <v>-392.21729571271533</v>
      </c>
      <c r="AC71" s="26">
        <f>W71</f>
        <v>-183.2172957127153</v>
      </c>
      <c r="AD71" s="8"/>
      <c r="AE71" s="8"/>
      <c r="AF71" s="5">
        <f t="shared" si="9"/>
        <v>916.08647856357652</v>
      </c>
      <c r="AG71" s="17">
        <v>250</v>
      </c>
      <c r="AH71" s="17" t="s">
        <v>638</v>
      </c>
      <c r="AI71" s="8"/>
      <c r="AJ71" s="8" t="s">
        <v>881</v>
      </c>
      <c r="AK71" s="3" t="s">
        <v>647</v>
      </c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  <c r="BE71" s="8"/>
      <c r="BF71" s="8"/>
      <c r="BG71" s="8"/>
      <c r="BH71" s="8"/>
      <c r="BI71" s="8"/>
      <c r="BJ71" s="8"/>
    </row>
    <row r="72" spans="1:62" s="1" customFormat="1" x14ac:dyDescent="0.3">
      <c r="A72" s="8" t="s">
        <v>592</v>
      </c>
      <c r="B72" s="8" t="s">
        <v>27</v>
      </c>
      <c r="C72" s="8" t="s">
        <v>27</v>
      </c>
      <c r="D72" s="8" t="s">
        <v>74</v>
      </c>
      <c r="E72" s="8" t="s">
        <v>653</v>
      </c>
      <c r="F72" s="8" t="s">
        <v>118</v>
      </c>
      <c r="G72" s="55" t="s">
        <v>648</v>
      </c>
      <c r="H72" s="41" t="s">
        <v>120</v>
      </c>
      <c r="I72" s="58">
        <v>51.59</v>
      </c>
      <c r="J72" s="58">
        <v>-81.77</v>
      </c>
      <c r="K72" s="8">
        <v>156</v>
      </c>
      <c r="L72" s="8"/>
      <c r="M72" s="3"/>
      <c r="N72" s="3"/>
      <c r="O72" s="14"/>
      <c r="P72" s="3" t="s">
        <v>85</v>
      </c>
      <c r="Q72" s="5"/>
      <c r="R72" s="5"/>
      <c r="S72" s="5"/>
      <c r="T72" s="8"/>
      <c r="U72" s="8"/>
      <c r="V72" s="5"/>
      <c r="W72" s="5">
        <f t="shared" si="10"/>
        <v>-164.89556614144377</v>
      </c>
      <c r="X72" s="27">
        <v>-45</v>
      </c>
      <c r="Y72" s="17" t="s">
        <v>638</v>
      </c>
      <c r="Z72" s="26" t="s">
        <v>576</v>
      </c>
      <c r="AA72" s="26"/>
      <c r="AB72" s="26"/>
      <c r="AC72" s="26"/>
      <c r="AD72" s="8"/>
      <c r="AE72" s="8"/>
      <c r="AF72" s="5">
        <f t="shared" si="9"/>
        <v>916.08647856357652</v>
      </c>
      <c r="AG72" s="17">
        <v>250</v>
      </c>
      <c r="AH72" s="17" t="s">
        <v>638</v>
      </c>
      <c r="AI72" s="8"/>
      <c r="AJ72" s="8" t="s">
        <v>884</v>
      </c>
      <c r="AK72" s="3" t="s">
        <v>647</v>
      </c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  <c r="BE72" s="8"/>
      <c r="BF72" s="8"/>
      <c r="BG72" s="8"/>
      <c r="BH72" s="8"/>
      <c r="BI72" s="8"/>
      <c r="BJ72" s="8"/>
    </row>
    <row r="73" spans="1:62" s="1" customFormat="1" x14ac:dyDescent="0.3">
      <c r="A73" s="8" t="s">
        <v>592</v>
      </c>
      <c r="B73" s="8" t="s">
        <v>27</v>
      </c>
      <c r="C73" s="8" t="s">
        <v>27</v>
      </c>
      <c r="D73" s="8" t="s">
        <v>74</v>
      </c>
      <c r="E73" s="8" t="s">
        <v>653</v>
      </c>
      <c r="F73" s="8" t="s">
        <v>118</v>
      </c>
      <c r="G73" s="56" t="s">
        <v>649</v>
      </c>
      <c r="H73" s="41" t="s">
        <v>120</v>
      </c>
      <c r="I73" s="58">
        <v>51.59</v>
      </c>
      <c r="J73" s="58">
        <v>-81.77</v>
      </c>
      <c r="K73" s="8">
        <v>156</v>
      </c>
      <c r="L73" s="8"/>
      <c r="M73" s="3"/>
      <c r="N73" s="3"/>
      <c r="O73" s="14"/>
      <c r="P73" s="3" t="s">
        <v>85</v>
      </c>
      <c r="Q73" s="5"/>
      <c r="R73" s="5"/>
      <c r="S73" s="5"/>
      <c r="T73" s="8"/>
      <c r="U73" s="8"/>
      <c r="V73" s="5"/>
      <c r="W73" s="5">
        <f t="shared" si="10"/>
        <v>-201.53902528398683</v>
      </c>
      <c r="X73" s="27">
        <v>-55</v>
      </c>
      <c r="Y73" s="17" t="s">
        <v>638</v>
      </c>
      <c r="Z73" s="26" t="s">
        <v>576</v>
      </c>
      <c r="AA73" s="26"/>
      <c r="AB73" s="26"/>
      <c r="AC73" s="26"/>
      <c r="AD73" s="8"/>
      <c r="AE73" s="8"/>
      <c r="AF73" s="5">
        <f t="shared" si="9"/>
        <v>890.43605716379636</v>
      </c>
      <c r="AG73" s="17">
        <v>243</v>
      </c>
      <c r="AH73" s="17" t="s">
        <v>638</v>
      </c>
      <c r="AI73" s="8"/>
      <c r="AJ73" s="8" t="s">
        <v>884</v>
      </c>
      <c r="AK73" s="3" t="s">
        <v>647</v>
      </c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  <c r="BE73" s="8"/>
      <c r="BF73" s="8"/>
      <c r="BG73" s="8"/>
      <c r="BH73" s="8"/>
      <c r="BI73" s="8"/>
      <c r="BJ73" s="8"/>
    </row>
    <row r="74" spans="1:62" s="1" customFormat="1" x14ac:dyDescent="0.3">
      <c r="A74" s="8" t="s">
        <v>592</v>
      </c>
      <c r="B74" s="8" t="s">
        <v>27</v>
      </c>
      <c r="C74" s="8" t="s">
        <v>27</v>
      </c>
      <c r="D74" s="8" t="s">
        <v>74</v>
      </c>
      <c r="E74" s="8" t="s">
        <v>653</v>
      </c>
      <c r="F74" s="8" t="s">
        <v>118</v>
      </c>
      <c r="G74" s="55" t="s">
        <v>648</v>
      </c>
      <c r="H74" s="41" t="s">
        <v>651</v>
      </c>
      <c r="I74" s="58">
        <v>51.59</v>
      </c>
      <c r="J74" s="58">
        <v>-81.77</v>
      </c>
      <c r="K74" s="8">
        <v>156</v>
      </c>
      <c r="L74" s="8"/>
      <c r="M74" s="3"/>
      <c r="N74" s="3"/>
      <c r="O74" s="14"/>
      <c r="P74" s="3" t="s">
        <v>85</v>
      </c>
      <c r="Q74" s="5"/>
      <c r="R74" s="5"/>
      <c r="S74" s="5"/>
      <c r="T74" s="8"/>
      <c r="U74" s="8"/>
      <c r="V74" s="5"/>
      <c r="W74" s="5">
        <f t="shared" si="10"/>
        <v>-216.19640894100405</v>
      </c>
      <c r="X74" s="27">
        <v>-59</v>
      </c>
      <c r="Y74" s="17" t="s">
        <v>447</v>
      </c>
      <c r="Z74" s="25" t="s">
        <v>572</v>
      </c>
      <c r="AA74" s="25"/>
      <c r="AB74" s="25"/>
      <c r="AC74" s="25"/>
      <c r="AD74" s="8"/>
      <c r="AE74" s="8"/>
      <c r="AF74" s="5">
        <f t="shared" si="9"/>
        <v>597.28838402345184</v>
      </c>
      <c r="AG74" s="17">
        <v>163</v>
      </c>
      <c r="AH74" s="17" t="s">
        <v>447</v>
      </c>
      <c r="AI74" s="8"/>
      <c r="AJ74" s="8" t="s">
        <v>883</v>
      </c>
      <c r="AK74" s="3" t="s">
        <v>652</v>
      </c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  <c r="BE74" s="8"/>
      <c r="BF74" s="8"/>
      <c r="BG74" s="8"/>
      <c r="BH74" s="8"/>
      <c r="BI74" s="8"/>
      <c r="BJ74" s="8"/>
    </row>
    <row r="75" spans="1:62" s="1" customFormat="1" x14ac:dyDescent="0.3">
      <c r="A75" s="8" t="s">
        <v>592</v>
      </c>
      <c r="B75" s="8" t="s">
        <v>27</v>
      </c>
      <c r="C75" s="8" t="s">
        <v>27</v>
      </c>
      <c r="D75" s="8" t="s">
        <v>74</v>
      </c>
      <c r="E75" s="8" t="s">
        <v>653</v>
      </c>
      <c r="F75" s="8" t="s">
        <v>118</v>
      </c>
      <c r="G75" s="56" t="s">
        <v>649</v>
      </c>
      <c r="H75" s="41" t="s">
        <v>651</v>
      </c>
      <c r="I75" s="58">
        <v>51.59</v>
      </c>
      <c r="J75" s="58">
        <v>-81.77</v>
      </c>
      <c r="K75" s="8">
        <v>156</v>
      </c>
      <c r="L75" s="8"/>
      <c r="M75" s="3"/>
      <c r="N75" s="3"/>
      <c r="O75" s="14"/>
      <c r="P75" s="3" t="s">
        <v>85</v>
      </c>
      <c r="Q75" s="5"/>
      <c r="R75" s="5"/>
      <c r="S75" s="5"/>
      <c r="T75" s="8"/>
      <c r="U75" s="8"/>
      <c r="V75" s="5"/>
      <c r="W75" s="5">
        <f t="shared" si="10"/>
        <v>-216.19640894100405</v>
      </c>
      <c r="X75" s="27">
        <v>-59</v>
      </c>
      <c r="Y75" s="17" t="s">
        <v>447</v>
      </c>
      <c r="Z75" s="25" t="s">
        <v>572</v>
      </c>
      <c r="AA75" s="25"/>
      <c r="AB75" s="25"/>
      <c r="AC75" s="25"/>
      <c r="AD75" s="8"/>
      <c r="AE75" s="8"/>
      <c r="AF75" s="5">
        <f t="shared" si="9"/>
        <v>604.61707585196052</v>
      </c>
      <c r="AG75" s="17">
        <v>165</v>
      </c>
      <c r="AH75" s="17" t="s">
        <v>447</v>
      </c>
      <c r="AI75" s="8"/>
      <c r="AJ75" s="8" t="s">
        <v>883</v>
      </c>
      <c r="AK75" s="3" t="s">
        <v>652</v>
      </c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  <c r="BE75" s="8"/>
      <c r="BF75" s="8"/>
      <c r="BG75" s="8"/>
      <c r="BH75" s="8"/>
      <c r="BI75" s="8"/>
      <c r="BJ75" s="8"/>
    </row>
    <row r="76" spans="1:62" s="1" customFormat="1" x14ac:dyDescent="0.3">
      <c r="A76" s="3" t="s">
        <v>125</v>
      </c>
      <c r="B76" s="3" t="s">
        <v>27</v>
      </c>
      <c r="C76" s="8" t="s">
        <v>27</v>
      </c>
      <c r="D76" s="3" t="s">
        <v>74</v>
      </c>
      <c r="E76" s="3" t="s">
        <v>655</v>
      </c>
      <c r="F76" s="3" t="s">
        <v>118</v>
      </c>
      <c r="G76" s="2">
        <v>1990</v>
      </c>
      <c r="H76" s="41" t="s">
        <v>127</v>
      </c>
      <c r="I76" s="58">
        <v>51.49666666666667</v>
      </c>
      <c r="J76" s="58">
        <v>-81.6666666666667</v>
      </c>
      <c r="K76" s="8">
        <v>156</v>
      </c>
      <c r="L76" s="8"/>
      <c r="M76" s="3" t="s">
        <v>128</v>
      </c>
      <c r="N76" s="3" t="s">
        <v>129</v>
      </c>
      <c r="O76" s="2"/>
      <c r="P76" s="3" t="s">
        <v>36</v>
      </c>
      <c r="Q76" s="5" t="s">
        <v>130</v>
      </c>
      <c r="R76" s="15">
        <f>AVERAGE(R77:R78)</f>
        <v>-4.6099200000000007</v>
      </c>
      <c r="S76" s="15"/>
      <c r="T76" s="27">
        <f>AVERAGE(T77:T78)</f>
        <v>-192.08</v>
      </c>
      <c r="U76" s="17" t="s">
        <v>656</v>
      </c>
      <c r="V76" s="9">
        <f>R76*K76/5</f>
        <v>-143.82950400000001</v>
      </c>
      <c r="W76" s="8"/>
      <c r="X76" s="3"/>
      <c r="Y76" s="3"/>
      <c r="Z76" s="9" t="s">
        <v>572</v>
      </c>
      <c r="AA76" s="9">
        <f>0.9*(365-K76)</f>
        <v>188.1</v>
      </c>
      <c r="AB76" s="9">
        <f>V76</f>
        <v>-143.82950400000001</v>
      </c>
      <c r="AC76" s="9">
        <f>V76+AA76</f>
        <v>44.27049599999998</v>
      </c>
      <c r="AD76" s="8"/>
      <c r="AE76" s="8"/>
      <c r="AF76" s="8"/>
      <c r="AG76" s="8"/>
      <c r="AH76" s="8"/>
      <c r="AI76" s="8"/>
      <c r="AJ76" s="8" t="s">
        <v>881</v>
      </c>
      <c r="AK76" s="3" t="s">
        <v>949</v>
      </c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  <c r="BE76" s="8"/>
      <c r="BF76" s="8"/>
      <c r="BG76" s="8"/>
      <c r="BH76" s="8"/>
      <c r="BI76" s="8"/>
      <c r="BJ76" s="8"/>
    </row>
    <row r="77" spans="1:62" s="1" customFormat="1" x14ac:dyDescent="0.3">
      <c r="A77" s="3" t="s">
        <v>125</v>
      </c>
      <c r="B77" s="3" t="s">
        <v>27</v>
      </c>
      <c r="C77" s="8" t="s">
        <v>27</v>
      </c>
      <c r="D77" s="3" t="s">
        <v>74</v>
      </c>
      <c r="E77" s="3" t="s">
        <v>132</v>
      </c>
      <c r="F77" s="3" t="s">
        <v>118</v>
      </c>
      <c r="G77" s="2">
        <v>1990</v>
      </c>
      <c r="H77" s="41" t="s">
        <v>127</v>
      </c>
      <c r="I77" s="58">
        <v>51.49666666666667</v>
      </c>
      <c r="J77" s="58">
        <v>-81.6666666666667</v>
      </c>
      <c r="K77" s="8">
        <v>156</v>
      </c>
      <c r="L77" s="8"/>
      <c r="M77" s="3" t="s">
        <v>128</v>
      </c>
      <c r="N77" s="3" t="s">
        <v>129</v>
      </c>
      <c r="O77" s="2"/>
      <c r="P77" s="3" t="s">
        <v>36</v>
      </c>
      <c r="Q77" s="5" t="s">
        <v>130</v>
      </c>
      <c r="R77" s="15">
        <f>T77/1000*24</f>
        <v>-1.92</v>
      </c>
      <c r="S77" s="15"/>
      <c r="T77" s="17">
        <v>-80</v>
      </c>
      <c r="U77" s="17" t="s">
        <v>656</v>
      </c>
      <c r="V77" s="17"/>
      <c r="W77" s="17"/>
      <c r="X77" s="3"/>
      <c r="Y77" s="3"/>
      <c r="Z77" s="3"/>
      <c r="AA77" s="3"/>
      <c r="AB77" s="3"/>
      <c r="AC77" s="3"/>
      <c r="AD77" s="8"/>
      <c r="AE77" s="8"/>
      <c r="AF77" s="8"/>
      <c r="AG77" s="8"/>
      <c r="AH77" s="8"/>
      <c r="AI77" s="8"/>
      <c r="AJ77" s="8" t="s">
        <v>884</v>
      </c>
      <c r="AK77" s="3" t="s">
        <v>949</v>
      </c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  <c r="BE77" s="8"/>
      <c r="BF77" s="8"/>
      <c r="BG77" s="8"/>
      <c r="BH77" s="8"/>
      <c r="BI77" s="8"/>
      <c r="BJ77" s="8"/>
    </row>
    <row r="78" spans="1:62" s="13" customFormat="1" x14ac:dyDescent="0.3">
      <c r="A78" s="3" t="s">
        <v>125</v>
      </c>
      <c r="B78" s="3" t="s">
        <v>27</v>
      </c>
      <c r="C78" s="8" t="s">
        <v>27</v>
      </c>
      <c r="D78" s="3" t="s">
        <v>74</v>
      </c>
      <c r="E78" s="3" t="s">
        <v>133</v>
      </c>
      <c r="F78" s="3" t="s">
        <v>118</v>
      </c>
      <c r="G78" s="2">
        <v>1990</v>
      </c>
      <c r="H78" s="41" t="s">
        <v>127</v>
      </c>
      <c r="I78" s="58">
        <v>51.49666666666667</v>
      </c>
      <c r="J78" s="58">
        <v>-81.6666666666667</v>
      </c>
      <c r="K78" s="8">
        <v>156</v>
      </c>
      <c r="L78" s="8"/>
      <c r="M78" s="3" t="s">
        <v>128</v>
      </c>
      <c r="N78" s="3" t="s">
        <v>129</v>
      </c>
      <c r="O78" s="2"/>
      <c r="P78" s="3" t="s">
        <v>36</v>
      </c>
      <c r="Q78" s="5" t="s">
        <v>130</v>
      </c>
      <c r="R78" s="15">
        <f>T78/1000*24</f>
        <v>-7.2998400000000014</v>
      </c>
      <c r="S78" s="15"/>
      <c r="T78" s="17">
        <v>-304.16000000000003</v>
      </c>
      <c r="U78" s="17" t="s">
        <v>656</v>
      </c>
      <c r="V78" s="17"/>
      <c r="W78" s="17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8" t="s">
        <v>884</v>
      </c>
      <c r="AK78" s="3" t="s">
        <v>949</v>
      </c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</row>
    <row r="79" spans="1:62" s="13" customFormat="1" x14ac:dyDescent="0.3">
      <c r="A79" s="3" t="s">
        <v>125</v>
      </c>
      <c r="B79" s="3" t="s">
        <v>27</v>
      </c>
      <c r="C79" s="8" t="s">
        <v>27</v>
      </c>
      <c r="D79" s="3" t="s">
        <v>74</v>
      </c>
      <c r="E79" s="3" t="s">
        <v>657</v>
      </c>
      <c r="F79" s="3" t="s">
        <v>118</v>
      </c>
      <c r="G79" s="2">
        <v>1990</v>
      </c>
      <c r="H79" s="41" t="s">
        <v>127</v>
      </c>
      <c r="I79" s="58">
        <v>51.55</v>
      </c>
      <c r="J79" s="58">
        <v>-81.825000000000003</v>
      </c>
      <c r="K79" s="8">
        <v>156</v>
      </c>
      <c r="L79" s="8"/>
      <c r="M79" s="3" t="s">
        <v>135</v>
      </c>
      <c r="N79" s="3" t="s">
        <v>136</v>
      </c>
      <c r="O79" s="2"/>
      <c r="P79" s="3" t="s">
        <v>36</v>
      </c>
      <c r="Q79" s="5" t="s">
        <v>137</v>
      </c>
      <c r="R79" s="15">
        <f>T79/1000*24</f>
        <v>0.7</v>
      </c>
      <c r="S79" s="15"/>
      <c r="T79" s="17">
        <v>29.166666666666668</v>
      </c>
      <c r="U79" s="17" t="s">
        <v>656</v>
      </c>
      <c r="V79" s="3"/>
      <c r="W79" s="3">
        <f>X79</f>
        <v>34</v>
      </c>
      <c r="X79" s="3">
        <v>34</v>
      </c>
      <c r="Y79" s="8" t="s">
        <v>658</v>
      </c>
      <c r="Z79" s="25" t="s">
        <v>572</v>
      </c>
      <c r="AA79" s="25">
        <f>0.9*(365-K79)</f>
        <v>188.1</v>
      </c>
      <c r="AB79" s="25">
        <f>W79</f>
        <v>34</v>
      </c>
      <c r="AC79" s="25">
        <f>W79+AA79</f>
        <v>222.1</v>
      </c>
      <c r="AD79" s="3"/>
      <c r="AE79" s="3"/>
      <c r="AF79" s="3"/>
      <c r="AG79" s="3"/>
      <c r="AH79" s="3"/>
      <c r="AI79" s="3"/>
      <c r="AJ79" s="8" t="s">
        <v>881</v>
      </c>
      <c r="AK79" s="3" t="s">
        <v>949</v>
      </c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</row>
    <row r="80" spans="1:62" s="13" customFormat="1" ht="15" customHeight="1" x14ac:dyDescent="0.3">
      <c r="A80" s="8" t="s">
        <v>659</v>
      </c>
      <c r="B80" s="8" t="s">
        <v>27</v>
      </c>
      <c r="C80" s="8" t="s">
        <v>27</v>
      </c>
      <c r="D80" s="8" t="s">
        <v>74</v>
      </c>
      <c r="E80" s="8" t="s">
        <v>660</v>
      </c>
      <c r="F80" s="8" t="s">
        <v>118</v>
      </c>
      <c r="G80" s="14">
        <v>1990</v>
      </c>
      <c r="H80" s="34" t="s">
        <v>661</v>
      </c>
      <c r="I80" s="59">
        <v>51.33</v>
      </c>
      <c r="J80" s="58">
        <v>-81.825000000000003</v>
      </c>
      <c r="K80" s="8">
        <v>156</v>
      </c>
      <c r="L80" s="8"/>
      <c r="M80" s="8" t="s">
        <v>662</v>
      </c>
      <c r="N80" s="8" t="s">
        <v>91</v>
      </c>
      <c r="O80" s="14"/>
      <c r="P80" s="8" t="s">
        <v>85</v>
      </c>
      <c r="Q80" s="15" t="s">
        <v>663</v>
      </c>
      <c r="R80" s="5">
        <f>T80/0.2729</f>
        <v>-6.2293880542323201</v>
      </c>
      <c r="S80" s="5"/>
      <c r="T80" s="17">
        <v>-1.7</v>
      </c>
      <c r="U80" s="17" t="s">
        <v>664</v>
      </c>
      <c r="V80" s="9">
        <f>R80*K80/5</f>
        <v>-194.35690729204839</v>
      </c>
      <c r="W80" s="3"/>
      <c r="X80" s="17"/>
      <c r="Y80" s="17"/>
      <c r="Z80" s="9" t="s">
        <v>572</v>
      </c>
      <c r="AA80" s="9">
        <f>0.9*(365-K80)</f>
        <v>188.1</v>
      </c>
      <c r="AB80" s="9">
        <f>V80</f>
        <v>-194.35690729204839</v>
      </c>
      <c r="AC80" s="9">
        <f>V80+AA80</f>
        <v>-6.2569072920483961</v>
      </c>
      <c r="AD80" s="3"/>
      <c r="AE80" s="3"/>
      <c r="AF80" s="3"/>
      <c r="AG80" s="3"/>
      <c r="AH80" s="3"/>
      <c r="AI80" s="3"/>
      <c r="AJ80" s="8" t="s">
        <v>881</v>
      </c>
      <c r="AK80" s="3" t="s">
        <v>948</v>
      </c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</row>
    <row r="81" spans="1:62" s="1" customFormat="1" x14ac:dyDescent="0.3">
      <c r="A81" s="32" t="s">
        <v>877</v>
      </c>
      <c r="B81" s="8" t="s">
        <v>27</v>
      </c>
      <c r="C81" s="8" t="s">
        <v>27</v>
      </c>
      <c r="D81" s="8" t="s">
        <v>190</v>
      </c>
      <c r="E81" s="8" t="s">
        <v>665</v>
      </c>
      <c r="F81" s="8" t="s">
        <v>175</v>
      </c>
      <c r="G81" s="14">
        <v>2002</v>
      </c>
      <c r="H81" s="34" t="s">
        <v>666</v>
      </c>
      <c r="I81" s="58">
        <v>55.716666666666697</v>
      </c>
      <c r="J81" s="58">
        <v>-112.2</v>
      </c>
      <c r="K81" s="3">
        <v>165</v>
      </c>
      <c r="L81" s="3"/>
      <c r="M81" s="8" t="s">
        <v>667</v>
      </c>
      <c r="N81" s="8"/>
      <c r="O81" s="14"/>
      <c r="P81" s="8" t="s">
        <v>36</v>
      </c>
      <c r="Q81" s="15"/>
      <c r="R81" s="8">
        <f>44.01*T81*0.000001*86400</f>
        <v>-4.5629567999999994</v>
      </c>
      <c r="S81" s="8"/>
      <c r="T81" s="27">
        <v>-1.2</v>
      </c>
      <c r="U81" s="17" t="s">
        <v>668</v>
      </c>
      <c r="V81" s="20"/>
      <c r="W81" s="20">
        <f>(12.01*X81)/0.2729</f>
        <v>391.67827042872847</v>
      </c>
      <c r="X81" s="17">
        <v>8.9</v>
      </c>
      <c r="Y81" s="17" t="s">
        <v>669</v>
      </c>
      <c r="Z81" s="26" t="s">
        <v>670</v>
      </c>
      <c r="AA81" s="25">
        <f>0.9*(365-K81)</f>
        <v>180</v>
      </c>
      <c r="AB81" s="25">
        <f>W81</f>
        <v>391.67827042872847</v>
      </c>
      <c r="AC81" s="25">
        <f>W81+AA81</f>
        <v>571.67827042872841</v>
      </c>
      <c r="AD81" s="8"/>
      <c r="AE81" s="8"/>
      <c r="AF81" s="8"/>
      <c r="AG81" s="8"/>
      <c r="AH81" s="8"/>
      <c r="AI81" s="8"/>
      <c r="AJ81" s="8" t="s">
        <v>881</v>
      </c>
      <c r="AK81" s="3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  <c r="BE81" s="8"/>
      <c r="BF81" s="8"/>
      <c r="BG81" s="8"/>
      <c r="BH81" s="8"/>
      <c r="BI81" s="8"/>
      <c r="BJ81" s="8"/>
    </row>
    <row r="82" spans="1:62" s="1" customFormat="1" x14ac:dyDescent="0.3">
      <c r="A82" s="32" t="s">
        <v>877</v>
      </c>
      <c r="B82" s="8" t="s">
        <v>27</v>
      </c>
      <c r="C82" s="8" t="s">
        <v>27</v>
      </c>
      <c r="D82" s="8" t="s">
        <v>190</v>
      </c>
      <c r="E82" s="8" t="s">
        <v>671</v>
      </c>
      <c r="F82" s="8" t="s">
        <v>175</v>
      </c>
      <c r="G82" s="14" t="s">
        <v>672</v>
      </c>
      <c r="H82" s="34" t="s">
        <v>666</v>
      </c>
      <c r="I82" s="58">
        <v>55.8</v>
      </c>
      <c r="J82" s="58">
        <v>-113.366666666667</v>
      </c>
      <c r="K82" s="3">
        <v>168</v>
      </c>
      <c r="L82" s="3"/>
      <c r="M82" s="8" t="s">
        <v>667</v>
      </c>
      <c r="N82" s="8"/>
      <c r="O82" s="14"/>
      <c r="P82" s="8" t="s">
        <v>36</v>
      </c>
      <c r="Q82" s="15"/>
      <c r="R82" s="8">
        <f>44.01*T82*0.000001*86400</f>
        <v>-7.9851744</v>
      </c>
      <c r="S82" s="8"/>
      <c r="T82" s="27">
        <v>-2.1</v>
      </c>
      <c r="U82" s="17" t="s">
        <v>668</v>
      </c>
      <c r="V82" s="9">
        <f>R82*K82/5</f>
        <v>-268.30185984000002</v>
      </c>
      <c r="W82" s="8"/>
      <c r="X82" s="17"/>
      <c r="Y82" s="17"/>
      <c r="Z82" s="9" t="s">
        <v>572</v>
      </c>
      <c r="AA82" s="9">
        <f>0.9*(365-K82)</f>
        <v>177.3</v>
      </c>
      <c r="AB82" s="9">
        <f>V82</f>
        <v>-268.30185984000002</v>
      </c>
      <c r="AC82" s="9">
        <f>V82+AA82</f>
        <v>-91.001859840000009</v>
      </c>
      <c r="AD82" s="8"/>
      <c r="AE82" s="8"/>
      <c r="AF82" s="8"/>
      <c r="AG82" s="8"/>
      <c r="AH82" s="8"/>
      <c r="AI82" s="8"/>
      <c r="AJ82" s="8" t="s">
        <v>881</v>
      </c>
      <c r="AK82" s="3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  <c r="BE82" s="8"/>
      <c r="BF82" s="8"/>
      <c r="BG82" s="8"/>
      <c r="BH82" s="8"/>
      <c r="BI82" s="8"/>
      <c r="BJ82" s="8"/>
    </row>
    <row r="83" spans="1:62" s="1" customFormat="1" x14ac:dyDescent="0.3">
      <c r="A83" s="32" t="s">
        <v>877</v>
      </c>
      <c r="B83" s="8" t="s">
        <v>27</v>
      </c>
      <c r="C83" s="8" t="s">
        <v>27</v>
      </c>
      <c r="D83" s="8" t="s">
        <v>190</v>
      </c>
      <c r="E83" s="8" t="s">
        <v>673</v>
      </c>
      <c r="F83" s="8" t="s">
        <v>175</v>
      </c>
      <c r="G83" s="14" t="s">
        <v>672</v>
      </c>
      <c r="H83" s="34" t="s">
        <v>666</v>
      </c>
      <c r="I83" s="58">
        <v>56.366666666666703</v>
      </c>
      <c r="J83" s="58">
        <v>-115.283333333333</v>
      </c>
      <c r="K83" s="3">
        <v>165</v>
      </c>
      <c r="L83" s="3"/>
      <c r="M83" s="8" t="s">
        <v>667</v>
      </c>
      <c r="N83" s="8"/>
      <c r="O83" s="14"/>
      <c r="P83" s="8" t="s">
        <v>36</v>
      </c>
      <c r="Q83" s="15"/>
      <c r="R83" s="8">
        <f>44.01*T83*0.000001*86400</f>
        <v>-12.1678848</v>
      </c>
      <c r="S83" s="8"/>
      <c r="T83" s="27">
        <v>-3.2</v>
      </c>
      <c r="U83" s="17" t="s">
        <v>668</v>
      </c>
      <c r="V83" s="20"/>
      <c r="W83" s="20">
        <f>(12.01*X83)/0.2729</f>
        <v>-558.91168926346643</v>
      </c>
      <c r="X83" s="17">
        <v>-12.7</v>
      </c>
      <c r="Y83" s="17" t="s">
        <v>669</v>
      </c>
      <c r="Z83" s="26" t="s">
        <v>670</v>
      </c>
      <c r="AA83" s="25">
        <f t="shared" ref="AA83:AA86" si="11">0.9*(365-K83)</f>
        <v>180</v>
      </c>
      <c r="AB83" s="25">
        <f>W83</f>
        <v>-558.91168926346643</v>
      </c>
      <c r="AC83" s="25">
        <f>W83+AA83</f>
        <v>-378.91168926346643</v>
      </c>
      <c r="AD83" s="8"/>
      <c r="AE83" s="8"/>
      <c r="AF83" s="8"/>
      <c r="AG83" s="8"/>
      <c r="AH83" s="8"/>
      <c r="AI83" s="8"/>
      <c r="AJ83" s="8" t="s">
        <v>881</v>
      </c>
      <c r="AK83" s="3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  <c r="BE83" s="8"/>
      <c r="BF83" s="8"/>
      <c r="BG83" s="8"/>
      <c r="BH83" s="8"/>
      <c r="BI83" s="8"/>
      <c r="BJ83" s="8"/>
    </row>
    <row r="84" spans="1:62" s="1" customFormat="1" x14ac:dyDescent="0.3">
      <c r="A84" s="32" t="s">
        <v>877</v>
      </c>
      <c r="B84" s="8" t="s">
        <v>27</v>
      </c>
      <c r="C84" s="8" t="s">
        <v>27</v>
      </c>
      <c r="D84" s="8" t="s">
        <v>190</v>
      </c>
      <c r="E84" s="8" t="s">
        <v>674</v>
      </c>
      <c r="F84" s="8" t="s">
        <v>175</v>
      </c>
      <c r="G84" s="14" t="s">
        <v>672</v>
      </c>
      <c r="H84" s="34" t="s">
        <v>666</v>
      </c>
      <c r="I84" s="58">
        <v>55.983333333333299</v>
      </c>
      <c r="J84" s="58">
        <v>-115.183333333333</v>
      </c>
      <c r="K84" s="3">
        <v>167</v>
      </c>
      <c r="L84" s="3"/>
      <c r="M84" s="8" t="s">
        <v>667</v>
      </c>
      <c r="N84" s="8"/>
      <c r="O84" s="14"/>
      <c r="P84" s="8" t="s">
        <v>36</v>
      </c>
      <c r="Q84" s="15"/>
      <c r="R84" s="8">
        <f>44.01*T84*0.000001*86400</f>
        <v>-14.449363199999997</v>
      </c>
      <c r="S84" s="8"/>
      <c r="T84" s="27">
        <v>-3.8</v>
      </c>
      <c r="U84" s="17" t="s">
        <v>668</v>
      </c>
      <c r="V84" s="20"/>
      <c r="W84" s="20">
        <f>(12.01*X84)/0.2729</f>
        <v>-308.06156101135946</v>
      </c>
      <c r="X84" s="17">
        <v>-7</v>
      </c>
      <c r="Y84" s="17" t="s">
        <v>669</v>
      </c>
      <c r="Z84" s="26" t="s">
        <v>670</v>
      </c>
      <c r="AA84" s="25">
        <f t="shared" si="11"/>
        <v>178.20000000000002</v>
      </c>
      <c r="AB84" s="25">
        <f>W84</f>
        <v>-308.06156101135946</v>
      </c>
      <c r="AC84" s="25">
        <f>W84+AA84</f>
        <v>-129.86156101135944</v>
      </c>
      <c r="AD84" s="8"/>
      <c r="AE84" s="8"/>
      <c r="AF84" s="8"/>
      <c r="AG84" s="8"/>
      <c r="AH84" s="8"/>
      <c r="AI84" s="8"/>
      <c r="AJ84" s="8" t="s">
        <v>881</v>
      </c>
      <c r="AK84" s="3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  <c r="BE84" s="8"/>
      <c r="BF84" s="8"/>
      <c r="BG84" s="8"/>
      <c r="BH84" s="8"/>
      <c r="BI84" s="8"/>
      <c r="BJ84" s="8"/>
    </row>
    <row r="85" spans="1:62" s="1" customFormat="1" x14ac:dyDescent="0.3">
      <c r="A85" s="32" t="s">
        <v>877</v>
      </c>
      <c r="B85" s="8" t="s">
        <v>27</v>
      </c>
      <c r="C85" s="8" t="s">
        <v>27</v>
      </c>
      <c r="D85" s="8" t="s">
        <v>190</v>
      </c>
      <c r="E85" s="8" t="s">
        <v>675</v>
      </c>
      <c r="F85" s="8" t="s">
        <v>175</v>
      </c>
      <c r="G85" s="14" t="s">
        <v>672</v>
      </c>
      <c r="H85" s="34" t="s">
        <v>666</v>
      </c>
      <c r="I85" s="58">
        <v>56.366666666666667</v>
      </c>
      <c r="J85" s="58">
        <v>-115.283333333333</v>
      </c>
      <c r="K85" s="3">
        <v>165</v>
      </c>
      <c r="L85" s="3"/>
      <c r="M85" s="8" t="s">
        <v>667</v>
      </c>
      <c r="N85" s="8"/>
      <c r="O85" s="14"/>
      <c r="P85" s="8" t="s">
        <v>36</v>
      </c>
      <c r="Q85" s="15"/>
      <c r="R85" s="8">
        <f t="shared" ref="R85:R90" si="12">44.01*T85*0.000001*86400</f>
        <v>-11.027145599999999</v>
      </c>
      <c r="S85" s="8"/>
      <c r="T85" s="27">
        <v>-2.9</v>
      </c>
      <c r="U85" s="17" t="s">
        <v>668</v>
      </c>
      <c r="V85" s="9">
        <f>R85*K85/5</f>
        <v>-363.89580479999995</v>
      </c>
      <c r="W85" s="8"/>
      <c r="X85" s="17"/>
      <c r="Y85" s="17"/>
      <c r="Z85" s="9" t="s">
        <v>572</v>
      </c>
      <c r="AA85" s="9">
        <f t="shared" si="11"/>
        <v>180</v>
      </c>
      <c r="AB85" s="9">
        <f>V85</f>
        <v>-363.89580479999995</v>
      </c>
      <c r="AC85" s="9">
        <f>V85+AA85</f>
        <v>-183.89580479999995</v>
      </c>
      <c r="AD85" s="8"/>
      <c r="AE85" s="8"/>
      <c r="AF85" s="8"/>
      <c r="AG85" s="8"/>
      <c r="AH85" s="8"/>
      <c r="AI85" s="8"/>
      <c r="AJ85" s="8" t="s">
        <v>881</v>
      </c>
      <c r="AK85" s="3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  <c r="BE85" s="8"/>
      <c r="BF85" s="8"/>
      <c r="BG85" s="8"/>
      <c r="BH85" s="8"/>
      <c r="BI85" s="8"/>
      <c r="BJ85" s="8"/>
    </row>
    <row r="86" spans="1:62" s="1" customFormat="1" x14ac:dyDescent="0.3">
      <c r="A86" s="32" t="s">
        <v>877</v>
      </c>
      <c r="B86" s="8" t="s">
        <v>27</v>
      </c>
      <c r="C86" s="8" t="s">
        <v>27</v>
      </c>
      <c r="D86" s="8" t="s">
        <v>190</v>
      </c>
      <c r="E86" s="8" t="s">
        <v>676</v>
      </c>
      <c r="F86" s="8" t="s">
        <v>175</v>
      </c>
      <c r="G86" s="14" t="s">
        <v>672</v>
      </c>
      <c r="H86" s="34" t="s">
        <v>666</v>
      </c>
      <c r="I86" s="58">
        <v>55.9166666666667</v>
      </c>
      <c r="J86" s="58">
        <v>-113.616666666667</v>
      </c>
      <c r="K86" s="3">
        <v>168</v>
      </c>
      <c r="L86" s="3"/>
      <c r="M86" s="8" t="s">
        <v>667</v>
      </c>
      <c r="N86" s="8"/>
      <c r="O86" s="14"/>
      <c r="P86" s="8" t="s">
        <v>36</v>
      </c>
      <c r="Q86" s="15"/>
      <c r="R86" s="8">
        <f t="shared" si="12"/>
        <v>-11.407392</v>
      </c>
      <c r="S86" s="8"/>
      <c r="T86" s="27">
        <v>-3</v>
      </c>
      <c r="U86" s="17" t="s">
        <v>668</v>
      </c>
      <c r="V86" s="9">
        <f>R86*K86/5</f>
        <v>-383.28837119999997</v>
      </c>
      <c r="W86" s="8"/>
      <c r="X86" s="17"/>
      <c r="Y86" s="17"/>
      <c r="Z86" s="9" t="s">
        <v>572</v>
      </c>
      <c r="AA86" s="9">
        <f t="shared" si="11"/>
        <v>177.3</v>
      </c>
      <c r="AB86" s="9">
        <f>V86</f>
        <v>-383.28837119999997</v>
      </c>
      <c r="AC86" s="9">
        <f>V86+AA86</f>
        <v>-205.98837119999996</v>
      </c>
      <c r="AD86" s="8"/>
      <c r="AE86" s="8"/>
      <c r="AF86" s="8"/>
      <c r="AG86" s="8"/>
      <c r="AH86" s="8"/>
      <c r="AI86" s="8"/>
      <c r="AJ86" s="8" t="s">
        <v>881</v>
      </c>
      <c r="AK86" s="3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  <c r="BE86" s="8"/>
      <c r="BF86" s="8"/>
      <c r="BG86" s="8"/>
      <c r="BH86" s="8"/>
      <c r="BI86" s="8"/>
      <c r="BJ86" s="8"/>
    </row>
    <row r="87" spans="1:62" s="1" customFormat="1" x14ac:dyDescent="0.3">
      <c r="A87" s="32" t="s">
        <v>877</v>
      </c>
      <c r="B87" s="8" t="s">
        <v>27</v>
      </c>
      <c r="C87" s="8" t="s">
        <v>27</v>
      </c>
      <c r="D87" s="8" t="s">
        <v>190</v>
      </c>
      <c r="E87" s="8" t="s">
        <v>677</v>
      </c>
      <c r="F87" s="8" t="s">
        <v>175</v>
      </c>
      <c r="G87" s="14" t="s">
        <v>672</v>
      </c>
      <c r="H87" s="34" t="s">
        <v>666</v>
      </c>
      <c r="I87" s="58">
        <v>55.983333333333334</v>
      </c>
      <c r="J87" s="58">
        <v>-115.183333333333</v>
      </c>
      <c r="K87" s="3">
        <v>167</v>
      </c>
      <c r="L87" s="3"/>
      <c r="M87" s="8" t="s">
        <v>667</v>
      </c>
      <c r="N87" s="8"/>
      <c r="O87" s="14"/>
      <c r="P87" s="8" t="s">
        <v>36</v>
      </c>
      <c r="Q87" s="15"/>
      <c r="R87" s="8">
        <f t="shared" si="12"/>
        <v>-10.646899199999996</v>
      </c>
      <c r="S87" s="8"/>
      <c r="T87" s="27">
        <v>-2.8</v>
      </c>
      <c r="U87" s="17" t="s">
        <v>668</v>
      </c>
      <c r="V87" s="20"/>
      <c r="W87" s="20">
        <f>(12.01*X87)/0.2729</f>
        <v>-378.47563209967018</v>
      </c>
      <c r="X87" s="17">
        <v>-8.6</v>
      </c>
      <c r="Y87" s="17" t="s">
        <v>669</v>
      </c>
      <c r="Z87" s="26" t="s">
        <v>670</v>
      </c>
      <c r="AA87" s="25">
        <f>0.9*(365-K87)</f>
        <v>178.20000000000002</v>
      </c>
      <c r="AB87" s="25">
        <f>W87</f>
        <v>-378.47563209967018</v>
      </c>
      <c r="AC87" s="25">
        <f>W87+AA87</f>
        <v>-200.27563209967016</v>
      </c>
      <c r="AD87" s="8"/>
      <c r="AE87" s="8"/>
      <c r="AF87" s="8"/>
      <c r="AG87" s="8"/>
      <c r="AH87" s="8"/>
      <c r="AI87" s="8"/>
      <c r="AJ87" s="8" t="s">
        <v>881</v>
      </c>
      <c r="AK87" s="3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  <c r="BE87" s="8"/>
      <c r="BF87" s="8"/>
      <c r="BG87" s="8"/>
      <c r="BH87" s="8"/>
      <c r="BI87" s="8"/>
      <c r="BJ87" s="8"/>
    </row>
    <row r="88" spans="1:62" s="1" customFormat="1" x14ac:dyDescent="0.3">
      <c r="A88" s="32" t="s">
        <v>877</v>
      </c>
      <c r="B88" s="8" t="s">
        <v>27</v>
      </c>
      <c r="C88" s="8" t="s">
        <v>27</v>
      </c>
      <c r="D88" s="8" t="s">
        <v>190</v>
      </c>
      <c r="E88" s="8" t="s">
        <v>678</v>
      </c>
      <c r="F88" s="8" t="s">
        <v>175</v>
      </c>
      <c r="G88" s="14" t="s">
        <v>672</v>
      </c>
      <c r="H88" s="34" t="s">
        <v>666</v>
      </c>
      <c r="I88" s="58">
        <v>55.8</v>
      </c>
      <c r="J88" s="58">
        <v>-113.366666666667</v>
      </c>
      <c r="K88" s="3">
        <v>168</v>
      </c>
      <c r="L88" s="3"/>
      <c r="M88" s="8" t="s">
        <v>667</v>
      </c>
      <c r="N88" s="8"/>
      <c r="O88" s="14"/>
      <c r="P88" s="8" t="s">
        <v>36</v>
      </c>
      <c r="Q88" s="15"/>
      <c r="R88" s="8">
        <f t="shared" si="12"/>
        <v>-14.069116799999998</v>
      </c>
      <c r="S88" s="8"/>
      <c r="T88" s="27">
        <v>-3.7</v>
      </c>
      <c r="U88" s="17" t="s">
        <v>668</v>
      </c>
      <c r="V88" s="9">
        <f>R88*K88/5</f>
        <v>-472.72232447999994</v>
      </c>
      <c r="W88" s="8"/>
      <c r="X88" s="17"/>
      <c r="Y88" s="17"/>
      <c r="Z88" s="9" t="s">
        <v>572</v>
      </c>
      <c r="AA88" s="9">
        <f>1*(365-K88)</f>
        <v>197</v>
      </c>
      <c r="AB88" s="9">
        <f>V88</f>
        <v>-472.72232447999994</v>
      </c>
      <c r="AC88" s="9">
        <f>V88+AA88</f>
        <v>-275.72232447999994</v>
      </c>
      <c r="AD88" s="8"/>
      <c r="AE88" s="8"/>
      <c r="AF88" s="8"/>
      <c r="AG88" s="8"/>
      <c r="AH88" s="8"/>
      <c r="AI88" s="8"/>
      <c r="AJ88" s="8" t="s">
        <v>881</v>
      </c>
      <c r="AK88" s="3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  <c r="BE88" s="8"/>
      <c r="BF88" s="8"/>
      <c r="BG88" s="8"/>
      <c r="BH88" s="8"/>
      <c r="BI88" s="8"/>
      <c r="BJ88" s="8"/>
    </row>
    <row r="89" spans="1:62" s="1" customFormat="1" x14ac:dyDescent="0.3">
      <c r="A89" s="32" t="s">
        <v>877</v>
      </c>
      <c r="B89" s="8" t="s">
        <v>27</v>
      </c>
      <c r="C89" s="8" t="s">
        <v>27</v>
      </c>
      <c r="D89" s="8" t="s">
        <v>190</v>
      </c>
      <c r="E89" s="8" t="s">
        <v>679</v>
      </c>
      <c r="F89" s="8" t="s">
        <v>175</v>
      </c>
      <c r="G89" s="14" t="s">
        <v>672</v>
      </c>
      <c r="H89" s="34" t="s">
        <v>666</v>
      </c>
      <c r="I89" s="58">
        <v>55.716666666666669</v>
      </c>
      <c r="J89" s="58">
        <v>-112.2</v>
      </c>
      <c r="K89" s="3">
        <v>165</v>
      </c>
      <c r="L89" s="3"/>
      <c r="M89" s="8" t="s">
        <v>667</v>
      </c>
      <c r="N89" s="8"/>
      <c r="O89" s="14"/>
      <c r="P89" s="8" t="s">
        <v>36</v>
      </c>
      <c r="Q89" s="15"/>
      <c r="R89" s="8">
        <f t="shared" si="12"/>
        <v>-12.928377599999997</v>
      </c>
      <c r="S89" s="8"/>
      <c r="T89" s="27">
        <v>-3.4</v>
      </c>
      <c r="U89" s="17" t="s">
        <v>668</v>
      </c>
      <c r="V89" s="20"/>
      <c r="W89" s="20">
        <f>(12.01*X89)/0.2729</f>
        <v>-413.68266764382565</v>
      </c>
      <c r="X89" s="17">
        <v>-9.4</v>
      </c>
      <c r="Y89" s="17" t="s">
        <v>669</v>
      </c>
      <c r="Z89" s="26" t="s">
        <v>670</v>
      </c>
      <c r="AA89" s="25">
        <f>0.9*(365-K89)</f>
        <v>180</v>
      </c>
      <c r="AB89" s="25">
        <f>W89</f>
        <v>-413.68266764382565</v>
      </c>
      <c r="AC89" s="25">
        <f>W89+AA89</f>
        <v>-233.68266764382565</v>
      </c>
      <c r="AD89" s="8"/>
      <c r="AE89" s="8"/>
      <c r="AF89" s="8"/>
      <c r="AG89" s="8"/>
      <c r="AH89" s="8"/>
      <c r="AI89" s="8"/>
      <c r="AJ89" s="8" t="s">
        <v>881</v>
      </c>
      <c r="AK89" s="3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  <c r="BE89" s="8"/>
      <c r="BF89" s="8"/>
      <c r="BG89" s="8"/>
      <c r="BH89" s="8"/>
      <c r="BI89" s="8"/>
      <c r="BJ89" s="8"/>
    </row>
    <row r="90" spans="1:62" s="1" customFormat="1" x14ac:dyDescent="0.3">
      <c r="A90" s="32" t="s">
        <v>877</v>
      </c>
      <c r="B90" s="8" t="s">
        <v>27</v>
      </c>
      <c r="C90" s="8" t="s">
        <v>27</v>
      </c>
      <c r="D90" s="8" t="s">
        <v>190</v>
      </c>
      <c r="E90" s="8" t="s">
        <v>680</v>
      </c>
      <c r="F90" s="8" t="s">
        <v>175</v>
      </c>
      <c r="G90" s="14" t="s">
        <v>672</v>
      </c>
      <c r="H90" s="34" t="s">
        <v>666</v>
      </c>
      <c r="I90" s="58">
        <v>55.916666666666664</v>
      </c>
      <c r="J90" s="58">
        <v>-113.616666666667</v>
      </c>
      <c r="K90" s="3">
        <v>168</v>
      </c>
      <c r="L90" s="3"/>
      <c r="M90" s="8" t="s">
        <v>667</v>
      </c>
      <c r="N90" s="8"/>
      <c r="O90" s="14"/>
      <c r="P90" s="8" t="s">
        <v>36</v>
      </c>
      <c r="Q90" s="15"/>
      <c r="R90" s="8">
        <f t="shared" si="12"/>
        <v>-12.548131199999997</v>
      </c>
      <c r="S90" s="8"/>
      <c r="T90" s="27">
        <v>-3.3</v>
      </c>
      <c r="U90" s="17" t="s">
        <v>668</v>
      </c>
      <c r="V90" s="9">
        <f>R90*K90/5</f>
        <v>-421.61720831999992</v>
      </c>
      <c r="W90" s="8"/>
      <c r="X90" s="8"/>
      <c r="Y90" s="17"/>
      <c r="Z90" s="9" t="s">
        <v>572</v>
      </c>
      <c r="AA90" s="9">
        <f>0.9*(365-K90)</f>
        <v>177.3</v>
      </c>
      <c r="AB90" s="9">
        <f>V90</f>
        <v>-421.61720831999992</v>
      </c>
      <c r="AC90" s="9">
        <f>V90+AA90</f>
        <v>-244.31720831999991</v>
      </c>
      <c r="AD90" s="8"/>
      <c r="AE90" s="8"/>
      <c r="AF90" s="8"/>
      <c r="AG90" s="8"/>
      <c r="AH90" s="8"/>
      <c r="AI90" s="8"/>
      <c r="AJ90" s="8" t="s">
        <v>881</v>
      </c>
      <c r="AK90" s="3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  <c r="BE90" s="8"/>
      <c r="BF90" s="8"/>
      <c r="BG90" s="8"/>
      <c r="BH90" s="8"/>
      <c r="BI90" s="8"/>
      <c r="BJ90" s="8"/>
    </row>
    <row r="91" spans="1:62" s="1" customFormat="1" x14ac:dyDescent="0.3">
      <c r="A91" s="32" t="s">
        <v>874</v>
      </c>
      <c r="B91" s="8" t="s">
        <v>27</v>
      </c>
      <c r="C91" s="8" t="s">
        <v>27</v>
      </c>
      <c r="D91" s="8" t="s">
        <v>190</v>
      </c>
      <c r="E91" s="8" t="s">
        <v>681</v>
      </c>
      <c r="F91" s="8" t="s">
        <v>175</v>
      </c>
      <c r="G91" s="14" t="s">
        <v>682</v>
      </c>
      <c r="H91" s="34" t="s">
        <v>683</v>
      </c>
      <c r="I91" s="58">
        <v>56.4</v>
      </c>
      <c r="J91" s="58">
        <v>-111.03</v>
      </c>
      <c r="K91" s="3">
        <v>169</v>
      </c>
      <c r="L91" s="3"/>
      <c r="M91" s="8" t="s">
        <v>684</v>
      </c>
      <c r="N91" s="8" t="s">
        <v>91</v>
      </c>
      <c r="O91" s="14"/>
      <c r="P91" s="8" t="s">
        <v>36</v>
      </c>
      <c r="Q91" s="15"/>
      <c r="R91" s="8"/>
      <c r="S91" s="24">
        <f>W91/K91*5</f>
        <v>17.309155877805988</v>
      </c>
      <c r="T91" s="27"/>
      <c r="U91" s="17"/>
      <c r="V91" s="20"/>
      <c r="W91" s="20">
        <f>X91/0.2729</f>
        <v>585.04946866984244</v>
      </c>
      <c r="X91" s="17">
        <v>159.66</v>
      </c>
      <c r="Y91" s="17" t="s">
        <v>447</v>
      </c>
      <c r="Z91" s="25" t="s">
        <v>572</v>
      </c>
      <c r="AA91" s="25">
        <f>0.9*(365-K91)</f>
        <v>176.4</v>
      </c>
      <c r="AB91" s="25">
        <f>W91</f>
        <v>585.04946866984244</v>
      </c>
      <c r="AC91" s="25">
        <f>W91+AA91</f>
        <v>761.44946866984242</v>
      </c>
      <c r="AD91" s="8"/>
      <c r="AE91" s="8"/>
      <c r="AF91" s="8"/>
      <c r="AG91" s="8"/>
      <c r="AH91" s="8"/>
      <c r="AI91" s="8"/>
      <c r="AJ91" s="8" t="s">
        <v>881</v>
      </c>
      <c r="AK91" s="3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  <c r="BE91" s="8"/>
      <c r="BF91" s="8"/>
      <c r="BG91" s="8"/>
      <c r="BH91" s="8"/>
      <c r="BI91" s="8"/>
      <c r="BJ91" s="8"/>
    </row>
    <row r="92" spans="1:62" s="1" customFormat="1" ht="15.75" customHeight="1" x14ac:dyDescent="0.3">
      <c r="A92" s="8" t="s">
        <v>685</v>
      </c>
      <c r="B92" s="8" t="s">
        <v>27</v>
      </c>
      <c r="C92" s="8" t="s">
        <v>27</v>
      </c>
      <c r="D92" s="8" t="s">
        <v>28</v>
      </c>
      <c r="E92" s="8" t="s">
        <v>686</v>
      </c>
      <c r="F92" s="8" t="s">
        <v>200</v>
      </c>
      <c r="G92" s="34" t="s">
        <v>687</v>
      </c>
      <c r="H92" s="34" t="s">
        <v>562</v>
      </c>
      <c r="I92" s="59">
        <v>52.283333329999998</v>
      </c>
      <c r="J92" s="59">
        <v>-75.533333330000005</v>
      </c>
      <c r="K92" s="3">
        <v>154</v>
      </c>
      <c r="L92" s="8"/>
      <c r="M92" s="8" t="s">
        <v>688</v>
      </c>
      <c r="N92" s="8" t="s">
        <v>689</v>
      </c>
      <c r="O92" s="8"/>
      <c r="P92" s="8" t="s">
        <v>36</v>
      </c>
      <c r="Q92" s="8" t="s">
        <v>690</v>
      </c>
      <c r="R92" s="8">
        <f>AVERAGE(R96,R100,R104)</f>
        <v>-22.766666666666666</v>
      </c>
      <c r="S92" s="8"/>
      <c r="T92" s="8"/>
      <c r="U92" s="8" t="s">
        <v>609</v>
      </c>
      <c r="V92" s="9">
        <f>R92*K92/5</f>
        <v>-701.21333333333337</v>
      </c>
      <c r="W92" s="8"/>
      <c r="X92" s="8"/>
      <c r="Y92" s="8"/>
      <c r="Z92" s="9" t="s">
        <v>572</v>
      </c>
      <c r="AA92" s="9">
        <f t="shared" ref="AA92:AA95" si="13">0.9*(365-K92)</f>
        <v>189.9</v>
      </c>
      <c r="AB92" s="9">
        <f>V92</f>
        <v>-701.21333333333337</v>
      </c>
      <c r="AC92" s="9">
        <f>V92+AA92</f>
        <v>-511.31333333333339</v>
      </c>
      <c r="AD92" s="8">
        <v>10.8</v>
      </c>
      <c r="AE92" s="8" t="s">
        <v>609</v>
      </c>
      <c r="AF92" s="8"/>
      <c r="AG92" s="8"/>
      <c r="AH92" s="8"/>
      <c r="AI92" s="8"/>
      <c r="AJ92" s="8" t="s">
        <v>881</v>
      </c>
      <c r="AK92" s="3" t="s">
        <v>691</v>
      </c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  <c r="BE92" s="8"/>
      <c r="BF92" s="8"/>
      <c r="BG92" s="8"/>
      <c r="BH92" s="8"/>
      <c r="BI92" s="8"/>
      <c r="BJ92" s="8"/>
    </row>
    <row r="93" spans="1:62" s="1" customFormat="1" x14ac:dyDescent="0.3">
      <c r="A93" s="8" t="s">
        <v>685</v>
      </c>
      <c r="B93" s="8" t="s">
        <v>27</v>
      </c>
      <c r="C93" s="8" t="s">
        <v>27</v>
      </c>
      <c r="D93" s="8" t="s">
        <v>28</v>
      </c>
      <c r="E93" s="8" t="s">
        <v>686</v>
      </c>
      <c r="F93" s="8" t="s">
        <v>200</v>
      </c>
      <c r="G93" s="34" t="s">
        <v>687</v>
      </c>
      <c r="H93" s="34" t="s">
        <v>562</v>
      </c>
      <c r="I93" s="59">
        <v>52.283333329999998</v>
      </c>
      <c r="J93" s="59">
        <v>-75.533333330000005</v>
      </c>
      <c r="K93" s="3">
        <v>154</v>
      </c>
      <c r="L93" s="8"/>
      <c r="M93" s="8" t="s">
        <v>688</v>
      </c>
      <c r="N93" s="8" t="s">
        <v>47</v>
      </c>
      <c r="O93" s="8"/>
      <c r="P93" s="8" t="s">
        <v>36</v>
      </c>
      <c r="Q93" s="8" t="s">
        <v>692</v>
      </c>
      <c r="R93" s="8">
        <f>AVERAGE(R97,R101,R105)</f>
        <v>-11.913333333333332</v>
      </c>
      <c r="S93" s="8"/>
      <c r="T93" s="8"/>
      <c r="U93" s="8" t="s">
        <v>609</v>
      </c>
      <c r="V93" s="9">
        <f>R93*K93/5</f>
        <v>-366.93066666666664</v>
      </c>
      <c r="W93" s="8"/>
      <c r="X93" s="8"/>
      <c r="Y93" s="8"/>
      <c r="Z93" s="9" t="s">
        <v>572</v>
      </c>
      <c r="AA93" s="9">
        <f t="shared" si="13"/>
        <v>189.9</v>
      </c>
      <c r="AB93" s="9">
        <f>V93</f>
        <v>-366.93066666666664</v>
      </c>
      <c r="AC93" s="9">
        <f>V93+AA93</f>
        <v>-177.03066666666663</v>
      </c>
      <c r="AD93" s="8">
        <v>8.07</v>
      </c>
      <c r="AE93" s="8" t="s">
        <v>609</v>
      </c>
      <c r="AF93" s="8"/>
      <c r="AG93" s="8"/>
      <c r="AH93" s="8"/>
      <c r="AI93" s="8"/>
      <c r="AJ93" s="8" t="s">
        <v>881</v>
      </c>
      <c r="AK93" s="3" t="s">
        <v>691</v>
      </c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  <c r="BE93" s="8"/>
      <c r="BF93" s="8"/>
      <c r="BG93" s="8"/>
      <c r="BH93" s="8"/>
      <c r="BI93" s="8"/>
      <c r="BJ93" s="8"/>
    </row>
    <row r="94" spans="1:62" s="1" customFormat="1" x14ac:dyDescent="0.3">
      <c r="A94" s="8" t="s">
        <v>685</v>
      </c>
      <c r="B94" s="8" t="s">
        <v>27</v>
      </c>
      <c r="C94" s="8" t="s">
        <v>27</v>
      </c>
      <c r="D94" s="8" t="s">
        <v>28</v>
      </c>
      <c r="E94" s="8" t="s">
        <v>686</v>
      </c>
      <c r="F94" s="8" t="s">
        <v>200</v>
      </c>
      <c r="G94" s="34" t="s">
        <v>687</v>
      </c>
      <c r="H94" s="34" t="s">
        <v>562</v>
      </c>
      <c r="I94" s="59">
        <v>52.283333329999998</v>
      </c>
      <c r="J94" s="59">
        <v>-75.533333330000005</v>
      </c>
      <c r="K94" s="3">
        <v>154</v>
      </c>
      <c r="L94" s="8"/>
      <c r="M94" s="8" t="s">
        <v>688</v>
      </c>
      <c r="N94" s="8" t="s">
        <v>41</v>
      </c>
      <c r="O94" s="8"/>
      <c r="P94" s="8" t="s">
        <v>36</v>
      </c>
      <c r="Q94" s="8" t="s">
        <v>693</v>
      </c>
      <c r="R94" s="8">
        <f>AVERAGE(R98,R102,R106)</f>
        <v>-13.166666666666666</v>
      </c>
      <c r="S94" s="8"/>
      <c r="T94" s="8"/>
      <c r="U94" s="8" t="s">
        <v>609</v>
      </c>
      <c r="V94" s="9">
        <f>R94*K94/5</f>
        <v>-405.5333333333333</v>
      </c>
      <c r="W94" s="8"/>
      <c r="X94" s="8"/>
      <c r="Y94" s="8"/>
      <c r="Z94" s="9" t="s">
        <v>572</v>
      </c>
      <c r="AA94" s="9">
        <f t="shared" si="13"/>
        <v>189.9</v>
      </c>
      <c r="AB94" s="9">
        <f>V94</f>
        <v>-405.5333333333333</v>
      </c>
      <c r="AC94" s="9">
        <f>V94+AA94</f>
        <v>-215.6333333333333</v>
      </c>
      <c r="AD94" s="8">
        <v>3.75</v>
      </c>
      <c r="AE94" s="8" t="s">
        <v>609</v>
      </c>
      <c r="AF94" s="8"/>
      <c r="AG94" s="8"/>
      <c r="AH94" s="8"/>
      <c r="AI94" s="8"/>
      <c r="AJ94" s="8" t="s">
        <v>881</v>
      </c>
      <c r="AK94" s="3" t="s">
        <v>691</v>
      </c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  <c r="BE94" s="8"/>
      <c r="BF94" s="8"/>
      <c r="BG94" s="8"/>
      <c r="BH94" s="8"/>
      <c r="BI94" s="8"/>
      <c r="BJ94" s="8"/>
    </row>
    <row r="95" spans="1:62" s="1" customFormat="1" x14ac:dyDescent="0.3">
      <c r="A95" s="8" t="s">
        <v>685</v>
      </c>
      <c r="B95" s="8" t="s">
        <v>27</v>
      </c>
      <c r="C95" s="8" t="s">
        <v>27</v>
      </c>
      <c r="D95" s="8" t="s">
        <v>28</v>
      </c>
      <c r="E95" s="8" t="s">
        <v>686</v>
      </c>
      <c r="F95" s="8" t="s">
        <v>200</v>
      </c>
      <c r="G95" s="34" t="s">
        <v>687</v>
      </c>
      <c r="H95" s="34" t="s">
        <v>562</v>
      </c>
      <c r="I95" s="59">
        <v>52.283333329999998</v>
      </c>
      <c r="J95" s="59">
        <v>-75.533333330000005</v>
      </c>
      <c r="K95" s="3">
        <v>154</v>
      </c>
      <c r="L95" s="8"/>
      <c r="M95" s="8" t="s">
        <v>688</v>
      </c>
      <c r="N95" s="8" t="s">
        <v>143</v>
      </c>
      <c r="O95" s="8"/>
      <c r="P95" s="8" t="s">
        <v>36</v>
      </c>
      <c r="Q95" s="8" t="s">
        <v>694</v>
      </c>
      <c r="R95" s="8">
        <f>AVERAGE(R99,R103)</f>
        <v>-0.57499999999999996</v>
      </c>
      <c r="S95" s="8"/>
      <c r="T95" s="8"/>
      <c r="U95" s="8" t="s">
        <v>609</v>
      </c>
      <c r="V95" s="9">
        <f>R95*K95/5</f>
        <v>-17.71</v>
      </c>
      <c r="W95" s="8"/>
      <c r="X95" s="8"/>
      <c r="Y95" s="8"/>
      <c r="Z95" s="9" t="s">
        <v>572</v>
      </c>
      <c r="AA95" s="9">
        <f t="shared" si="13"/>
        <v>189.9</v>
      </c>
      <c r="AB95" s="9">
        <f>V95</f>
        <v>-17.71</v>
      </c>
      <c r="AC95" s="9">
        <f>V95+AA95</f>
        <v>172.19</v>
      </c>
      <c r="AD95" s="8">
        <v>0.99</v>
      </c>
      <c r="AE95" s="8" t="s">
        <v>609</v>
      </c>
      <c r="AF95" s="8"/>
      <c r="AG95" s="8"/>
      <c r="AH95" s="8"/>
      <c r="AI95" s="8"/>
      <c r="AJ95" s="8" t="s">
        <v>881</v>
      </c>
      <c r="AK95" s="3" t="s">
        <v>691</v>
      </c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  <c r="BE95" s="8"/>
      <c r="BF95" s="8"/>
      <c r="BG95" s="8"/>
      <c r="BH95" s="8"/>
      <c r="BI95" s="8"/>
      <c r="BJ95" s="8"/>
    </row>
    <row r="96" spans="1:62" s="1" customFormat="1" ht="15.75" customHeight="1" x14ac:dyDescent="0.3">
      <c r="A96" s="8" t="s">
        <v>685</v>
      </c>
      <c r="B96" s="8" t="s">
        <v>27</v>
      </c>
      <c r="C96" s="8" t="s">
        <v>27</v>
      </c>
      <c r="D96" s="8" t="s">
        <v>28</v>
      </c>
      <c r="E96" s="8" t="s">
        <v>686</v>
      </c>
      <c r="F96" s="8" t="s">
        <v>200</v>
      </c>
      <c r="G96" s="34">
        <v>2006</v>
      </c>
      <c r="H96" s="34" t="s">
        <v>562</v>
      </c>
      <c r="I96" s="59">
        <v>52.283333329999998</v>
      </c>
      <c r="J96" s="59">
        <v>-75.533333330000005</v>
      </c>
      <c r="K96" s="3">
        <v>154</v>
      </c>
      <c r="L96" s="8"/>
      <c r="M96" s="8" t="s">
        <v>688</v>
      </c>
      <c r="N96" s="8" t="s">
        <v>689</v>
      </c>
      <c r="O96" s="8"/>
      <c r="P96" s="8" t="s">
        <v>36</v>
      </c>
      <c r="Q96" s="8" t="s">
        <v>690</v>
      </c>
      <c r="R96" s="8">
        <f>T96</f>
        <v>-20.2</v>
      </c>
      <c r="S96" s="8"/>
      <c r="T96" s="8">
        <v>-20.2</v>
      </c>
      <c r="U96" s="8" t="s">
        <v>609</v>
      </c>
      <c r="V96" s="8"/>
      <c r="W96" s="8"/>
      <c r="X96" s="8"/>
      <c r="Y96" s="8"/>
      <c r="Z96" s="8"/>
      <c r="AA96" s="8"/>
      <c r="AB96" s="8"/>
      <c r="AC96" s="8"/>
      <c r="AD96" s="8">
        <v>10.8</v>
      </c>
      <c r="AE96" s="8" t="s">
        <v>609</v>
      </c>
      <c r="AF96" s="8"/>
      <c r="AG96" s="8"/>
      <c r="AH96" s="8"/>
      <c r="AI96" s="8"/>
      <c r="AJ96" s="8" t="s">
        <v>884</v>
      </c>
      <c r="AK96" s="3" t="s">
        <v>691</v>
      </c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  <c r="BE96" s="8"/>
      <c r="BF96" s="8"/>
      <c r="BG96" s="8"/>
      <c r="BH96" s="8"/>
      <c r="BI96" s="8"/>
      <c r="BJ96" s="8"/>
    </row>
    <row r="97" spans="1:62" s="1" customFormat="1" x14ac:dyDescent="0.3">
      <c r="A97" s="8" t="s">
        <v>685</v>
      </c>
      <c r="B97" s="8" t="s">
        <v>27</v>
      </c>
      <c r="C97" s="8" t="s">
        <v>27</v>
      </c>
      <c r="D97" s="8" t="s">
        <v>28</v>
      </c>
      <c r="E97" s="8" t="s">
        <v>686</v>
      </c>
      <c r="F97" s="8" t="s">
        <v>200</v>
      </c>
      <c r="G97" s="34">
        <v>2006</v>
      </c>
      <c r="H97" s="34" t="s">
        <v>562</v>
      </c>
      <c r="I97" s="59">
        <v>52.283333329999998</v>
      </c>
      <c r="J97" s="59">
        <v>-75.533333330000005</v>
      </c>
      <c r="K97" s="3">
        <v>154</v>
      </c>
      <c r="L97" s="8"/>
      <c r="M97" s="8" t="s">
        <v>688</v>
      </c>
      <c r="N97" s="8" t="s">
        <v>47</v>
      </c>
      <c r="O97" s="8"/>
      <c r="P97" s="8" t="s">
        <v>36</v>
      </c>
      <c r="Q97" s="8" t="s">
        <v>692</v>
      </c>
      <c r="R97" s="8">
        <f t="shared" ref="R97:R106" si="14">T97</f>
        <v>-6.43</v>
      </c>
      <c r="S97" s="8"/>
      <c r="T97" s="8">
        <v>-6.43</v>
      </c>
      <c r="U97" s="8" t="s">
        <v>609</v>
      </c>
      <c r="V97" s="8"/>
      <c r="W97" s="8"/>
      <c r="X97" s="8"/>
      <c r="Y97" s="8"/>
      <c r="Z97" s="8"/>
      <c r="AA97" s="8"/>
      <c r="AB97" s="8"/>
      <c r="AC97" s="8"/>
      <c r="AD97" s="8">
        <v>8.07</v>
      </c>
      <c r="AE97" s="8" t="s">
        <v>609</v>
      </c>
      <c r="AF97" s="8"/>
      <c r="AG97" s="8"/>
      <c r="AH97" s="8"/>
      <c r="AI97" s="8"/>
      <c r="AJ97" s="8" t="s">
        <v>884</v>
      </c>
      <c r="AK97" s="3" t="s">
        <v>691</v>
      </c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  <c r="BE97" s="8"/>
      <c r="BF97" s="8"/>
      <c r="BG97" s="8"/>
      <c r="BH97" s="8"/>
      <c r="BI97" s="8"/>
      <c r="BJ97" s="8"/>
    </row>
    <row r="98" spans="1:62" s="1" customFormat="1" x14ac:dyDescent="0.3">
      <c r="A98" s="8" t="s">
        <v>685</v>
      </c>
      <c r="B98" s="8" t="s">
        <v>27</v>
      </c>
      <c r="C98" s="8" t="s">
        <v>27</v>
      </c>
      <c r="D98" s="8" t="s">
        <v>28</v>
      </c>
      <c r="E98" s="8" t="s">
        <v>686</v>
      </c>
      <c r="F98" s="8" t="s">
        <v>200</v>
      </c>
      <c r="G98" s="34">
        <v>2006</v>
      </c>
      <c r="H98" s="34" t="s">
        <v>562</v>
      </c>
      <c r="I98" s="59">
        <v>52.283333329999998</v>
      </c>
      <c r="J98" s="59">
        <v>-75.533333330000005</v>
      </c>
      <c r="K98" s="3">
        <v>154</v>
      </c>
      <c r="L98" s="8"/>
      <c r="M98" s="8" t="s">
        <v>688</v>
      </c>
      <c r="N98" s="8" t="s">
        <v>41</v>
      </c>
      <c r="O98" s="8"/>
      <c r="P98" s="8" t="s">
        <v>36</v>
      </c>
      <c r="Q98" s="8" t="s">
        <v>693</v>
      </c>
      <c r="R98" s="8">
        <f t="shared" si="14"/>
        <v>-11</v>
      </c>
      <c r="S98" s="8"/>
      <c r="T98" s="8">
        <v>-11</v>
      </c>
      <c r="U98" s="8" t="s">
        <v>609</v>
      </c>
      <c r="V98" s="8"/>
      <c r="W98" s="8"/>
      <c r="X98" s="8"/>
      <c r="Y98" s="8"/>
      <c r="Z98" s="8"/>
      <c r="AA98" s="8"/>
      <c r="AB98" s="8"/>
      <c r="AC98" s="8"/>
      <c r="AD98" s="8">
        <v>3.75</v>
      </c>
      <c r="AE98" s="8" t="s">
        <v>609</v>
      </c>
      <c r="AF98" s="8"/>
      <c r="AG98" s="8"/>
      <c r="AH98" s="8"/>
      <c r="AI98" s="8"/>
      <c r="AJ98" s="8" t="s">
        <v>884</v>
      </c>
      <c r="AK98" s="3" t="s">
        <v>691</v>
      </c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  <c r="BE98" s="8"/>
      <c r="BF98" s="8"/>
      <c r="BG98" s="8"/>
      <c r="BH98" s="8"/>
      <c r="BI98" s="8"/>
      <c r="BJ98" s="8"/>
    </row>
    <row r="99" spans="1:62" s="1" customFormat="1" x14ac:dyDescent="0.3">
      <c r="A99" s="8" t="s">
        <v>685</v>
      </c>
      <c r="B99" s="8" t="s">
        <v>27</v>
      </c>
      <c r="C99" s="8" t="s">
        <v>27</v>
      </c>
      <c r="D99" s="8" t="s">
        <v>28</v>
      </c>
      <c r="E99" s="8" t="s">
        <v>686</v>
      </c>
      <c r="F99" s="8" t="s">
        <v>200</v>
      </c>
      <c r="G99" s="34">
        <v>2006</v>
      </c>
      <c r="H99" s="34" t="s">
        <v>562</v>
      </c>
      <c r="I99" s="59">
        <v>52.283333329999998</v>
      </c>
      <c r="J99" s="59">
        <v>-75.533333330000005</v>
      </c>
      <c r="K99" s="3">
        <v>154</v>
      </c>
      <c r="L99" s="8"/>
      <c r="M99" s="8" t="s">
        <v>688</v>
      </c>
      <c r="N99" s="8" t="s">
        <v>143</v>
      </c>
      <c r="O99" s="8"/>
      <c r="P99" s="8" t="s">
        <v>36</v>
      </c>
      <c r="Q99" s="8" t="s">
        <v>694</v>
      </c>
      <c r="R99" s="8">
        <f t="shared" si="14"/>
        <v>-0.16</v>
      </c>
      <c r="S99" s="8"/>
      <c r="T99" s="8">
        <v>-0.16</v>
      </c>
      <c r="U99" s="8" t="s">
        <v>609</v>
      </c>
      <c r="V99" s="8"/>
      <c r="W99" s="8"/>
      <c r="X99" s="8"/>
      <c r="Y99" s="8"/>
      <c r="Z99" s="8"/>
      <c r="AA99" s="8"/>
      <c r="AB99" s="8"/>
      <c r="AC99" s="8"/>
      <c r="AD99" s="8">
        <v>0.99</v>
      </c>
      <c r="AE99" s="8" t="s">
        <v>609</v>
      </c>
      <c r="AF99" s="8"/>
      <c r="AG99" s="8"/>
      <c r="AH99" s="8"/>
      <c r="AI99" s="8"/>
      <c r="AJ99" s="8" t="s">
        <v>884</v>
      </c>
      <c r="AK99" s="3" t="s">
        <v>691</v>
      </c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  <c r="BE99" s="8"/>
      <c r="BF99" s="8"/>
      <c r="BG99" s="8"/>
      <c r="BH99" s="8"/>
      <c r="BI99" s="8"/>
      <c r="BJ99" s="8"/>
    </row>
    <row r="100" spans="1:62" s="1" customFormat="1" x14ac:dyDescent="0.3">
      <c r="A100" s="8" t="s">
        <v>685</v>
      </c>
      <c r="B100" s="8" t="s">
        <v>27</v>
      </c>
      <c r="C100" s="8" t="s">
        <v>27</v>
      </c>
      <c r="D100" s="8" t="s">
        <v>28</v>
      </c>
      <c r="E100" s="8" t="s">
        <v>686</v>
      </c>
      <c r="F100" s="8" t="s">
        <v>200</v>
      </c>
      <c r="G100" s="34">
        <v>2007</v>
      </c>
      <c r="H100" s="34" t="s">
        <v>562</v>
      </c>
      <c r="I100" s="59">
        <v>52.283333329999998</v>
      </c>
      <c r="J100" s="59">
        <v>-75.533333330000005</v>
      </c>
      <c r="K100" s="3">
        <v>154</v>
      </c>
      <c r="L100" s="8"/>
      <c r="M100" s="8" t="s">
        <v>688</v>
      </c>
      <c r="N100" s="8" t="s">
        <v>689</v>
      </c>
      <c r="O100" s="8"/>
      <c r="P100" s="8" t="s">
        <v>36</v>
      </c>
      <c r="Q100" s="8" t="s">
        <v>690</v>
      </c>
      <c r="R100" s="8">
        <f t="shared" si="14"/>
        <v>-17.399999999999999</v>
      </c>
      <c r="S100" s="8"/>
      <c r="T100" s="8">
        <v>-17.399999999999999</v>
      </c>
      <c r="U100" s="8" t="s">
        <v>609</v>
      </c>
      <c r="V100" s="8"/>
      <c r="W100" s="8"/>
      <c r="X100" s="8"/>
      <c r="Y100" s="8"/>
      <c r="Z100" s="8"/>
      <c r="AA100" s="8"/>
      <c r="AB100" s="8"/>
      <c r="AC100" s="8"/>
      <c r="AD100" s="8">
        <v>8.5500000000000007</v>
      </c>
      <c r="AE100" s="8" t="s">
        <v>609</v>
      </c>
      <c r="AF100" s="8"/>
      <c r="AG100" s="8"/>
      <c r="AH100" s="8"/>
      <c r="AI100" s="8"/>
      <c r="AJ100" s="8" t="s">
        <v>884</v>
      </c>
      <c r="AK100" s="3" t="s">
        <v>691</v>
      </c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  <c r="BE100" s="8"/>
      <c r="BF100" s="8"/>
      <c r="BG100" s="8"/>
      <c r="BH100" s="8"/>
      <c r="BI100" s="8"/>
      <c r="BJ100" s="8"/>
    </row>
    <row r="101" spans="1:62" s="1" customFormat="1" x14ac:dyDescent="0.3">
      <c r="A101" s="8" t="s">
        <v>685</v>
      </c>
      <c r="B101" s="8" t="s">
        <v>27</v>
      </c>
      <c r="C101" s="8" t="s">
        <v>27</v>
      </c>
      <c r="D101" s="8" t="s">
        <v>28</v>
      </c>
      <c r="E101" s="8" t="s">
        <v>686</v>
      </c>
      <c r="F101" s="8" t="s">
        <v>200</v>
      </c>
      <c r="G101" s="34">
        <v>2007</v>
      </c>
      <c r="H101" s="34" t="s">
        <v>562</v>
      </c>
      <c r="I101" s="59">
        <v>52.283333329999998</v>
      </c>
      <c r="J101" s="59">
        <v>-75.533333330000005</v>
      </c>
      <c r="K101" s="3">
        <v>154</v>
      </c>
      <c r="L101" s="8"/>
      <c r="M101" s="8" t="s">
        <v>688</v>
      </c>
      <c r="N101" s="8" t="s">
        <v>47</v>
      </c>
      <c r="O101" s="8"/>
      <c r="P101" s="8" t="s">
        <v>36</v>
      </c>
      <c r="Q101" s="8" t="s">
        <v>692</v>
      </c>
      <c r="R101" s="8">
        <f t="shared" si="14"/>
        <v>-9.41</v>
      </c>
      <c r="S101" s="8"/>
      <c r="T101" s="8">
        <v>-9.41</v>
      </c>
      <c r="U101" s="8" t="s">
        <v>609</v>
      </c>
      <c r="V101" s="8"/>
      <c r="W101" s="8"/>
      <c r="X101" s="8"/>
      <c r="Y101" s="8"/>
      <c r="Z101" s="8"/>
      <c r="AA101" s="8"/>
      <c r="AB101" s="8"/>
      <c r="AC101" s="8"/>
      <c r="AD101" s="8">
        <v>6.77</v>
      </c>
      <c r="AE101" s="8" t="s">
        <v>609</v>
      </c>
      <c r="AF101" s="8"/>
      <c r="AG101" s="8"/>
      <c r="AH101" s="8"/>
      <c r="AI101" s="8"/>
      <c r="AJ101" s="8" t="s">
        <v>884</v>
      </c>
      <c r="AK101" s="3" t="s">
        <v>691</v>
      </c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  <c r="BE101" s="8"/>
      <c r="BF101" s="8"/>
      <c r="BG101" s="8"/>
      <c r="BH101" s="8"/>
      <c r="BI101" s="8"/>
      <c r="BJ101" s="8"/>
    </row>
    <row r="102" spans="1:62" s="1" customFormat="1" x14ac:dyDescent="0.3">
      <c r="A102" s="8" t="s">
        <v>685</v>
      </c>
      <c r="B102" s="8" t="s">
        <v>27</v>
      </c>
      <c r="C102" s="8" t="s">
        <v>27</v>
      </c>
      <c r="D102" s="8" t="s">
        <v>28</v>
      </c>
      <c r="E102" s="8" t="s">
        <v>686</v>
      </c>
      <c r="F102" s="8" t="s">
        <v>200</v>
      </c>
      <c r="G102" s="34">
        <v>2007</v>
      </c>
      <c r="H102" s="34" t="s">
        <v>562</v>
      </c>
      <c r="I102" s="59">
        <v>52.283333329999998</v>
      </c>
      <c r="J102" s="59">
        <v>-75.533333330000005</v>
      </c>
      <c r="K102" s="3">
        <v>154</v>
      </c>
      <c r="L102" s="8"/>
      <c r="M102" s="8" t="s">
        <v>688</v>
      </c>
      <c r="N102" s="8" t="s">
        <v>41</v>
      </c>
      <c r="O102" s="8"/>
      <c r="P102" s="8" t="s">
        <v>36</v>
      </c>
      <c r="Q102" s="8" t="s">
        <v>693</v>
      </c>
      <c r="R102" s="8">
        <f t="shared" si="14"/>
        <v>-14.7</v>
      </c>
      <c r="S102" s="8"/>
      <c r="T102" s="8">
        <v>-14.7</v>
      </c>
      <c r="U102" s="8" t="s">
        <v>609</v>
      </c>
      <c r="V102" s="8"/>
      <c r="W102" s="8"/>
      <c r="X102" s="8"/>
      <c r="Y102" s="8"/>
      <c r="Z102" s="8"/>
      <c r="AA102" s="8"/>
      <c r="AB102" s="8"/>
      <c r="AC102" s="8"/>
      <c r="AD102" s="8">
        <v>6.09</v>
      </c>
      <c r="AE102" s="8" t="s">
        <v>609</v>
      </c>
      <c r="AF102" s="8"/>
      <c r="AG102" s="8"/>
      <c r="AH102" s="8"/>
      <c r="AI102" s="8"/>
      <c r="AJ102" s="8" t="s">
        <v>884</v>
      </c>
      <c r="AK102" s="3" t="s">
        <v>691</v>
      </c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  <c r="BE102" s="8"/>
      <c r="BF102" s="8"/>
      <c r="BG102" s="8"/>
      <c r="BH102" s="8"/>
      <c r="BI102" s="8"/>
      <c r="BJ102" s="8"/>
    </row>
    <row r="103" spans="1:62" s="1" customFormat="1" x14ac:dyDescent="0.3">
      <c r="A103" s="8" t="s">
        <v>685</v>
      </c>
      <c r="B103" s="8" t="s">
        <v>27</v>
      </c>
      <c r="C103" s="8" t="s">
        <v>27</v>
      </c>
      <c r="D103" s="8" t="s">
        <v>28</v>
      </c>
      <c r="E103" s="8" t="s">
        <v>686</v>
      </c>
      <c r="F103" s="8" t="s">
        <v>200</v>
      </c>
      <c r="G103" s="34">
        <v>2007</v>
      </c>
      <c r="H103" s="34" t="s">
        <v>562</v>
      </c>
      <c r="I103" s="59">
        <v>52.283333329999998</v>
      </c>
      <c r="J103" s="59">
        <v>-75.533333330000005</v>
      </c>
      <c r="K103" s="3">
        <v>154</v>
      </c>
      <c r="L103" s="8"/>
      <c r="M103" s="8" t="s">
        <v>688</v>
      </c>
      <c r="N103" s="8" t="s">
        <v>143</v>
      </c>
      <c r="O103" s="8"/>
      <c r="P103" s="8" t="s">
        <v>36</v>
      </c>
      <c r="Q103" s="8" t="s">
        <v>694</v>
      </c>
      <c r="R103" s="8">
        <f t="shared" si="14"/>
        <v>-0.99</v>
      </c>
      <c r="S103" s="8"/>
      <c r="T103" s="8">
        <v>-0.99</v>
      </c>
      <c r="U103" s="8" t="s">
        <v>609</v>
      </c>
      <c r="V103" s="8"/>
      <c r="W103" s="8"/>
      <c r="X103" s="8"/>
      <c r="Y103" s="8"/>
      <c r="Z103" s="8"/>
      <c r="AA103" s="8"/>
      <c r="AB103" s="8"/>
      <c r="AC103" s="8"/>
      <c r="AD103" s="8">
        <v>0.94</v>
      </c>
      <c r="AE103" s="8" t="s">
        <v>609</v>
      </c>
      <c r="AF103" s="8"/>
      <c r="AG103" s="8"/>
      <c r="AH103" s="8"/>
      <c r="AI103" s="8"/>
      <c r="AJ103" s="8" t="s">
        <v>884</v>
      </c>
      <c r="AK103" s="3" t="s">
        <v>691</v>
      </c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  <c r="BE103" s="8"/>
      <c r="BF103" s="8"/>
      <c r="BG103" s="8"/>
      <c r="BH103" s="8"/>
      <c r="BI103" s="8"/>
      <c r="BJ103" s="8"/>
    </row>
    <row r="104" spans="1:62" s="1" customFormat="1" x14ac:dyDescent="0.3">
      <c r="A104" s="8" t="s">
        <v>685</v>
      </c>
      <c r="B104" s="8" t="s">
        <v>27</v>
      </c>
      <c r="C104" s="8" t="s">
        <v>27</v>
      </c>
      <c r="D104" s="8" t="s">
        <v>28</v>
      </c>
      <c r="E104" s="8" t="s">
        <v>686</v>
      </c>
      <c r="F104" s="8" t="s">
        <v>200</v>
      </c>
      <c r="G104" s="34">
        <v>2008</v>
      </c>
      <c r="H104" s="34" t="s">
        <v>562</v>
      </c>
      <c r="I104" s="59">
        <v>52.283333329999998</v>
      </c>
      <c r="J104" s="59">
        <v>-75.533333330000005</v>
      </c>
      <c r="K104" s="3">
        <v>154</v>
      </c>
      <c r="L104" s="8"/>
      <c r="M104" s="8" t="s">
        <v>688</v>
      </c>
      <c r="N104" s="8" t="s">
        <v>689</v>
      </c>
      <c r="O104" s="8"/>
      <c r="P104" s="8" t="s">
        <v>36</v>
      </c>
      <c r="Q104" s="8" t="s">
        <v>690</v>
      </c>
      <c r="R104" s="8">
        <f t="shared" si="14"/>
        <v>-30.7</v>
      </c>
      <c r="S104" s="8"/>
      <c r="T104" s="8">
        <v>-30.7</v>
      </c>
      <c r="U104" s="8" t="s">
        <v>609</v>
      </c>
      <c r="V104" s="8"/>
      <c r="W104" s="8"/>
      <c r="X104" s="8"/>
      <c r="Y104" s="8"/>
      <c r="Z104" s="8"/>
      <c r="AA104" s="8"/>
      <c r="AB104" s="8"/>
      <c r="AC104" s="8"/>
      <c r="AD104" s="8">
        <v>8.1300000000000008</v>
      </c>
      <c r="AE104" s="8" t="s">
        <v>609</v>
      </c>
      <c r="AF104" s="8"/>
      <c r="AG104" s="8"/>
      <c r="AH104" s="8"/>
      <c r="AI104" s="8"/>
      <c r="AJ104" s="8" t="s">
        <v>884</v>
      </c>
      <c r="AK104" s="3" t="s">
        <v>691</v>
      </c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  <c r="BE104" s="8"/>
      <c r="BF104" s="8"/>
      <c r="BG104" s="8"/>
      <c r="BH104" s="8"/>
      <c r="BI104" s="8"/>
      <c r="BJ104" s="8"/>
    </row>
    <row r="105" spans="1:62" s="1" customFormat="1" x14ac:dyDescent="0.3">
      <c r="A105" s="8" t="s">
        <v>685</v>
      </c>
      <c r="B105" s="8" t="s">
        <v>27</v>
      </c>
      <c r="C105" s="8" t="s">
        <v>27</v>
      </c>
      <c r="D105" s="8" t="s">
        <v>28</v>
      </c>
      <c r="E105" s="8" t="s">
        <v>686</v>
      </c>
      <c r="F105" s="8" t="s">
        <v>200</v>
      </c>
      <c r="G105" s="34">
        <v>2008</v>
      </c>
      <c r="H105" s="34" t="s">
        <v>562</v>
      </c>
      <c r="I105" s="59">
        <v>52.283333329999998</v>
      </c>
      <c r="J105" s="59">
        <v>-75.533333330000005</v>
      </c>
      <c r="K105" s="3">
        <v>154</v>
      </c>
      <c r="L105" s="8"/>
      <c r="M105" s="8" t="s">
        <v>688</v>
      </c>
      <c r="N105" s="8" t="s">
        <v>47</v>
      </c>
      <c r="O105" s="8"/>
      <c r="P105" s="8" t="s">
        <v>36</v>
      </c>
      <c r="Q105" s="8" t="s">
        <v>692</v>
      </c>
      <c r="R105" s="8">
        <f t="shared" si="14"/>
        <v>-19.899999999999999</v>
      </c>
      <c r="S105" s="8"/>
      <c r="T105" s="8">
        <v>-19.899999999999999</v>
      </c>
      <c r="U105" s="8" t="s">
        <v>609</v>
      </c>
      <c r="V105" s="8"/>
      <c r="W105" s="8"/>
      <c r="X105" s="8"/>
      <c r="Y105" s="8"/>
      <c r="Z105" s="8"/>
      <c r="AA105" s="8"/>
      <c r="AB105" s="8"/>
      <c r="AC105" s="8"/>
      <c r="AD105" s="8">
        <v>5.61</v>
      </c>
      <c r="AE105" s="8" t="s">
        <v>609</v>
      </c>
      <c r="AF105" s="8"/>
      <c r="AG105" s="8"/>
      <c r="AH105" s="8"/>
      <c r="AI105" s="8"/>
      <c r="AJ105" s="8" t="s">
        <v>884</v>
      </c>
      <c r="AK105" s="3" t="s">
        <v>691</v>
      </c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  <c r="BE105" s="8"/>
      <c r="BF105" s="8"/>
      <c r="BG105" s="8"/>
      <c r="BH105" s="8"/>
      <c r="BI105" s="8"/>
      <c r="BJ105" s="8"/>
    </row>
    <row r="106" spans="1:62" s="1" customFormat="1" x14ac:dyDescent="0.3">
      <c r="A106" s="8" t="s">
        <v>685</v>
      </c>
      <c r="B106" s="8" t="s">
        <v>27</v>
      </c>
      <c r="C106" s="8" t="s">
        <v>27</v>
      </c>
      <c r="D106" s="8" t="s">
        <v>28</v>
      </c>
      <c r="E106" s="8" t="s">
        <v>686</v>
      </c>
      <c r="F106" s="8" t="s">
        <v>200</v>
      </c>
      <c r="G106" s="34">
        <v>2008</v>
      </c>
      <c r="H106" s="34" t="s">
        <v>562</v>
      </c>
      <c r="I106" s="59">
        <v>52.283333329999998</v>
      </c>
      <c r="J106" s="59">
        <v>-75.533333330000005</v>
      </c>
      <c r="K106" s="3">
        <v>154</v>
      </c>
      <c r="L106" s="8"/>
      <c r="M106" s="8" t="s">
        <v>688</v>
      </c>
      <c r="N106" s="8" t="s">
        <v>41</v>
      </c>
      <c r="O106" s="8"/>
      <c r="P106" s="8" t="s">
        <v>36</v>
      </c>
      <c r="Q106" s="8" t="s">
        <v>693</v>
      </c>
      <c r="R106" s="8">
        <f t="shared" si="14"/>
        <v>-13.8</v>
      </c>
      <c r="S106" s="8"/>
      <c r="T106" s="8">
        <v>-13.8</v>
      </c>
      <c r="U106" s="8" t="s">
        <v>609</v>
      </c>
      <c r="V106" s="8"/>
      <c r="W106" s="8"/>
      <c r="X106" s="8"/>
      <c r="Y106" s="8"/>
      <c r="Z106" s="8"/>
      <c r="AA106" s="8"/>
      <c r="AB106" s="8"/>
      <c r="AC106" s="8"/>
      <c r="AD106" s="8">
        <v>3.13</v>
      </c>
      <c r="AE106" s="8" t="s">
        <v>609</v>
      </c>
      <c r="AF106" s="8"/>
      <c r="AG106" s="8"/>
      <c r="AH106" s="8"/>
      <c r="AI106" s="8"/>
      <c r="AJ106" s="8" t="s">
        <v>884</v>
      </c>
      <c r="AK106" s="3" t="s">
        <v>691</v>
      </c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  <c r="BE106" s="8"/>
      <c r="BF106" s="8"/>
      <c r="BG106" s="8"/>
      <c r="BH106" s="8"/>
      <c r="BI106" s="8"/>
      <c r="BJ106" s="8"/>
    </row>
    <row r="107" spans="1:62" s="1" customFormat="1" x14ac:dyDescent="0.3">
      <c r="A107" s="8" t="s">
        <v>685</v>
      </c>
      <c r="B107" s="8" t="s">
        <v>27</v>
      </c>
      <c r="C107" s="8" t="s">
        <v>27</v>
      </c>
      <c r="D107" s="8" t="s">
        <v>28</v>
      </c>
      <c r="E107" s="8" t="s">
        <v>686</v>
      </c>
      <c r="F107" s="8" t="s">
        <v>200</v>
      </c>
      <c r="G107" s="34">
        <v>2008</v>
      </c>
      <c r="H107" s="34" t="s">
        <v>562</v>
      </c>
      <c r="I107" s="59">
        <v>52.283333329999998</v>
      </c>
      <c r="J107" s="59">
        <v>-75.533333330000005</v>
      </c>
      <c r="K107" s="3">
        <v>154</v>
      </c>
      <c r="L107" s="8"/>
      <c r="M107" s="8" t="s">
        <v>688</v>
      </c>
      <c r="N107" s="8" t="s">
        <v>143</v>
      </c>
      <c r="O107" s="8"/>
      <c r="P107" s="8" t="s">
        <v>36</v>
      </c>
      <c r="Q107" s="8" t="s">
        <v>694</v>
      </c>
      <c r="R107" s="8"/>
      <c r="S107" s="8"/>
      <c r="T107" s="8" t="s">
        <v>695</v>
      </c>
      <c r="U107" s="8"/>
      <c r="V107" s="8"/>
      <c r="W107" s="8"/>
      <c r="X107" s="8"/>
      <c r="Y107" s="8"/>
      <c r="Z107" s="8"/>
      <c r="AA107" s="8"/>
      <c r="AB107" s="8"/>
      <c r="AC107" s="8"/>
      <c r="AD107" s="8">
        <v>1.98</v>
      </c>
      <c r="AE107" s="8" t="s">
        <v>609</v>
      </c>
      <c r="AF107" s="8"/>
      <c r="AG107" s="8"/>
      <c r="AH107" s="8"/>
      <c r="AI107" s="8"/>
      <c r="AJ107" s="8" t="s">
        <v>884</v>
      </c>
      <c r="AK107" s="3" t="s">
        <v>691</v>
      </c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  <c r="BE107" s="8"/>
      <c r="BF107" s="8"/>
      <c r="BG107" s="8"/>
      <c r="BH107" s="8"/>
      <c r="BI107" s="8"/>
      <c r="BJ107" s="8"/>
    </row>
    <row r="108" spans="1:62" s="1" customFormat="1" x14ac:dyDescent="0.3">
      <c r="A108" s="8" t="s">
        <v>253</v>
      </c>
      <c r="B108" s="8" t="s">
        <v>27</v>
      </c>
      <c r="C108" s="8" t="s">
        <v>27</v>
      </c>
      <c r="D108" s="8" t="s">
        <v>28</v>
      </c>
      <c r="E108" s="8" t="s">
        <v>261</v>
      </c>
      <c r="F108" s="8" t="s">
        <v>200</v>
      </c>
      <c r="G108" s="34">
        <v>2005</v>
      </c>
      <c r="H108" s="34" t="s">
        <v>255</v>
      </c>
      <c r="I108" s="59">
        <v>52.181666669999998</v>
      </c>
      <c r="J108" s="59">
        <v>-75.873888890000003</v>
      </c>
      <c r="K108" s="3">
        <v>155</v>
      </c>
      <c r="L108" s="8"/>
      <c r="M108" s="8"/>
      <c r="N108" s="8" t="s">
        <v>262</v>
      </c>
      <c r="O108" s="8"/>
      <c r="P108" s="8" t="s">
        <v>36</v>
      </c>
      <c r="Q108" s="8"/>
      <c r="R108" s="8">
        <f>T108/1000*44.01</f>
        <v>-0.47530800000000001</v>
      </c>
      <c r="S108" s="8"/>
      <c r="T108" s="17">
        <v>-10.8</v>
      </c>
      <c r="U108" s="17" t="s">
        <v>258</v>
      </c>
      <c r="V108" s="9">
        <f t="shared" ref="V108:V113" si="15">R108*K108/5</f>
        <v>-14.734548</v>
      </c>
      <c r="W108" s="8"/>
      <c r="X108" s="8"/>
      <c r="Y108" s="8"/>
      <c r="Z108" s="9" t="s">
        <v>572</v>
      </c>
      <c r="AA108" s="9">
        <f t="shared" ref="AA108:AA113" si="16">0.9*(365-K108)</f>
        <v>189</v>
      </c>
      <c r="AB108" s="9">
        <f t="shared" ref="AB108:AB113" si="17">V108</f>
        <v>-14.734548</v>
      </c>
      <c r="AC108" s="9">
        <f t="shared" ref="AC108:AC113" si="18">V108+AA108</f>
        <v>174.26545200000001</v>
      </c>
      <c r="AD108" s="8"/>
      <c r="AE108" s="8"/>
      <c r="AF108" s="8"/>
      <c r="AG108" s="8"/>
      <c r="AH108" s="8"/>
      <c r="AI108" s="8"/>
      <c r="AJ108" s="8" t="s">
        <v>881</v>
      </c>
      <c r="AK108" s="3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  <c r="BE108" s="8"/>
      <c r="BF108" s="8"/>
      <c r="BG108" s="8"/>
      <c r="BH108" s="8"/>
      <c r="BI108" s="8"/>
      <c r="BJ108" s="8"/>
    </row>
    <row r="109" spans="1:62" s="1" customFormat="1" x14ac:dyDescent="0.3">
      <c r="A109" s="8" t="s">
        <v>253</v>
      </c>
      <c r="B109" s="8" t="s">
        <v>27</v>
      </c>
      <c r="C109" s="8" t="s">
        <v>27</v>
      </c>
      <c r="D109" s="8" t="s">
        <v>28</v>
      </c>
      <c r="E109" s="8" t="s">
        <v>264</v>
      </c>
      <c r="F109" s="8" t="s">
        <v>200</v>
      </c>
      <c r="G109" s="34">
        <v>2005</v>
      </c>
      <c r="H109" s="34" t="s">
        <v>255</v>
      </c>
      <c r="I109" s="59">
        <v>52.181666669999998</v>
      </c>
      <c r="J109" s="59">
        <v>-75.873888890000003</v>
      </c>
      <c r="K109" s="3">
        <v>155</v>
      </c>
      <c r="L109" s="8"/>
      <c r="M109" s="8"/>
      <c r="N109" s="8" t="s">
        <v>262</v>
      </c>
      <c r="O109" s="8"/>
      <c r="P109" s="8" t="s">
        <v>36</v>
      </c>
      <c r="Q109" s="8"/>
      <c r="R109" s="8">
        <f t="shared" ref="R109:R119" si="19">T109/1000*44.01</f>
        <v>-1.3335029999999999</v>
      </c>
      <c r="S109" s="8"/>
      <c r="T109" s="17">
        <v>-30.3</v>
      </c>
      <c r="U109" s="17" t="s">
        <v>258</v>
      </c>
      <c r="V109" s="9">
        <f t="shared" si="15"/>
        <v>-41.338592999999996</v>
      </c>
      <c r="W109" s="8"/>
      <c r="X109" s="8"/>
      <c r="Y109" s="8"/>
      <c r="Z109" s="9" t="s">
        <v>572</v>
      </c>
      <c r="AA109" s="9">
        <f t="shared" si="16"/>
        <v>189</v>
      </c>
      <c r="AB109" s="9">
        <f t="shared" si="17"/>
        <v>-41.338592999999996</v>
      </c>
      <c r="AC109" s="9">
        <f t="shared" si="18"/>
        <v>147.661407</v>
      </c>
      <c r="AD109" s="8"/>
      <c r="AE109" s="8"/>
      <c r="AF109" s="8"/>
      <c r="AG109" s="8"/>
      <c r="AH109" s="8"/>
      <c r="AI109" s="8"/>
      <c r="AJ109" s="8" t="s">
        <v>881</v>
      </c>
      <c r="AK109" s="3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  <c r="BE109" s="8"/>
      <c r="BF109" s="8"/>
      <c r="BG109" s="8"/>
      <c r="BH109" s="8"/>
      <c r="BI109" s="8"/>
      <c r="BJ109" s="8"/>
    </row>
    <row r="110" spans="1:62" s="1" customFormat="1" x14ac:dyDescent="0.3">
      <c r="A110" s="8" t="s">
        <v>253</v>
      </c>
      <c r="B110" s="8" t="s">
        <v>27</v>
      </c>
      <c r="C110" s="8" t="s">
        <v>27</v>
      </c>
      <c r="D110" s="8" t="s">
        <v>28</v>
      </c>
      <c r="E110" s="8" t="s">
        <v>265</v>
      </c>
      <c r="F110" s="8" t="s">
        <v>200</v>
      </c>
      <c r="G110" s="34">
        <v>2005</v>
      </c>
      <c r="H110" s="34" t="s">
        <v>255</v>
      </c>
      <c r="I110" s="59">
        <v>52.181666669999998</v>
      </c>
      <c r="J110" s="59">
        <v>-75.873888890000003</v>
      </c>
      <c r="K110" s="3">
        <v>155</v>
      </c>
      <c r="L110" s="8"/>
      <c r="M110" s="8"/>
      <c r="N110" s="8" t="s">
        <v>262</v>
      </c>
      <c r="O110" s="8"/>
      <c r="P110" s="8" t="s">
        <v>36</v>
      </c>
      <c r="Q110" s="8"/>
      <c r="R110" s="8">
        <f t="shared" si="19"/>
        <v>-0.86259600000000014</v>
      </c>
      <c r="S110" s="8"/>
      <c r="T110" s="17">
        <v>-19.600000000000001</v>
      </c>
      <c r="U110" s="17" t="s">
        <v>258</v>
      </c>
      <c r="V110" s="9">
        <f t="shared" si="15"/>
        <v>-26.740476000000008</v>
      </c>
      <c r="W110" s="8"/>
      <c r="X110" s="8"/>
      <c r="Y110" s="8"/>
      <c r="Z110" s="9" t="s">
        <v>572</v>
      </c>
      <c r="AA110" s="9">
        <f t="shared" si="16"/>
        <v>189</v>
      </c>
      <c r="AB110" s="9">
        <f t="shared" si="17"/>
        <v>-26.740476000000008</v>
      </c>
      <c r="AC110" s="9">
        <f t="shared" si="18"/>
        <v>162.259524</v>
      </c>
      <c r="AD110" s="8"/>
      <c r="AE110" s="8"/>
      <c r="AF110" s="8"/>
      <c r="AG110" s="8"/>
      <c r="AH110" s="8"/>
      <c r="AI110" s="8"/>
      <c r="AJ110" s="8" t="s">
        <v>881</v>
      </c>
      <c r="AK110" s="3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  <c r="BE110" s="8"/>
      <c r="BF110" s="8"/>
      <c r="BG110" s="8"/>
      <c r="BH110" s="8"/>
      <c r="BI110" s="8"/>
      <c r="BJ110" s="8"/>
    </row>
    <row r="111" spans="1:62" s="1" customFormat="1" x14ac:dyDescent="0.3">
      <c r="A111" s="8" t="s">
        <v>253</v>
      </c>
      <c r="B111" s="8" t="s">
        <v>27</v>
      </c>
      <c r="C111" s="8" t="s">
        <v>27</v>
      </c>
      <c r="D111" s="8" t="s">
        <v>28</v>
      </c>
      <c r="E111" s="8" t="s">
        <v>266</v>
      </c>
      <c r="F111" s="8" t="s">
        <v>200</v>
      </c>
      <c r="G111" s="34" t="s">
        <v>260</v>
      </c>
      <c r="H111" s="34" t="s">
        <v>255</v>
      </c>
      <c r="I111" s="59">
        <v>52.181666669999998</v>
      </c>
      <c r="J111" s="59">
        <v>-75.873888890000003</v>
      </c>
      <c r="K111" s="3">
        <v>155</v>
      </c>
      <c r="L111" s="8"/>
      <c r="M111" s="8"/>
      <c r="N111" s="8" t="s">
        <v>262</v>
      </c>
      <c r="O111" s="8"/>
      <c r="P111" s="8" t="s">
        <v>36</v>
      </c>
      <c r="Q111" s="8"/>
      <c r="R111" s="8">
        <f>AVERAGE(R114,R117)</f>
        <v>-1.5227459999999997</v>
      </c>
      <c r="S111" s="8"/>
      <c r="T111" s="17"/>
      <c r="U111" s="17" t="s">
        <v>258</v>
      </c>
      <c r="V111" s="9">
        <f t="shared" si="15"/>
        <v>-47.205125999999993</v>
      </c>
      <c r="W111" s="8"/>
      <c r="X111" s="8"/>
      <c r="Y111" s="8"/>
      <c r="Z111" s="9" t="s">
        <v>572</v>
      </c>
      <c r="AA111" s="9">
        <f t="shared" si="16"/>
        <v>189</v>
      </c>
      <c r="AB111" s="9">
        <f t="shared" si="17"/>
        <v>-47.205125999999993</v>
      </c>
      <c r="AC111" s="9">
        <f t="shared" si="18"/>
        <v>141.79487399999999</v>
      </c>
      <c r="AD111" s="8"/>
      <c r="AE111" s="8"/>
      <c r="AF111" s="8"/>
      <c r="AG111" s="8"/>
      <c r="AH111" s="8"/>
      <c r="AI111" s="8"/>
      <c r="AJ111" s="8" t="s">
        <v>881</v>
      </c>
      <c r="AK111" s="3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  <c r="BE111" s="8"/>
      <c r="BF111" s="8"/>
      <c r="BG111" s="8"/>
      <c r="BH111" s="8"/>
      <c r="BI111" s="8"/>
      <c r="BJ111" s="8"/>
    </row>
    <row r="112" spans="1:62" s="1" customFormat="1" x14ac:dyDescent="0.3">
      <c r="A112" s="8" t="s">
        <v>253</v>
      </c>
      <c r="B112" s="8" t="s">
        <v>27</v>
      </c>
      <c r="C112" s="8" t="s">
        <v>27</v>
      </c>
      <c r="D112" s="8" t="s">
        <v>28</v>
      </c>
      <c r="E112" s="8" t="s">
        <v>267</v>
      </c>
      <c r="F112" s="8" t="s">
        <v>200</v>
      </c>
      <c r="G112" s="34" t="s">
        <v>260</v>
      </c>
      <c r="H112" s="34" t="s">
        <v>255</v>
      </c>
      <c r="I112" s="59">
        <v>52.181666669999998</v>
      </c>
      <c r="J112" s="59">
        <v>-75.873888890000003</v>
      </c>
      <c r="K112" s="3">
        <v>155</v>
      </c>
      <c r="L112" s="8"/>
      <c r="M112" s="8"/>
      <c r="N112" s="8" t="s">
        <v>262</v>
      </c>
      <c r="O112" s="8"/>
      <c r="P112" s="8" t="s">
        <v>36</v>
      </c>
      <c r="Q112" s="8"/>
      <c r="R112" s="8">
        <f>AVERAGE(R115,R118)</f>
        <v>-0.77457599999999993</v>
      </c>
      <c r="S112" s="8"/>
      <c r="T112" s="17"/>
      <c r="U112" s="17" t="s">
        <v>258</v>
      </c>
      <c r="V112" s="9">
        <f t="shared" si="15"/>
        <v>-24.011855999999998</v>
      </c>
      <c r="W112" s="8"/>
      <c r="X112" s="8"/>
      <c r="Y112" s="8"/>
      <c r="Z112" s="9" t="s">
        <v>572</v>
      </c>
      <c r="AA112" s="9">
        <f t="shared" si="16"/>
        <v>189</v>
      </c>
      <c r="AB112" s="9">
        <f t="shared" si="17"/>
        <v>-24.011855999999998</v>
      </c>
      <c r="AC112" s="9">
        <f t="shared" si="18"/>
        <v>164.98814400000001</v>
      </c>
      <c r="AD112" s="8"/>
      <c r="AE112" s="8"/>
      <c r="AF112" s="8"/>
      <c r="AG112" s="8"/>
      <c r="AH112" s="8"/>
      <c r="AI112" s="8"/>
      <c r="AJ112" s="8" t="s">
        <v>881</v>
      </c>
      <c r="AK112" s="3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  <c r="BE112" s="8"/>
      <c r="BF112" s="8"/>
      <c r="BG112" s="8"/>
      <c r="BH112" s="8"/>
      <c r="BI112" s="8"/>
      <c r="BJ112" s="8"/>
    </row>
    <row r="113" spans="1:62" s="1" customFormat="1" x14ac:dyDescent="0.3">
      <c r="A113" s="8" t="s">
        <v>253</v>
      </c>
      <c r="B113" s="8" t="s">
        <v>27</v>
      </c>
      <c r="C113" s="8" t="s">
        <v>27</v>
      </c>
      <c r="D113" s="8" t="s">
        <v>28</v>
      </c>
      <c r="E113" s="8" t="s">
        <v>268</v>
      </c>
      <c r="F113" s="8" t="s">
        <v>200</v>
      </c>
      <c r="G113" s="34" t="s">
        <v>260</v>
      </c>
      <c r="H113" s="34" t="s">
        <v>255</v>
      </c>
      <c r="I113" s="59">
        <v>52.181666669999998</v>
      </c>
      <c r="J113" s="59">
        <v>-75.873888890000003</v>
      </c>
      <c r="K113" s="3">
        <v>155</v>
      </c>
      <c r="L113" s="8"/>
      <c r="M113" s="8"/>
      <c r="N113" s="8" t="s">
        <v>262</v>
      </c>
      <c r="O113" s="8"/>
      <c r="P113" s="8" t="s">
        <v>36</v>
      </c>
      <c r="Q113" s="8"/>
      <c r="R113" s="8">
        <f>AVERAGE(R116,R119)</f>
        <v>-0.88240049999999992</v>
      </c>
      <c r="S113" s="8"/>
      <c r="T113" s="17"/>
      <c r="U113" s="17" t="s">
        <v>258</v>
      </c>
      <c r="V113" s="9">
        <f t="shared" si="15"/>
        <v>-27.354415499999998</v>
      </c>
      <c r="W113" s="8"/>
      <c r="X113" s="8"/>
      <c r="Y113" s="8"/>
      <c r="Z113" s="9" t="s">
        <v>572</v>
      </c>
      <c r="AA113" s="9">
        <f t="shared" si="16"/>
        <v>189</v>
      </c>
      <c r="AB113" s="9">
        <f t="shared" si="17"/>
        <v>-27.354415499999998</v>
      </c>
      <c r="AC113" s="9">
        <f t="shared" si="18"/>
        <v>161.64558450000001</v>
      </c>
      <c r="AD113" s="8"/>
      <c r="AE113" s="8"/>
      <c r="AF113" s="8"/>
      <c r="AG113" s="8"/>
      <c r="AH113" s="8"/>
      <c r="AI113" s="8"/>
      <c r="AJ113" s="8" t="s">
        <v>881</v>
      </c>
      <c r="AK113" s="3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  <c r="BE113" s="8"/>
      <c r="BF113" s="8"/>
      <c r="BG113" s="8"/>
      <c r="BH113" s="8"/>
      <c r="BI113" s="8"/>
      <c r="BJ113" s="8"/>
    </row>
    <row r="114" spans="1:62" s="1" customFormat="1" x14ac:dyDescent="0.3">
      <c r="A114" s="8" t="s">
        <v>253</v>
      </c>
      <c r="B114" s="8" t="s">
        <v>27</v>
      </c>
      <c r="C114" s="8" t="s">
        <v>27</v>
      </c>
      <c r="D114" s="8" t="s">
        <v>28</v>
      </c>
      <c r="E114" s="8" t="s">
        <v>266</v>
      </c>
      <c r="F114" s="8" t="s">
        <v>200</v>
      </c>
      <c r="G114" s="34">
        <v>2005</v>
      </c>
      <c r="H114" s="34" t="s">
        <v>255</v>
      </c>
      <c r="I114" s="59">
        <v>52.181666669999998</v>
      </c>
      <c r="J114" s="59">
        <v>-75.873888890000003</v>
      </c>
      <c r="K114" s="3">
        <v>155</v>
      </c>
      <c r="L114" s="8"/>
      <c r="M114" s="8"/>
      <c r="N114" s="8" t="s">
        <v>262</v>
      </c>
      <c r="O114" s="8"/>
      <c r="P114" s="8" t="s">
        <v>36</v>
      </c>
      <c r="Q114" s="8"/>
      <c r="R114" s="8">
        <f t="shared" si="19"/>
        <v>-1.4831369999999999</v>
      </c>
      <c r="S114" s="8"/>
      <c r="T114" s="17">
        <v>-33.700000000000003</v>
      </c>
      <c r="U114" s="17" t="s">
        <v>258</v>
      </c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 t="s">
        <v>884</v>
      </c>
      <c r="AK114" s="3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  <c r="BE114" s="8"/>
      <c r="BF114" s="8"/>
      <c r="BG114" s="8"/>
      <c r="BH114" s="8"/>
      <c r="BI114" s="8"/>
      <c r="BJ114" s="8"/>
    </row>
    <row r="115" spans="1:62" s="1" customFormat="1" x14ac:dyDescent="0.3">
      <c r="A115" s="8" t="s">
        <v>253</v>
      </c>
      <c r="B115" s="8" t="s">
        <v>27</v>
      </c>
      <c r="C115" s="8" t="s">
        <v>27</v>
      </c>
      <c r="D115" s="8" t="s">
        <v>28</v>
      </c>
      <c r="E115" s="8" t="s">
        <v>267</v>
      </c>
      <c r="F115" s="8" t="s">
        <v>200</v>
      </c>
      <c r="G115" s="34">
        <v>2005</v>
      </c>
      <c r="H115" s="34" t="s">
        <v>255</v>
      </c>
      <c r="I115" s="59">
        <v>52.181666669999998</v>
      </c>
      <c r="J115" s="59">
        <v>-75.873888890000003</v>
      </c>
      <c r="K115" s="3">
        <v>155</v>
      </c>
      <c r="L115" s="8"/>
      <c r="M115" s="8"/>
      <c r="N115" s="8" t="s">
        <v>262</v>
      </c>
      <c r="O115" s="8"/>
      <c r="P115" s="8" t="s">
        <v>36</v>
      </c>
      <c r="Q115" s="8"/>
      <c r="R115" s="8">
        <f t="shared" si="19"/>
        <v>-0.73496699999999993</v>
      </c>
      <c r="S115" s="8"/>
      <c r="T115" s="17">
        <v>-16.7</v>
      </c>
      <c r="U115" s="17" t="s">
        <v>258</v>
      </c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 t="s">
        <v>884</v>
      </c>
      <c r="AK115" s="3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  <c r="BE115" s="8"/>
      <c r="BF115" s="8"/>
      <c r="BG115" s="8"/>
      <c r="BH115" s="8"/>
      <c r="BI115" s="8"/>
      <c r="BJ115" s="8"/>
    </row>
    <row r="116" spans="1:62" s="1" customFormat="1" x14ac:dyDescent="0.3">
      <c r="A116" s="8" t="s">
        <v>253</v>
      </c>
      <c r="B116" s="8" t="s">
        <v>27</v>
      </c>
      <c r="C116" s="8" t="s">
        <v>27</v>
      </c>
      <c r="D116" s="8" t="s">
        <v>28</v>
      </c>
      <c r="E116" s="8" t="s">
        <v>268</v>
      </c>
      <c r="F116" s="8" t="s">
        <v>200</v>
      </c>
      <c r="G116" s="34">
        <v>2005</v>
      </c>
      <c r="H116" s="34" t="s">
        <v>255</v>
      </c>
      <c r="I116" s="59">
        <v>52.181666669999998</v>
      </c>
      <c r="J116" s="59">
        <v>-75.873888890000003</v>
      </c>
      <c r="K116" s="3">
        <v>155</v>
      </c>
      <c r="L116" s="8"/>
      <c r="M116" s="8"/>
      <c r="N116" s="8" t="s">
        <v>262</v>
      </c>
      <c r="O116" s="8"/>
      <c r="P116" s="8" t="s">
        <v>36</v>
      </c>
      <c r="Q116" s="8"/>
      <c r="R116" s="8">
        <f t="shared" si="19"/>
        <v>-0.66455099999999989</v>
      </c>
      <c r="S116" s="8"/>
      <c r="T116" s="17">
        <v>-15.1</v>
      </c>
      <c r="U116" s="17" t="s">
        <v>258</v>
      </c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 t="s">
        <v>884</v>
      </c>
      <c r="AK116" s="3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  <c r="BE116" s="8"/>
      <c r="BF116" s="8"/>
      <c r="BG116" s="8"/>
      <c r="BH116" s="8"/>
      <c r="BI116" s="8"/>
      <c r="BJ116" s="8"/>
    </row>
    <row r="117" spans="1:62" s="1" customFormat="1" x14ac:dyDescent="0.3">
      <c r="A117" s="8" t="s">
        <v>253</v>
      </c>
      <c r="B117" s="8" t="s">
        <v>27</v>
      </c>
      <c r="C117" s="8" t="s">
        <v>27</v>
      </c>
      <c r="D117" s="8" t="s">
        <v>28</v>
      </c>
      <c r="E117" s="8" t="s">
        <v>266</v>
      </c>
      <c r="F117" s="8" t="s">
        <v>200</v>
      </c>
      <c r="G117" s="34">
        <v>2006</v>
      </c>
      <c r="H117" s="34" t="s">
        <v>255</v>
      </c>
      <c r="I117" s="59">
        <v>52.181666669999998</v>
      </c>
      <c r="J117" s="59">
        <v>-75.873888890000003</v>
      </c>
      <c r="K117" s="3">
        <v>155</v>
      </c>
      <c r="L117" s="8"/>
      <c r="M117" s="8"/>
      <c r="N117" s="8" t="s">
        <v>262</v>
      </c>
      <c r="O117" s="8"/>
      <c r="P117" s="8" t="s">
        <v>36</v>
      </c>
      <c r="Q117" s="8"/>
      <c r="R117" s="8">
        <f t="shared" si="19"/>
        <v>-1.5623549999999997</v>
      </c>
      <c r="S117" s="8"/>
      <c r="T117" s="17">
        <v>-35.5</v>
      </c>
      <c r="U117" s="17" t="s">
        <v>258</v>
      </c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 t="s">
        <v>884</v>
      </c>
      <c r="AK117" s="3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  <c r="BE117" s="8"/>
      <c r="BF117" s="8"/>
      <c r="BG117" s="8"/>
      <c r="BH117" s="8"/>
      <c r="BI117" s="8"/>
      <c r="BJ117" s="8"/>
    </row>
    <row r="118" spans="1:62" s="1" customFormat="1" x14ac:dyDescent="0.3">
      <c r="A118" s="8" t="s">
        <v>253</v>
      </c>
      <c r="B118" s="8" t="s">
        <v>27</v>
      </c>
      <c r="C118" s="8" t="s">
        <v>27</v>
      </c>
      <c r="D118" s="8" t="s">
        <v>28</v>
      </c>
      <c r="E118" s="8" t="s">
        <v>267</v>
      </c>
      <c r="F118" s="8" t="s">
        <v>200</v>
      </c>
      <c r="G118" s="34">
        <v>2006</v>
      </c>
      <c r="H118" s="34" t="s">
        <v>255</v>
      </c>
      <c r="I118" s="59">
        <v>52.181666669999998</v>
      </c>
      <c r="J118" s="59">
        <v>-75.873888890000003</v>
      </c>
      <c r="K118" s="3">
        <v>155</v>
      </c>
      <c r="L118" s="8"/>
      <c r="M118" s="8"/>
      <c r="N118" s="8" t="s">
        <v>262</v>
      </c>
      <c r="O118" s="8"/>
      <c r="P118" s="8" t="s">
        <v>36</v>
      </c>
      <c r="Q118" s="8"/>
      <c r="R118" s="8">
        <f t="shared" si="19"/>
        <v>-0.81418499999999994</v>
      </c>
      <c r="S118" s="8"/>
      <c r="T118" s="17">
        <v>-18.5</v>
      </c>
      <c r="U118" s="17" t="s">
        <v>258</v>
      </c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 t="s">
        <v>884</v>
      </c>
      <c r="AK118" s="3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  <c r="BE118" s="8"/>
      <c r="BF118" s="8"/>
      <c r="BG118" s="8"/>
      <c r="BH118" s="8"/>
      <c r="BI118" s="8"/>
      <c r="BJ118" s="8"/>
    </row>
    <row r="119" spans="1:62" s="1" customFormat="1" x14ac:dyDescent="0.3">
      <c r="A119" s="8" t="s">
        <v>253</v>
      </c>
      <c r="B119" s="8" t="s">
        <v>27</v>
      </c>
      <c r="C119" s="8" t="s">
        <v>27</v>
      </c>
      <c r="D119" s="8" t="s">
        <v>28</v>
      </c>
      <c r="E119" s="8" t="s">
        <v>268</v>
      </c>
      <c r="F119" s="8" t="s">
        <v>200</v>
      </c>
      <c r="G119" s="34">
        <v>2006</v>
      </c>
      <c r="H119" s="34" t="s">
        <v>255</v>
      </c>
      <c r="I119" s="59">
        <v>52.181666669999998</v>
      </c>
      <c r="J119" s="59">
        <v>-75.873888890000003</v>
      </c>
      <c r="K119" s="3">
        <v>155</v>
      </c>
      <c r="L119" s="8"/>
      <c r="M119" s="8"/>
      <c r="N119" s="8" t="s">
        <v>262</v>
      </c>
      <c r="O119" s="8"/>
      <c r="P119" s="8" t="s">
        <v>36</v>
      </c>
      <c r="Q119" s="8"/>
      <c r="R119" s="8">
        <f t="shared" si="19"/>
        <v>-1.10025</v>
      </c>
      <c r="S119" s="8"/>
      <c r="T119" s="17">
        <v>-25</v>
      </c>
      <c r="U119" s="17" t="s">
        <v>258</v>
      </c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 t="s">
        <v>884</v>
      </c>
      <c r="AK119" s="3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  <c r="BE119" s="8"/>
      <c r="BF119" s="8"/>
      <c r="BG119" s="8"/>
      <c r="BH119" s="8"/>
      <c r="BI119" s="8"/>
      <c r="BJ119" s="8"/>
    </row>
    <row r="120" spans="1:62" s="1" customFormat="1" x14ac:dyDescent="0.3">
      <c r="A120" s="8" t="s">
        <v>696</v>
      </c>
      <c r="B120" s="8" t="s">
        <v>27</v>
      </c>
      <c r="C120" s="8" t="s">
        <v>27</v>
      </c>
      <c r="D120" s="8" t="s">
        <v>28</v>
      </c>
      <c r="E120" s="8" t="s">
        <v>686</v>
      </c>
      <c r="F120" s="8" t="s">
        <v>200</v>
      </c>
      <c r="G120" s="34" t="s">
        <v>697</v>
      </c>
      <c r="H120" s="34" t="s">
        <v>584</v>
      </c>
      <c r="I120" s="59">
        <v>52.290277779999997</v>
      </c>
      <c r="J120" s="59">
        <v>-75.837500000000006</v>
      </c>
      <c r="K120" s="3">
        <v>154</v>
      </c>
      <c r="L120" s="8"/>
      <c r="M120" s="8" t="s">
        <v>178</v>
      </c>
      <c r="N120" s="8" t="s">
        <v>698</v>
      </c>
      <c r="O120" s="8"/>
      <c r="P120" s="8" t="s">
        <v>85</v>
      </c>
      <c r="Q120" s="8" t="s">
        <v>699</v>
      </c>
      <c r="R120" s="8"/>
      <c r="S120" s="24">
        <f>(W120+(365-K120))/K120*5</f>
        <v>-2.1912431650430935</v>
      </c>
      <c r="T120" s="8" t="s">
        <v>582</v>
      </c>
      <c r="U120" s="8"/>
      <c r="V120" s="8"/>
      <c r="W120" s="8">
        <f>AVERAGE(W121:W125)</f>
        <v>-278.49028948332727</v>
      </c>
      <c r="X120" s="17"/>
      <c r="Y120" s="17"/>
      <c r="Z120" s="26" t="s">
        <v>576</v>
      </c>
      <c r="AA120" s="26"/>
      <c r="AB120" s="26">
        <f>W120-(365-K120)</f>
        <v>-489.49028948332727</v>
      </c>
      <c r="AC120" s="26">
        <f>W120</f>
        <v>-278.49028948332727</v>
      </c>
      <c r="AD120" s="8"/>
      <c r="AE120" s="8"/>
      <c r="AF120" s="5">
        <f t="shared" ref="AF120:AF129" si="20">AG120/0.2729</f>
        <v>751.19091242213267</v>
      </c>
      <c r="AG120" s="17">
        <v>205</v>
      </c>
      <c r="AH120" s="17" t="s">
        <v>638</v>
      </c>
      <c r="AI120" s="8"/>
      <c r="AJ120" s="8" t="s">
        <v>881</v>
      </c>
      <c r="AK120" s="3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  <c r="BE120" s="8"/>
      <c r="BF120" s="8"/>
      <c r="BG120" s="8"/>
      <c r="BH120" s="8"/>
      <c r="BI120" s="8"/>
      <c r="BJ120" s="8"/>
    </row>
    <row r="121" spans="1:62" s="1" customFormat="1" x14ac:dyDescent="0.3">
      <c r="A121" s="8" t="s">
        <v>696</v>
      </c>
      <c r="B121" s="8" t="s">
        <v>27</v>
      </c>
      <c r="C121" s="8" t="s">
        <v>27</v>
      </c>
      <c r="D121" s="8" t="s">
        <v>28</v>
      </c>
      <c r="E121" s="8" t="s">
        <v>686</v>
      </c>
      <c r="F121" s="8" t="s">
        <v>200</v>
      </c>
      <c r="G121" s="34" t="s">
        <v>603</v>
      </c>
      <c r="H121" s="34" t="s">
        <v>584</v>
      </c>
      <c r="I121" s="59">
        <v>52.290277779999997</v>
      </c>
      <c r="J121" s="59">
        <v>-75.837500000000006</v>
      </c>
      <c r="K121" s="3">
        <v>154</v>
      </c>
      <c r="L121" s="8"/>
      <c r="M121" s="8" t="s">
        <v>178</v>
      </c>
      <c r="N121" s="8" t="s">
        <v>698</v>
      </c>
      <c r="O121" s="8"/>
      <c r="P121" s="8" t="s">
        <v>85</v>
      </c>
      <c r="Q121" s="8" t="s">
        <v>699</v>
      </c>
      <c r="R121" s="8"/>
      <c r="S121" s="8"/>
      <c r="T121" s="8"/>
      <c r="U121" s="8"/>
      <c r="V121" s="8"/>
      <c r="W121" s="8">
        <f>X121/0.2729</f>
        <v>-461.70758519604254</v>
      </c>
      <c r="X121" s="17">
        <v>-126</v>
      </c>
      <c r="Y121" s="17" t="s">
        <v>638</v>
      </c>
      <c r="Z121" s="26" t="s">
        <v>576</v>
      </c>
      <c r="AA121" s="26"/>
      <c r="AB121" s="26"/>
      <c r="AC121" s="26"/>
      <c r="AD121" s="8"/>
      <c r="AE121" s="8"/>
      <c r="AF121" s="5">
        <f t="shared" si="20"/>
        <v>751.19091242213267</v>
      </c>
      <c r="AG121" s="17">
        <v>205</v>
      </c>
      <c r="AH121" s="17" t="s">
        <v>638</v>
      </c>
      <c r="AI121" s="8"/>
      <c r="AJ121" s="8" t="s">
        <v>884</v>
      </c>
      <c r="AK121" s="3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  <c r="BE121" s="8"/>
      <c r="BF121" s="8"/>
      <c r="BG121" s="8"/>
      <c r="BH121" s="8"/>
      <c r="BI121" s="8"/>
      <c r="BJ121" s="8"/>
    </row>
    <row r="122" spans="1:62" s="1" customFormat="1" x14ac:dyDescent="0.3">
      <c r="A122" s="8" t="s">
        <v>696</v>
      </c>
      <c r="B122" s="8" t="s">
        <v>27</v>
      </c>
      <c r="C122" s="8" t="s">
        <v>27</v>
      </c>
      <c r="D122" s="8" t="s">
        <v>28</v>
      </c>
      <c r="E122" s="8" t="s">
        <v>686</v>
      </c>
      <c r="F122" s="8" t="s">
        <v>200</v>
      </c>
      <c r="G122" s="34" t="s">
        <v>604</v>
      </c>
      <c r="H122" s="34" t="s">
        <v>584</v>
      </c>
      <c r="I122" s="59">
        <v>52.290277779999997</v>
      </c>
      <c r="J122" s="59">
        <v>-75.837500000000006</v>
      </c>
      <c r="K122" s="3">
        <v>154</v>
      </c>
      <c r="L122" s="8"/>
      <c r="M122" s="8" t="s">
        <v>178</v>
      </c>
      <c r="N122" s="8" t="s">
        <v>698</v>
      </c>
      <c r="O122" s="8"/>
      <c r="P122" s="8" t="s">
        <v>85</v>
      </c>
      <c r="Q122" s="8" t="s">
        <v>699</v>
      </c>
      <c r="R122" s="8"/>
      <c r="S122" s="8"/>
      <c r="T122" s="8"/>
      <c r="U122" s="8"/>
      <c r="V122" s="8"/>
      <c r="W122" s="8">
        <f t="shared" ref="W122:W125" si="21">X122/0.2729</f>
        <v>-344.44851593990478</v>
      </c>
      <c r="X122" s="17">
        <v>-94</v>
      </c>
      <c r="Y122" s="17" t="s">
        <v>638</v>
      </c>
      <c r="Z122" s="26" t="s">
        <v>576</v>
      </c>
      <c r="AA122" s="26"/>
      <c r="AB122" s="26"/>
      <c r="AC122" s="26"/>
      <c r="AD122" s="8"/>
      <c r="AE122" s="8"/>
      <c r="AF122" s="5">
        <f t="shared" si="20"/>
        <v>582.63100036643459</v>
      </c>
      <c r="AG122" s="17">
        <v>159</v>
      </c>
      <c r="AH122" s="17" t="s">
        <v>638</v>
      </c>
      <c r="AI122" s="8"/>
      <c r="AJ122" s="8" t="s">
        <v>884</v>
      </c>
      <c r="AK122" s="3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  <c r="BE122" s="8"/>
      <c r="BF122" s="8"/>
      <c r="BG122" s="8"/>
      <c r="BH122" s="8"/>
      <c r="BI122" s="8"/>
      <c r="BJ122" s="8"/>
    </row>
    <row r="123" spans="1:62" s="1" customFormat="1" x14ac:dyDescent="0.3">
      <c r="A123" s="8" t="s">
        <v>696</v>
      </c>
      <c r="B123" s="8" t="s">
        <v>27</v>
      </c>
      <c r="C123" s="8" t="s">
        <v>27</v>
      </c>
      <c r="D123" s="8" t="s">
        <v>28</v>
      </c>
      <c r="E123" s="8" t="s">
        <v>686</v>
      </c>
      <c r="F123" s="8" t="s">
        <v>200</v>
      </c>
      <c r="G123" s="34" t="s">
        <v>605</v>
      </c>
      <c r="H123" s="34" t="s">
        <v>584</v>
      </c>
      <c r="I123" s="59">
        <v>52.290277779999997</v>
      </c>
      <c r="J123" s="59">
        <v>-75.837500000000006</v>
      </c>
      <c r="K123" s="3">
        <v>154</v>
      </c>
      <c r="L123" s="8"/>
      <c r="M123" s="8" t="s">
        <v>178</v>
      </c>
      <c r="N123" s="8" t="s">
        <v>698</v>
      </c>
      <c r="O123" s="8"/>
      <c r="P123" s="8" t="s">
        <v>85</v>
      </c>
      <c r="Q123" s="8" t="s">
        <v>699</v>
      </c>
      <c r="R123" s="8"/>
      <c r="S123" s="8"/>
      <c r="T123" s="8"/>
      <c r="U123" s="8"/>
      <c r="V123" s="8"/>
      <c r="W123" s="8">
        <f t="shared" si="21"/>
        <v>-329.79113228288753</v>
      </c>
      <c r="X123" s="17">
        <v>-90</v>
      </c>
      <c r="Y123" s="17" t="s">
        <v>638</v>
      </c>
      <c r="Z123" s="26" t="s">
        <v>576</v>
      </c>
      <c r="AA123" s="26"/>
      <c r="AB123" s="26"/>
      <c r="AC123" s="26"/>
      <c r="AD123" s="8"/>
      <c r="AE123" s="8"/>
      <c r="AF123" s="5">
        <f t="shared" si="20"/>
        <v>644.92488090875781</v>
      </c>
      <c r="AG123" s="17">
        <v>176</v>
      </c>
      <c r="AH123" s="17" t="s">
        <v>638</v>
      </c>
      <c r="AI123" s="8"/>
      <c r="AJ123" s="8" t="s">
        <v>884</v>
      </c>
      <c r="AK123" s="3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  <c r="BE123" s="8"/>
      <c r="BF123" s="8"/>
      <c r="BG123" s="8"/>
      <c r="BH123" s="8"/>
      <c r="BI123" s="8"/>
      <c r="BJ123" s="8"/>
    </row>
    <row r="124" spans="1:62" s="1" customFormat="1" x14ac:dyDescent="0.3">
      <c r="A124" s="8" t="s">
        <v>696</v>
      </c>
      <c r="B124" s="8" t="s">
        <v>27</v>
      </c>
      <c r="C124" s="8" t="s">
        <v>27</v>
      </c>
      <c r="D124" s="8" t="s">
        <v>28</v>
      </c>
      <c r="E124" s="8" t="s">
        <v>686</v>
      </c>
      <c r="F124" s="8" t="s">
        <v>200</v>
      </c>
      <c r="G124" s="34" t="s">
        <v>94</v>
      </c>
      <c r="H124" s="34" t="s">
        <v>584</v>
      </c>
      <c r="I124" s="59">
        <v>52.290277779999997</v>
      </c>
      <c r="J124" s="59">
        <v>-75.837500000000006</v>
      </c>
      <c r="K124" s="3">
        <v>154</v>
      </c>
      <c r="L124" s="8"/>
      <c r="M124" s="8" t="s">
        <v>178</v>
      </c>
      <c r="N124" s="8" t="s">
        <v>698</v>
      </c>
      <c r="O124" s="8"/>
      <c r="P124" s="8" t="s">
        <v>85</v>
      </c>
      <c r="Q124" s="8" t="s">
        <v>699</v>
      </c>
      <c r="R124" s="8"/>
      <c r="S124" s="8"/>
      <c r="T124" s="8"/>
      <c r="U124" s="8"/>
      <c r="V124" s="8"/>
      <c r="W124" s="8">
        <f t="shared" si="21"/>
        <v>-102.60168559912057</v>
      </c>
      <c r="X124" s="17">
        <v>-28</v>
      </c>
      <c r="Y124" s="17" t="s">
        <v>638</v>
      </c>
      <c r="Z124" s="26" t="s">
        <v>576</v>
      </c>
      <c r="AA124" s="26"/>
      <c r="AB124" s="26"/>
      <c r="AC124" s="26"/>
      <c r="AD124" s="8"/>
      <c r="AE124" s="8"/>
      <c r="AF124" s="5">
        <f t="shared" si="20"/>
        <v>534.99450348112862</v>
      </c>
      <c r="AG124" s="17">
        <v>146</v>
      </c>
      <c r="AH124" s="17" t="s">
        <v>638</v>
      </c>
      <c r="AI124" s="8"/>
      <c r="AJ124" s="8" t="s">
        <v>884</v>
      </c>
      <c r="AK124" s="3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  <c r="BE124" s="8"/>
      <c r="BF124" s="8"/>
      <c r="BG124" s="8"/>
      <c r="BH124" s="8"/>
      <c r="BI124" s="8"/>
      <c r="BJ124" s="8"/>
    </row>
    <row r="125" spans="1:62" s="1" customFormat="1" x14ac:dyDescent="0.3">
      <c r="A125" s="8" t="s">
        <v>696</v>
      </c>
      <c r="B125" s="8" t="s">
        <v>27</v>
      </c>
      <c r="C125" s="8" t="s">
        <v>27</v>
      </c>
      <c r="D125" s="8" t="s">
        <v>28</v>
      </c>
      <c r="E125" s="8" t="s">
        <v>686</v>
      </c>
      <c r="F125" s="8" t="s">
        <v>200</v>
      </c>
      <c r="G125" s="34" t="s">
        <v>99</v>
      </c>
      <c r="H125" s="34" t="s">
        <v>584</v>
      </c>
      <c r="I125" s="59">
        <v>52.290277779999997</v>
      </c>
      <c r="J125" s="59">
        <v>-75.837500000000006</v>
      </c>
      <c r="K125" s="3">
        <v>154</v>
      </c>
      <c r="L125" s="8"/>
      <c r="M125" s="8" t="s">
        <v>178</v>
      </c>
      <c r="N125" s="8" t="s">
        <v>698</v>
      </c>
      <c r="O125" s="8"/>
      <c r="P125" s="8" t="s">
        <v>85</v>
      </c>
      <c r="Q125" s="8" t="s">
        <v>699</v>
      </c>
      <c r="R125" s="8"/>
      <c r="S125" s="8"/>
      <c r="T125" s="8"/>
      <c r="U125" s="8"/>
      <c r="V125" s="8"/>
      <c r="W125" s="8">
        <f t="shared" si="21"/>
        <v>-153.90252839868086</v>
      </c>
      <c r="X125" s="17">
        <v>-42</v>
      </c>
      <c r="Y125" s="17" t="s">
        <v>638</v>
      </c>
      <c r="Z125" s="26" t="s">
        <v>576</v>
      </c>
      <c r="AA125" s="26"/>
      <c r="AB125" s="26"/>
      <c r="AC125" s="26"/>
      <c r="AD125" s="8"/>
      <c r="AE125" s="8"/>
      <c r="AF125" s="5">
        <f t="shared" si="20"/>
        <v>505.67973616709423</v>
      </c>
      <c r="AG125" s="17">
        <v>138</v>
      </c>
      <c r="AH125" s="17" t="s">
        <v>638</v>
      </c>
      <c r="AI125" s="8"/>
      <c r="AJ125" s="8" t="s">
        <v>884</v>
      </c>
      <c r="AK125" s="3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  <c r="BE125" s="8"/>
      <c r="BF125" s="8"/>
      <c r="BG125" s="8"/>
      <c r="BH125" s="8"/>
      <c r="BI125" s="8"/>
      <c r="BJ125" s="8"/>
    </row>
    <row r="126" spans="1:62" s="1" customFormat="1" x14ac:dyDescent="0.3">
      <c r="A126" s="8" t="s">
        <v>248</v>
      </c>
      <c r="B126" s="8" t="s">
        <v>27</v>
      </c>
      <c r="C126" s="8" t="s">
        <v>27</v>
      </c>
      <c r="D126" s="8" t="s">
        <v>28</v>
      </c>
      <c r="E126" s="8" t="s">
        <v>249</v>
      </c>
      <c r="F126" s="8" t="s">
        <v>200</v>
      </c>
      <c r="G126" s="34">
        <v>2005</v>
      </c>
      <c r="H126" s="34" t="s">
        <v>250</v>
      </c>
      <c r="I126" s="59">
        <v>52.181666669999998</v>
      </c>
      <c r="J126" s="59">
        <v>-75.873888890000003</v>
      </c>
      <c r="K126" s="3">
        <v>155</v>
      </c>
      <c r="L126" s="8"/>
      <c r="M126" s="8"/>
      <c r="N126" s="8"/>
      <c r="O126" s="8"/>
      <c r="P126" s="8" t="s">
        <v>36</v>
      </c>
      <c r="Q126" s="8"/>
      <c r="R126" s="8">
        <f>T126/0.2729/1000</f>
        <v>-0.43972150971051671</v>
      </c>
      <c r="S126" s="8"/>
      <c r="T126" s="17">
        <v>-120</v>
      </c>
      <c r="U126" s="17" t="s">
        <v>251</v>
      </c>
      <c r="V126" s="9">
        <f>R126*K126/5</f>
        <v>-13.631366801026019</v>
      </c>
      <c r="W126" s="8"/>
      <c r="X126" s="17"/>
      <c r="Y126" s="17"/>
      <c r="Z126" s="9" t="s">
        <v>572</v>
      </c>
      <c r="AA126" s="9">
        <f>0.9*(365-K126)</f>
        <v>189</v>
      </c>
      <c r="AB126" s="9">
        <f>V126</f>
        <v>-13.631366801026019</v>
      </c>
      <c r="AC126" s="9">
        <f>V126+AA126</f>
        <v>175.36863319897398</v>
      </c>
      <c r="AD126" s="8"/>
      <c r="AE126" s="8"/>
      <c r="AF126" s="8"/>
      <c r="AG126" s="8"/>
      <c r="AH126" s="8"/>
      <c r="AI126" s="8"/>
      <c r="AJ126" s="8" t="s">
        <v>881</v>
      </c>
      <c r="AK126" s="3" t="s">
        <v>700</v>
      </c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  <c r="BE126" s="8"/>
      <c r="BF126" s="8"/>
      <c r="BG126" s="8"/>
      <c r="BH126" s="8"/>
      <c r="BI126" s="8"/>
      <c r="BJ126" s="8"/>
    </row>
    <row r="127" spans="1:62" s="1" customFormat="1" x14ac:dyDescent="0.3">
      <c r="A127" s="8" t="s">
        <v>701</v>
      </c>
      <c r="B127" s="8" t="s">
        <v>27</v>
      </c>
      <c r="C127" s="8" t="s">
        <v>27</v>
      </c>
      <c r="D127" s="8" t="s">
        <v>240</v>
      </c>
      <c r="E127" s="8" t="s">
        <v>702</v>
      </c>
      <c r="F127" s="8" t="s">
        <v>200</v>
      </c>
      <c r="G127" s="34" t="s">
        <v>703</v>
      </c>
      <c r="H127" s="34" t="s">
        <v>704</v>
      </c>
      <c r="I127" s="59">
        <v>48.264000000000003</v>
      </c>
      <c r="J127" s="59">
        <v>-58.664999999999999</v>
      </c>
      <c r="K127" s="8">
        <v>194</v>
      </c>
      <c r="L127" s="8">
        <v>223</v>
      </c>
      <c r="M127" s="8" t="s">
        <v>705</v>
      </c>
      <c r="N127" s="8" t="s">
        <v>706</v>
      </c>
      <c r="O127" s="8"/>
      <c r="P127" s="8" t="s">
        <v>85</v>
      </c>
      <c r="Q127" s="8" t="s">
        <v>707</v>
      </c>
      <c r="R127" s="8"/>
      <c r="S127" s="8"/>
      <c r="T127" s="8"/>
      <c r="U127" s="8"/>
      <c r="V127" s="8"/>
      <c r="W127" s="8">
        <f>X127/0.2729</f>
        <v>-384.75632099670213</v>
      </c>
      <c r="X127" s="17">
        <v>-105</v>
      </c>
      <c r="Y127" s="17" t="s">
        <v>577</v>
      </c>
      <c r="Z127" s="25" t="s">
        <v>572</v>
      </c>
      <c r="AA127" s="25"/>
      <c r="AB127" s="25"/>
      <c r="AC127" s="25"/>
      <c r="AD127" s="8"/>
      <c r="AE127" s="8"/>
      <c r="AF127" s="5">
        <f t="shared" si="20"/>
        <v>1377.7940637596191</v>
      </c>
      <c r="AG127" s="17">
        <v>376</v>
      </c>
      <c r="AH127" s="17" t="s">
        <v>577</v>
      </c>
      <c r="AI127" s="8"/>
      <c r="AJ127" s="8" t="s">
        <v>884</v>
      </c>
      <c r="AK127" s="3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  <c r="BE127" s="8"/>
      <c r="BF127" s="8"/>
      <c r="BG127" s="8"/>
      <c r="BH127" s="8"/>
      <c r="BI127" s="8"/>
      <c r="BJ127" s="8"/>
    </row>
    <row r="128" spans="1:62" s="1" customFormat="1" x14ac:dyDescent="0.3">
      <c r="A128" s="8" t="s">
        <v>701</v>
      </c>
      <c r="B128" s="8" t="s">
        <v>27</v>
      </c>
      <c r="C128" s="8" t="s">
        <v>27</v>
      </c>
      <c r="D128" s="8" t="s">
        <v>240</v>
      </c>
      <c r="E128" s="8" t="s">
        <v>702</v>
      </c>
      <c r="F128" s="8" t="s">
        <v>200</v>
      </c>
      <c r="G128" s="34" t="s">
        <v>703</v>
      </c>
      <c r="H128" s="34" t="s">
        <v>708</v>
      </c>
      <c r="I128" s="59">
        <v>48.264000000000003</v>
      </c>
      <c r="J128" s="59">
        <v>-58.664999999999999</v>
      </c>
      <c r="K128" s="8">
        <v>194</v>
      </c>
      <c r="L128" s="8"/>
      <c r="M128" s="8" t="s">
        <v>705</v>
      </c>
      <c r="N128" s="8" t="s">
        <v>706</v>
      </c>
      <c r="O128" s="8"/>
      <c r="P128" s="8" t="s">
        <v>85</v>
      </c>
      <c r="Q128" s="8" t="s">
        <v>707</v>
      </c>
      <c r="R128" s="8"/>
      <c r="S128" s="8"/>
      <c r="T128" s="8"/>
      <c r="U128" s="8"/>
      <c r="V128" s="8"/>
      <c r="W128" s="8">
        <f>X128/0.2729</f>
        <v>216.19640894100405</v>
      </c>
      <c r="X128" s="17">
        <v>59</v>
      </c>
      <c r="Y128" s="17" t="s">
        <v>577</v>
      </c>
      <c r="Z128" s="25" t="s">
        <v>572</v>
      </c>
      <c r="AA128" s="25"/>
      <c r="AB128" s="25"/>
      <c r="AC128" s="25"/>
      <c r="AD128" s="8"/>
      <c r="AE128" s="8"/>
      <c r="AF128" s="5">
        <f t="shared" si="20"/>
        <v>230.85379259802127</v>
      </c>
      <c r="AG128" s="17">
        <v>63</v>
      </c>
      <c r="AH128" s="17" t="s">
        <v>577</v>
      </c>
      <c r="AI128" s="8"/>
      <c r="AJ128" s="8" t="s">
        <v>884</v>
      </c>
      <c r="AK128" s="3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  <c r="BE128" s="8"/>
      <c r="BF128" s="8"/>
      <c r="BG128" s="8"/>
      <c r="BH128" s="8"/>
      <c r="BI128" s="8"/>
      <c r="BJ128" s="8"/>
    </row>
    <row r="129" spans="1:62" s="1" customFormat="1" x14ac:dyDescent="0.3">
      <c r="A129" s="8" t="s">
        <v>701</v>
      </c>
      <c r="B129" s="8" t="s">
        <v>27</v>
      </c>
      <c r="C129" s="8" t="s">
        <v>27</v>
      </c>
      <c r="D129" s="8" t="s">
        <v>240</v>
      </c>
      <c r="E129" s="8" t="s">
        <v>702</v>
      </c>
      <c r="F129" s="8" t="s">
        <v>200</v>
      </c>
      <c r="G129" s="34" t="s">
        <v>703</v>
      </c>
      <c r="H129" s="34" t="s">
        <v>709</v>
      </c>
      <c r="I129" s="59">
        <v>48.264000000000003</v>
      </c>
      <c r="J129" s="59">
        <v>-58.664999999999999</v>
      </c>
      <c r="K129" s="3">
        <v>194</v>
      </c>
      <c r="L129" s="8"/>
      <c r="M129" s="8" t="s">
        <v>705</v>
      </c>
      <c r="N129" s="8" t="s">
        <v>706</v>
      </c>
      <c r="O129" s="8"/>
      <c r="P129" s="8" t="s">
        <v>85</v>
      </c>
      <c r="Q129" s="8" t="s">
        <v>707</v>
      </c>
      <c r="R129" s="8">
        <f>T129*0.000001*86400</f>
        <v>-0.248832</v>
      </c>
      <c r="S129" s="8"/>
      <c r="T129" s="17">
        <v>-2.88</v>
      </c>
      <c r="U129" s="17" t="s">
        <v>710</v>
      </c>
      <c r="V129" s="8"/>
      <c r="W129" s="8">
        <f>X129/0.2729</f>
        <v>-168.55991205569808</v>
      </c>
      <c r="X129" s="17">
        <v>-46</v>
      </c>
      <c r="Y129" s="17" t="s">
        <v>646</v>
      </c>
      <c r="Z129" s="26" t="s">
        <v>576</v>
      </c>
      <c r="AA129" s="26"/>
      <c r="AB129" s="26">
        <f>W129-(365-K129)</f>
        <v>-339.55991205569808</v>
      </c>
      <c r="AC129" s="26">
        <f>W129</f>
        <v>-168.55991205569808</v>
      </c>
      <c r="AD129" s="8"/>
      <c r="AE129" s="8"/>
      <c r="AF129" s="5">
        <f t="shared" si="20"/>
        <v>1608.6478563576402</v>
      </c>
      <c r="AG129" s="17">
        <v>439</v>
      </c>
      <c r="AH129" s="17" t="s">
        <v>577</v>
      </c>
      <c r="AI129" s="8"/>
      <c r="AJ129" s="8" t="s">
        <v>881</v>
      </c>
      <c r="AK129" s="3" t="s">
        <v>711</v>
      </c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  <c r="BE129" s="8"/>
      <c r="BF129" s="8"/>
      <c r="BG129" s="8"/>
      <c r="BH129" s="8"/>
      <c r="BI129" s="8"/>
      <c r="BJ129" s="8"/>
    </row>
    <row r="130" spans="1:62" s="1" customFormat="1" x14ac:dyDescent="0.3">
      <c r="A130" s="32" t="s">
        <v>712</v>
      </c>
      <c r="B130" s="8" t="s">
        <v>27</v>
      </c>
      <c r="C130" s="8" t="s">
        <v>27</v>
      </c>
      <c r="D130" s="8" t="s">
        <v>713</v>
      </c>
      <c r="E130" s="8" t="s">
        <v>714</v>
      </c>
      <c r="F130" s="8" t="s">
        <v>272</v>
      </c>
      <c r="G130" s="14">
        <v>2008</v>
      </c>
      <c r="H130" s="34" t="s">
        <v>715</v>
      </c>
      <c r="I130" s="58">
        <v>61.3</v>
      </c>
      <c r="J130" s="58">
        <v>-121.3</v>
      </c>
      <c r="K130" s="8">
        <v>140</v>
      </c>
      <c r="L130" s="8"/>
      <c r="M130" s="8" t="s">
        <v>716</v>
      </c>
      <c r="N130" s="8" t="s">
        <v>717</v>
      </c>
      <c r="O130" s="14"/>
      <c r="P130" s="8" t="s">
        <v>36</v>
      </c>
      <c r="Q130" s="15" t="s">
        <v>718</v>
      </c>
      <c r="R130" s="15">
        <f>T130/1000*86400</f>
        <v>2.9375999999999998</v>
      </c>
      <c r="S130" s="15"/>
      <c r="T130" s="17">
        <v>3.4000000000000002E-2</v>
      </c>
      <c r="U130" s="17" t="s">
        <v>612</v>
      </c>
      <c r="V130" s="17"/>
      <c r="W130" s="17"/>
      <c r="X130" s="8"/>
      <c r="Y130" s="17"/>
      <c r="Z130" s="17"/>
      <c r="AA130" s="17"/>
      <c r="AB130" s="17"/>
      <c r="AC130" s="17"/>
      <c r="AD130" s="8">
        <v>3.5999999999999997E-2</v>
      </c>
      <c r="AE130" s="8" t="s">
        <v>612</v>
      </c>
      <c r="AF130" s="8"/>
      <c r="AG130" s="8"/>
      <c r="AH130" s="8"/>
      <c r="AI130" s="8"/>
      <c r="AJ130" s="8" t="s">
        <v>883</v>
      </c>
      <c r="AK130" s="3" t="s">
        <v>719</v>
      </c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  <c r="BE130" s="8"/>
      <c r="BF130" s="8"/>
      <c r="BG130" s="8"/>
      <c r="BH130" s="8"/>
      <c r="BI130" s="8"/>
      <c r="BJ130" s="8"/>
    </row>
    <row r="131" spans="1:62" s="1" customFormat="1" x14ac:dyDescent="0.3">
      <c r="A131" s="8" t="s">
        <v>879</v>
      </c>
      <c r="B131" s="8" t="s">
        <v>27</v>
      </c>
      <c r="C131" s="8" t="s">
        <v>27</v>
      </c>
      <c r="D131" s="8" t="s">
        <v>713</v>
      </c>
      <c r="E131" s="8" t="s">
        <v>714</v>
      </c>
      <c r="F131" s="8" t="s">
        <v>272</v>
      </c>
      <c r="G131" s="34" t="s">
        <v>720</v>
      </c>
      <c r="H131" s="34" t="s">
        <v>721</v>
      </c>
      <c r="I131" s="58">
        <v>61.3</v>
      </c>
      <c r="J131" s="58">
        <v>-121.3</v>
      </c>
      <c r="K131" s="8">
        <v>140</v>
      </c>
      <c r="L131" s="8"/>
      <c r="M131" s="8"/>
      <c r="N131" s="8" t="s">
        <v>722</v>
      </c>
      <c r="O131" s="8"/>
      <c r="P131" s="8" t="s">
        <v>85</v>
      </c>
      <c r="Q131" s="8"/>
      <c r="R131" s="8">
        <f>T131</f>
        <v>-1.32</v>
      </c>
      <c r="S131" s="8"/>
      <c r="T131" s="8">
        <v>-1.32</v>
      </c>
      <c r="U131" s="8" t="s">
        <v>609</v>
      </c>
      <c r="V131" s="8"/>
      <c r="W131" s="8">
        <f>X131</f>
        <v>-71</v>
      </c>
      <c r="X131" s="8">
        <v>-71</v>
      </c>
      <c r="Y131" s="8" t="s">
        <v>624</v>
      </c>
      <c r="Z131" s="26" t="s">
        <v>576</v>
      </c>
      <c r="AA131" s="26"/>
      <c r="AB131" s="26">
        <f>W131-(365-K131)</f>
        <v>-296</v>
      </c>
      <c r="AC131" s="26">
        <f>W131</f>
        <v>-71</v>
      </c>
      <c r="AD131" s="8"/>
      <c r="AE131" s="8"/>
      <c r="AF131" s="8"/>
      <c r="AG131" s="8"/>
      <c r="AH131" s="8"/>
      <c r="AI131" s="8"/>
      <c r="AJ131" s="8" t="s">
        <v>881</v>
      </c>
      <c r="AK131" s="3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  <c r="BE131" s="8"/>
      <c r="BF131" s="8"/>
      <c r="BG131" s="8"/>
      <c r="BH131" s="8"/>
      <c r="BI131" s="8"/>
      <c r="BJ131" s="8"/>
    </row>
    <row r="132" spans="1:62" s="1" customFormat="1" x14ac:dyDescent="0.3">
      <c r="A132" s="8" t="s">
        <v>606</v>
      </c>
      <c r="B132" s="8" t="s">
        <v>301</v>
      </c>
      <c r="C132" s="8" t="s">
        <v>339</v>
      </c>
      <c r="D132" s="8" t="s">
        <v>74</v>
      </c>
      <c r="E132" s="8" t="s">
        <v>75</v>
      </c>
      <c r="F132" s="8" t="s">
        <v>76</v>
      </c>
      <c r="G132" s="14">
        <v>1999</v>
      </c>
      <c r="H132" s="34" t="s">
        <v>611</v>
      </c>
      <c r="I132" s="59">
        <v>45.4</v>
      </c>
      <c r="J132" s="59">
        <v>-75.5</v>
      </c>
      <c r="K132" s="8">
        <v>210</v>
      </c>
      <c r="L132" s="8"/>
      <c r="M132" s="8" t="s">
        <v>302</v>
      </c>
      <c r="N132" s="8"/>
      <c r="O132" s="14">
        <v>4.5</v>
      </c>
      <c r="P132" s="8" t="s">
        <v>36</v>
      </c>
      <c r="Q132" s="15" t="s">
        <v>723</v>
      </c>
      <c r="R132" s="8">
        <f>T132/1000*86400</f>
        <v>-15.551999999999998</v>
      </c>
      <c r="S132" s="8"/>
      <c r="T132" s="17">
        <v>-0.18</v>
      </c>
      <c r="U132" s="17" t="s">
        <v>612</v>
      </c>
      <c r="V132" s="8"/>
      <c r="W132" s="8"/>
      <c r="X132" s="8"/>
      <c r="Y132" s="8"/>
      <c r="Z132" s="8"/>
      <c r="AA132" s="8"/>
      <c r="AB132" s="8"/>
      <c r="AC132" s="8"/>
      <c r="AD132" s="8">
        <v>-7.0000000000000007E-2</v>
      </c>
      <c r="AE132" s="8" t="s">
        <v>573</v>
      </c>
      <c r="AF132" s="8"/>
      <c r="AG132" s="8"/>
      <c r="AH132" s="8"/>
      <c r="AI132" s="8"/>
      <c r="AJ132" s="8" t="s">
        <v>884</v>
      </c>
      <c r="AK132" s="3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  <c r="BE132" s="8"/>
      <c r="BF132" s="8"/>
      <c r="BG132" s="8"/>
      <c r="BH132" s="8"/>
      <c r="BI132" s="8"/>
      <c r="BJ132" s="8"/>
    </row>
    <row r="133" spans="1:62" s="1" customFormat="1" x14ac:dyDescent="0.3">
      <c r="A133" s="8" t="s">
        <v>606</v>
      </c>
      <c r="B133" s="8" t="s">
        <v>301</v>
      </c>
      <c r="C133" s="8" t="s">
        <v>339</v>
      </c>
      <c r="D133" s="8" t="s">
        <v>74</v>
      </c>
      <c r="E133" s="8" t="s">
        <v>75</v>
      </c>
      <c r="F133" s="8" t="s">
        <v>76</v>
      </c>
      <c r="G133" s="14">
        <v>1999</v>
      </c>
      <c r="H133" s="34" t="s">
        <v>613</v>
      </c>
      <c r="I133" s="59">
        <v>45.4</v>
      </c>
      <c r="J133" s="59">
        <v>-75.5</v>
      </c>
      <c r="K133" s="8">
        <v>210</v>
      </c>
      <c r="L133" s="8"/>
      <c r="M133" s="8" t="s">
        <v>724</v>
      </c>
      <c r="N133" s="8"/>
      <c r="O133" s="14">
        <v>4.5</v>
      </c>
      <c r="P133" s="8" t="s">
        <v>36</v>
      </c>
      <c r="Q133" s="15" t="s">
        <v>723</v>
      </c>
      <c r="R133" s="8">
        <f>T133/1000*86400</f>
        <v>-11.232000000000001</v>
      </c>
      <c r="S133" s="8"/>
      <c r="T133" s="17">
        <v>-0.13</v>
      </c>
      <c r="U133" s="17" t="s">
        <v>612</v>
      </c>
      <c r="V133" s="8"/>
      <c r="W133" s="8"/>
      <c r="X133" s="8"/>
      <c r="Y133" s="8"/>
      <c r="Z133" s="8"/>
      <c r="AA133" s="8"/>
      <c r="AB133" s="8"/>
      <c r="AC133" s="8"/>
      <c r="AD133" s="8">
        <v>-0.16</v>
      </c>
      <c r="AE133" s="8" t="s">
        <v>573</v>
      </c>
      <c r="AF133" s="8"/>
      <c r="AG133" s="8"/>
      <c r="AH133" s="8"/>
      <c r="AI133" s="8"/>
      <c r="AJ133" s="8" t="s">
        <v>884</v>
      </c>
      <c r="AK133" s="3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  <c r="BE133" s="8"/>
      <c r="BF133" s="8"/>
      <c r="BG133" s="8"/>
      <c r="BH133" s="8"/>
      <c r="BI133" s="8"/>
      <c r="BJ133" s="8"/>
    </row>
    <row r="134" spans="1:62" s="1" customFormat="1" x14ac:dyDescent="0.3">
      <c r="A134" s="8" t="s">
        <v>606</v>
      </c>
      <c r="B134" s="8" t="s">
        <v>301</v>
      </c>
      <c r="C134" s="8" t="s">
        <v>339</v>
      </c>
      <c r="D134" s="8" t="s">
        <v>74</v>
      </c>
      <c r="E134" s="8" t="s">
        <v>75</v>
      </c>
      <c r="F134" s="8" t="s">
        <v>76</v>
      </c>
      <c r="G134" s="14">
        <v>1999</v>
      </c>
      <c r="H134" s="34" t="s">
        <v>614</v>
      </c>
      <c r="I134" s="59">
        <v>45.4</v>
      </c>
      <c r="J134" s="59">
        <v>-75.5</v>
      </c>
      <c r="K134" s="8">
        <v>210</v>
      </c>
      <c r="L134" s="8"/>
      <c r="M134" s="8" t="s">
        <v>724</v>
      </c>
      <c r="N134" s="8"/>
      <c r="O134" s="14">
        <v>4.5</v>
      </c>
      <c r="P134" s="8" t="s">
        <v>36</v>
      </c>
      <c r="Q134" s="15" t="s">
        <v>723</v>
      </c>
      <c r="R134" s="8">
        <f>T134/1000*86400</f>
        <v>4.32</v>
      </c>
      <c r="S134" s="8"/>
      <c r="T134" s="17">
        <v>0.05</v>
      </c>
      <c r="U134" s="17" t="s">
        <v>612</v>
      </c>
      <c r="V134" s="8"/>
      <c r="W134" s="8"/>
      <c r="X134" s="8"/>
      <c r="Y134" s="8"/>
      <c r="Z134" s="8"/>
      <c r="AA134" s="8"/>
      <c r="AB134" s="8"/>
      <c r="AC134" s="8"/>
      <c r="AD134" s="8">
        <v>-0.25</v>
      </c>
      <c r="AE134" s="8" t="s">
        <v>573</v>
      </c>
      <c r="AF134" s="8"/>
      <c r="AG134" s="8"/>
      <c r="AH134" s="8"/>
      <c r="AI134" s="8"/>
      <c r="AJ134" s="8" t="s">
        <v>884</v>
      </c>
      <c r="AK134" s="3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  <c r="BE134" s="8"/>
      <c r="BF134" s="8"/>
      <c r="BG134" s="8"/>
      <c r="BH134" s="8"/>
      <c r="BI134" s="8"/>
      <c r="BJ134" s="8"/>
    </row>
    <row r="135" spans="1:62" s="1" customFormat="1" x14ac:dyDescent="0.3">
      <c r="A135" s="8" t="s">
        <v>606</v>
      </c>
      <c r="B135" s="8" t="s">
        <v>301</v>
      </c>
      <c r="C135" s="8" t="s">
        <v>339</v>
      </c>
      <c r="D135" s="8" t="s">
        <v>74</v>
      </c>
      <c r="E135" s="8" t="s">
        <v>75</v>
      </c>
      <c r="F135" s="8" t="s">
        <v>76</v>
      </c>
      <c r="G135" s="14">
        <v>1999</v>
      </c>
      <c r="H135" s="34" t="s">
        <v>725</v>
      </c>
      <c r="I135" s="59">
        <v>45.4</v>
      </c>
      <c r="J135" s="59">
        <v>-75.5</v>
      </c>
      <c r="K135" s="8">
        <v>210</v>
      </c>
      <c r="L135" s="8"/>
      <c r="M135" s="8" t="s">
        <v>724</v>
      </c>
      <c r="N135" s="8"/>
      <c r="O135" s="14">
        <v>4.5</v>
      </c>
      <c r="P135" s="8" t="s">
        <v>36</v>
      </c>
      <c r="Q135" s="15" t="s">
        <v>723</v>
      </c>
      <c r="R135" s="8">
        <f>AVERAGE(R132:R134)</f>
        <v>-7.4879999999999995</v>
      </c>
      <c r="S135" s="8"/>
      <c r="T135" s="17"/>
      <c r="U135" s="17"/>
      <c r="V135" s="9">
        <f>R135*K135/5</f>
        <v>-314.49599999999998</v>
      </c>
      <c r="W135" s="8"/>
      <c r="X135" s="8"/>
      <c r="Y135" s="8"/>
      <c r="Z135" s="9" t="s">
        <v>572</v>
      </c>
      <c r="AA135" s="9">
        <f>0.9*(365-K135)</f>
        <v>139.5</v>
      </c>
      <c r="AB135" s="9">
        <f>V135</f>
        <v>-314.49599999999998</v>
      </c>
      <c r="AC135" s="9">
        <f>V135+AA135</f>
        <v>-174.99599999999998</v>
      </c>
      <c r="AD135" s="8"/>
      <c r="AE135" s="8"/>
      <c r="AF135" s="8"/>
      <c r="AG135" s="8"/>
      <c r="AH135" s="8"/>
      <c r="AI135" s="8"/>
      <c r="AJ135" s="8" t="s">
        <v>881</v>
      </c>
      <c r="AK135" s="3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  <c r="BE135" s="8"/>
      <c r="BF135" s="8"/>
      <c r="BG135" s="8"/>
      <c r="BH135" s="8"/>
      <c r="BI135" s="8"/>
      <c r="BJ135" s="8"/>
    </row>
    <row r="136" spans="1:62" s="1" customFormat="1" x14ac:dyDescent="0.3">
      <c r="A136" s="32" t="s">
        <v>726</v>
      </c>
      <c r="B136" s="8" t="s">
        <v>301</v>
      </c>
      <c r="C136" s="8" t="s">
        <v>339</v>
      </c>
      <c r="D136" s="8" t="s">
        <v>28</v>
      </c>
      <c r="E136" s="8" t="s">
        <v>727</v>
      </c>
      <c r="F136" s="8" t="s">
        <v>76</v>
      </c>
      <c r="G136" s="14">
        <v>2001</v>
      </c>
      <c r="H136" s="34" t="s">
        <v>728</v>
      </c>
      <c r="I136" s="58">
        <v>46.666666666666664</v>
      </c>
      <c r="J136" s="58">
        <v>-71.1666666666667</v>
      </c>
      <c r="K136" s="8">
        <v>194</v>
      </c>
      <c r="L136" s="8"/>
      <c r="M136" s="8" t="s">
        <v>729</v>
      </c>
      <c r="N136" s="8" t="s">
        <v>71</v>
      </c>
      <c r="O136" s="14" t="s">
        <v>343</v>
      </c>
      <c r="P136" s="8" t="s">
        <v>36</v>
      </c>
      <c r="Q136" s="15" t="s">
        <v>329</v>
      </c>
      <c r="R136" s="8"/>
      <c r="S136" s="24">
        <f>W136/K136*5</f>
        <v>5.8804889635189816</v>
      </c>
      <c r="T136" s="17"/>
      <c r="U136" s="17"/>
      <c r="V136" s="8"/>
      <c r="W136" s="8">
        <f>AVERAGE(W139,W142,W151,W154)</f>
        <v>228.16297178453647</v>
      </c>
      <c r="X136" s="8"/>
      <c r="Y136" s="8" t="s">
        <v>658</v>
      </c>
      <c r="Z136" s="25" t="s">
        <v>572</v>
      </c>
      <c r="AA136" s="25">
        <f t="shared" ref="AA136:AA138" si="22">0.9*(365-K136)</f>
        <v>153.9</v>
      </c>
      <c r="AB136" s="25">
        <f>W136</f>
        <v>228.16297178453647</v>
      </c>
      <c r="AC136" s="25">
        <f>W136+AA136</f>
        <v>382.06297178453644</v>
      </c>
      <c r="AD136" s="8"/>
      <c r="AE136" s="8"/>
      <c r="AF136" s="8">
        <f>AG136</f>
        <v>698</v>
      </c>
      <c r="AG136" s="8">
        <f>AVERAGE(AG139,AG142,AG151,AG154)</f>
        <v>698</v>
      </c>
      <c r="AH136" s="8" t="s">
        <v>658</v>
      </c>
      <c r="AI136" s="8"/>
      <c r="AJ136" s="8" t="s">
        <v>881</v>
      </c>
      <c r="AK136" s="3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  <c r="BE136" s="8"/>
      <c r="BF136" s="8"/>
      <c r="BG136" s="8"/>
      <c r="BH136" s="8"/>
      <c r="BI136" s="8"/>
      <c r="BJ136" s="8"/>
    </row>
    <row r="137" spans="1:62" s="1" customFormat="1" x14ac:dyDescent="0.3">
      <c r="A137" s="32" t="s">
        <v>726</v>
      </c>
      <c r="B137" s="8" t="s">
        <v>301</v>
      </c>
      <c r="C137" s="8" t="s">
        <v>339</v>
      </c>
      <c r="D137" s="8" t="s">
        <v>28</v>
      </c>
      <c r="E137" s="8" t="s">
        <v>727</v>
      </c>
      <c r="F137" s="8" t="s">
        <v>76</v>
      </c>
      <c r="G137" s="14">
        <v>2001</v>
      </c>
      <c r="H137" s="34" t="s">
        <v>728</v>
      </c>
      <c r="I137" s="58">
        <v>46.666666666666664</v>
      </c>
      <c r="J137" s="58">
        <v>-71.1666666666667</v>
      </c>
      <c r="K137" s="8">
        <v>194</v>
      </c>
      <c r="L137" s="8"/>
      <c r="M137" s="8" t="s">
        <v>729</v>
      </c>
      <c r="N137" s="8" t="s">
        <v>355</v>
      </c>
      <c r="O137" s="14" t="s">
        <v>343</v>
      </c>
      <c r="P137" s="8" t="s">
        <v>36</v>
      </c>
      <c r="Q137" s="15" t="s">
        <v>330</v>
      </c>
      <c r="R137" s="8"/>
      <c r="S137" s="24">
        <f>W137/K137*5</f>
        <v>-2.3426149263542024</v>
      </c>
      <c r="T137" s="17"/>
      <c r="U137" s="17"/>
      <c r="V137" s="8"/>
      <c r="W137" s="8">
        <f>AVERAGE(W140,W143,W152,W155)</f>
        <v>-90.893459142543065</v>
      </c>
      <c r="X137" s="8"/>
      <c r="Y137" s="8" t="s">
        <v>658</v>
      </c>
      <c r="Z137" s="25" t="s">
        <v>572</v>
      </c>
      <c r="AA137" s="25">
        <f t="shared" si="22"/>
        <v>153.9</v>
      </c>
      <c r="AB137" s="25">
        <f>W137</f>
        <v>-90.893459142543065</v>
      </c>
      <c r="AC137" s="25">
        <f>W137+AA137</f>
        <v>63.00654085745694</v>
      </c>
      <c r="AD137" s="8"/>
      <c r="AE137" s="8"/>
      <c r="AF137" s="8">
        <f>AG137</f>
        <v>554.5</v>
      </c>
      <c r="AG137" s="8">
        <f>AVERAGE(AG140,AG143,AG152,AG155)</f>
        <v>554.5</v>
      </c>
      <c r="AH137" s="8" t="s">
        <v>658</v>
      </c>
      <c r="AI137" s="8"/>
      <c r="AJ137" s="8" t="s">
        <v>881</v>
      </c>
      <c r="AK137" s="3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  <c r="BE137" s="8"/>
      <c r="BF137" s="8"/>
      <c r="BG137" s="8"/>
      <c r="BH137" s="8"/>
      <c r="BI137" s="8"/>
      <c r="BJ137" s="8"/>
    </row>
    <row r="138" spans="1:62" s="1" customFormat="1" x14ac:dyDescent="0.3">
      <c r="A138" s="32" t="s">
        <v>726</v>
      </c>
      <c r="B138" s="8" t="s">
        <v>301</v>
      </c>
      <c r="C138" s="8" t="s">
        <v>339</v>
      </c>
      <c r="D138" s="8" t="s">
        <v>28</v>
      </c>
      <c r="E138" s="8" t="s">
        <v>727</v>
      </c>
      <c r="F138" s="8" t="s">
        <v>76</v>
      </c>
      <c r="G138" s="14">
        <v>2001</v>
      </c>
      <c r="H138" s="34" t="s">
        <v>728</v>
      </c>
      <c r="I138" s="58">
        <v>46.666666666666664</v>
      </c>
      <c r="J138" s="58">
        <v>-71.1666666666667</v>
      </c>
      <c r="K138" s="8">
        <v>194</v>
      </c>
      <c r="L138" s="8"/>
      <c r="M138" s="8" t="s">
        <v>729</v>
      </c>
      <c r="N138" s="8" t="s">
        <v>143</v>
      </c>
      <c r="O138" s="14" t="s">
        <v>343</v>
      </c>
      <c r="P138" s="8" t="s">
        <v>36</v>
      </c>
      <c r="Q138" s="15" t="s">
        <v>331</v>
      </c>
      <c r="R138" s="8"/>
      <c r="S138" s="24">
        <f>W138/K138*5</f>
        <v>-1.0304343760978871</v>
      </c>
      <c r="T138" s="17"/>
      <c r="U138" s="17"/>
      <c r="V138" s="8"/>
      <c r="W138" s="8">
        <f>AVERAGE(W141,W144,W153,W156)</f>
        <v>-39.980853792598026</v>
      </c>
      <c r="X138" s="8"/>
      <c r="Y138" s="8" t="s">
        <v>658</v>
      </c>
      <c r="Z138" s="25" t="s">
        <v>572</v>
      </c>
      <c r="AA138" s="25">
        <f t="shared" si="22"/>
        <v>153.9</v>
      </c>
      <c r="AB138" s="25">
        <f>W138</f>
        <v>-39.980853792598026</v>
      </c>
      <c r="AC138" s="25">
        <f>W138+AA138</f>
        <v>113.91914620740198</v>
      </c>
      <c r="AD138" s="8"/>
      <c r="AE138" s="8"/>
      <c r="AF138" s="8">
        <f>AG138</f>
        <v>208</v>
      </c>
      <c r="AG138" s="8">
        <f>AVERAGE(AG141,AG144,AG153,AG156)</f>
        <v>208</v>
      </c>
      <c r="AH138" s="8" t="s">
        <v>658</v>
      </c>
      <c r="AI138" s="8"/>
      <c r="AJ138" s="8" t="s">
        <v>881</v>
      </c>
      <c r="AK138" s="3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  <c r="BE138" s="8"/>
      <c r="BF138" s="8"/>
      <c r="BG138" s="8"/>
      <c r="BH138" s="8"/>
      <c r="BI138" s="8"/>
      <c r="BJ138" s="8"/>
    </row>
    <row r="139" spans="1:62" s="1" customFormat="1" x14ac:dyDescent="0.3">
      <c r="A139" s="32" t="s">
        <v>726</v>
      </c>
      <c r="B139" s="8" t="s">
        <v>301</v>
      </c>
      <c r="C139" s="8" t="s">
        <v>339</v>
      </c>
      <c r="D139" s="8" t="s">
        <v>28</v>
      </c>
      <c r="E139" s="8" t="s">
        <v>727</v>
      </c>
      <c r="F139" s="8" t="s">
        <v>76</v>
      </c>
      <c r="G139" s="14">
        <v>2001</v>
      </c>
      <c r="H139" s="34" t="s">
        <v>728</v>
      </c>
      <c r="I139" s="58">
        <v>46.666666666666664</v>
      </c>
      <c r="J139" s="58">
        <v>-71.1666666666667</v>
      </c>
      <c r="K139" s="8">
        <v>194</v>
      </c>
      <c r="L139" s="8"/>
      <c r="M139" s="8" t="s">
        <v>729</v>
      </c>
      <c r="N139" s="8" t="s">
        <v>71</v>
      </c>
      <c r="O139" s="14" t="s">
        <v>343</v>
      </c>
      <c r="P139" s="8" t="s">
        <v>36</v>
      </c>
      <c r="Q139" s="15" t="s">
        <v>329</v>
      </c>
      <c r="R139" s="15"/>
      <c r="S139" s="15"/>
      <c r="T139" s="8"/>
      <c r="U139" s="8"/>
      <c r="V139" s="8"/>
      <c r="W139" s="8">
        <f>X139</f>
        <v>123</v>
      </c>
      <c r="X139" s="8">
        <v>123</v>
      </c>
      <c r="Y139" s="8" t="s">
        <v>658</v>
      </c>
      <c r="Z139" s="25" t="s">
        <v>572</v>
      </c>
      <c r="AA139" s="25"/>
      <c r="AB139" s="25"/>
      <c r="AC139" s="25"/>
      <c r="AD139" s="8"/>
      <c r="AE139" s="8"/>
      <c r="AF139" s="8">
        <f t="shared" ref="AF139:AF144" si="23">AG139</f>
        <v>403</v>
      </c>
      <c r="AG139" s="8">
        <v>403</v>
      </c>
      <c r="AH139" s="8" t="s">
        <v>658</v>
      </c>
      <c r="AI139" s="8"/>
      <c r="AJ139" s="8" t="s">
        <v>884</v>
      </c>
      <c r="AK139" s="3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  <c r="BE139" s="8"/>
      <c r="BF139" s="8"/>
      <c r="BG139" s="8"/>
      <c r="BH139" s="8"/>
      <c r="BI139" s="8"/>
      <c r="BJ139" s="8"/>
    </row>
    <row r="140" spans="1:62" s="1" customFormat="1" x14ac:dyDescent="0.3">
      <c r="A140" s="32" t="s">
        <v>726</v>
      </c>
      <c r="B140" s="8" t="s">
        <v>301</v>
      </c>
      <c r="C140" s="8" t="s">
        <v>339</v>
      </c>
      <c r="D140" s="8" t="s">
        <v>28</v>
      </c>
      <c r="E140" s="8" t="s">
        <v>727</v>
      </c>
      <c r="F140" s="8" t="s">
        <v>76</v>
      </c>
      <c r="G140" s="14">
        <v>2001</v>
      </c>
      <c r="H140" s="34" t="s">
        <v>728</v>
      </c>
      <c r="I140" s="58">
        <v>46.666666666666664</v>
      </c>
      <c r="J140" s="58">
        <v>-71.1666666666667</v>
      </c>
      <c r="K140" s="8">
        <v>194</v>
      </c>
      <c r="L140" s="8"/>
      <c r="M140" s="8" t="s">
        <v>729</v>
      </c>
      <c r="N140" s="8" t="s">
        <v>355</v>
      </c>
      <c r="O140" s="14" t="s">
        <v>343</v>
      </c>
      <c r="P140" s="8" t="s">
        <v>36</v>
      </c>
      <c r="Q140" s="15" t="s">
        <v>330</v>
      </c>
      <c r="R140" s="15"/>
      <c r="S140" s="15"/>
      <c r="T140" s="8"/>
      <c r="U140" s="8"/>
      <c r="V140" s="8"/>
      <c r="W140" s="8">
        <f t="shared" ref="W140:W144" si="24">X140</f>
        <v>-61</v>
      </c>
      <c r="X140" s="8">
        <v>-61</v>
      </c>
      <c r="Y140" s="8" t="s">
        <v>658</v>
      </c>
      <c r="Z140" s="25" t="s">
        <v>572</v>
      </c>
      <c r="AA140" s="25"/>
      <c r="AB140" s="25"/>
      <c r="AC140" s="25"/>
      <c r="AD140" s="8"/>
      <c r="AE140" s="8"/>
      <c r="AF140" s="8">
        <f t="shared" si="23"/>
        <v>307</v>
      </c>
      <c r="AG140" s="8">
        <v>307</v>
      </c>
      <c r="AH140" s="8" t="s">
        <v>658</v>
      </c>
      <c r="AI140" s="8"/>
      <c r="AJ140" s="8" t="s">
        <v>884</v>
      </c>
      <c r="AK140" s="3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  <c r="BE140" s="8"/>
      <c r="BF140" s="8"/>
      <c r="BG140" s="8"/>
      <c r="BH140" s="8"/>
      <c r="BI140" s="8"/>
      <c r="BJ140" s="8"/>
    </row>
    <row r="141" spans="1:62" s="1" customFormat="1" x14ac:dyDescent="0.3">
      <c r="A141" s="32" t="s">
        <v>726</v>
      </c>
      <c r="B141" s="8" t="s">
        <v>301</v>
      </c>
      <c r="C141" s="8" t="s">
        <v>339</v>
      </c>
      <c r="D141" s="8" t="s">
        <v>28</v>
      </c>
      <c r="E141" s="8" t="s">
        <v>727</v>
      </c>
      <c r="F141" s="8" t="s">
        <v>76</v>
      </c>
      <c r="G141" s="14">
        <v>2001</v>
      </c>
      <c r="H141" s="34" t="s">
        <v>728</v>
      </c>
      <c r="I141" s="58">
        <v>46.666666666666664</v>
      </c>
      <c r="J141" s="58">
        <v>-71.1666666666667</v>
      </c>
      <c r="K141" s="8">
        <v>194</v>
      </c>
      <c r="L141" s="8"/>
      <c r="M141" s="8" t="s">
        <v>729</v>
      </c>
      <c r="N141" s="8" t="s">
        <v>143</v>
      </c>
      <c r="O141" s="14" t="s">
        <v>343</v>
      </c>
      <c r="P141" s="8" t="s">
        <v>36</v>
      </c>
      <c r="Q141" s="15" t="s">
        <v>331</v>
      </c>
      <c r="R141" s="15"/>
      <c r="S141" s="15"/>
      <c r="T141" s="8"/>
      <c r="U141" s="8"/>
      <c r="V141" s="8"/>
      <c r="W141" s="8">
        <f>X141</f>
        <v>42</v>
      </c>
      <c r="X141" s="8">
        <v>42</v>
      </c>
      <c r="Y141" s="8" t="s">
        <v>658</v>
      </c>
      <c r="Z141" s="25" t="s">
        <v>572</v>
      </c>
      <c r="AA141" s="25"/>
      <c r="AB141" s="25"/>
      <c r="AC141" s="25"/>
      <c r="AD141" s="8"/>
      <c r="AE141" s="8"/>
      <c r="AF141" s="8">
        <f t="shared" si="23"/>
        <v>171</v>
      </c>
      <c r="AG141" s="8">
        <v>171</v>
      </c>
      <c r="AH141" s="8" t="s">
        <v>658</v>
      </c>
      <c r="AI141" s="8"/>
      <c r="AJ141" s="8" t="s">
        <v>884</v>
      </c>
      <c r="AK141" s="3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  <c r="BE141" s="8"/>
      <c r="BF141" s="8"/>
      <c r="BG141" s="8"/>
      <c r="BH141" s="8"/>
      <c r="BI141" s="8"/>
      <c r="BJ141" s="8"/>
    </row>
    <row r="142" spans="1:62" s="1" customFormat="1" x14ac:dyDescent="0.3">
      <c r="A142" s="32" t="s">
        <v>726</v>
      </c>
      <c r="B142" s="8" t="s">
        <v>301</v>
      </c>
      <c r="C142" s="8" t="s">
        <v>339</v>
      </c>
      <c r="D142" s="8" t="s">
        <v>28</v>
      </c>
      <c r="E142" s="8" t="s">
        <v>727</v>
      </c>
      <c r="F142" s="8" t="s">
        <v>76</v>
      </c>
      <c r="G142" s="14">
        <v>2002</v>
      </c>
      <c r="H142" s="34" t="s">
        <v>730</v>
      </c>
      <c r="I142" s="58">
        <v>46.666666666666664</v>
      </c>
      <c r="J142" s="58">
        <v>-71.1666666666667</v>
      </c>
      <c r="K142" s="8">
        <v>194</v>
      </c>
      <c r="L142" s="8"/>
      <c r="M142" s="8" t="s">
        <v>729</v>
      </c>
      <c r="N142" s="8" t="s">
        <v>71</v>
      </c>
      <c r="O142" s="14" t="s">
        <v>343</v>
      </c>
      <c r="P142" s="8" t="s">
        <v>36</v>
      </c>
      <c r="Q142" s="15" t="s">
        <v>329</v>
      </c>
      <c r="R142" s="15"/>
      <c r="S142" s="15"/>
      <c r="T142" s="8"/>
      <c r="U142" s="8"/>
      <c r="V142" s="8"/>
      <c r="W142" s="8">
        <f>X142</f>
        <v>240</v>
      </c>
      <c r="X142" s="8">
        <v>240</v>
      </c>
      <c r="Y142" s="8" t="s">
        <v>658</v>
      </c>
      <c r="Z142" s="25" t="s">
        <v>572</v>
      </c>
      <c r="AA142" s="25"/>
      <c r="AB142" s="25"/>
      <c r="AC142" s="25"/>
      <c r="AD142" s="8"/>
      <c r="AE142" s="8"/>
      <c r="AF142" s="8">
        <f t="shared" si="23"/>
        <v>993</v>
      </c>
      <c r="AG142" s="8">
        <v>993</v>
      </c>
      <c r="AH142" s="8" t="s">
        <v>658</v>
      </c>
      <c r="AI142" s="8"/>
      <c r="AJ142" s="8" t="s">
        <v>884</v>
      </c>
      <c r="AK142" s="3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  <c r="BE142" s="8"/>
      <c r="BF142" s="8"/>
      <c r="BG142" s="8"/>
      <c r="BH142" s="8"/>
      <c r="BI142" s="8"/>
      <c r="BJ142" s="8"/>
    </row>
    <row r="143" spans="1:62" s="1" customFormat="1" x14ac:dyDescent="0.3">
      <c r="A143" s="32" t="s">
        <v>726</v>
      </c>
      <c r="B143" s="8" t="s">
        <v>301</v>
      </c>
      <c r="C143" s="8" t="s">
        <v>339</v>
      </c>
      <c r="D143" s="8" t="s">
        <v>28</v>
      </c>
      <c r="E143" s="8" t="s">
        <v>727</v>
      </c>
      <c r="F143" s="8" t="s">
        <v>76</v>
      </c>
      <c r="G143" s="14">
        <v>2002</v>
      </c>
      <c r="H143" s="34" t="s">
        <v>730</v>
      </c>
      <c r="I143" s="58">
        <v>46.666666666666664</v>
      </c>
      <c r="J143" s="58">
        <v>-71.1666666666667</v>
      </c>
      <c r="K143" s="8">
        <v>194</v>
      </c>
      <c r="L143" s="8"/>
      <c r="M143" s="8" t="s">
        <v>729</v>
      </c>
      <c r="N143" s="8" t="s">
        <v>355</v>
      </c>
      <c r="O143" s="14" t="s">
        <v>343</v>
      </c>
      <c r="P143" s="8" t="s">
        <v>36</v>
      </c>
      <c r="Q143" s="15" t="s">
        <v>330</v>
      </c>
      <c r="R143" s="15"/>
      <c r="S143" s="15"/>
      <c r="T143" s="8"/>
      <c r="U143" s="8"/>
      <c r="V143" s="8"/>
      <c r="W143" s="8">
        <f t="shared" si="24"/>
        <v>-156</v>
      </c>
      <c r="X143" s="8">
        <v>-156</v>
      </c>
      <c r="Y143" s="8" t="s">
        <v>658</v>
      </c>
      <c r="Z143" s="25" t="s">
        <v>572</v>
      </c>
      <c r="AA143" s="25"/>
      <c r="AB143" s="25"/>
      <c r="AC143" s="25"/>
      <c r="AD143" s="8"/>
      <c r="AE143" s="8"/>
      <c r="AF143" s="8">
        <f t="shared" si="23"/>
        <v>802</v>
      </c>
      <c r="AG143" s="8">
        <v>802</v>
      </c>
      <c r="AH143" s="8" t="s">
        <v>658</v>
      </c>
      <c r="AI143" s="8"/>
      <c r="AJ143" s="8" t="s">
        <v>884</v>
      </c>
      <c r="AK143" s="3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  <c r="BE143" s="8"/>
      <c r="BF143" s="8"/>
      <c r="BG143" s="8"/>
      <c r="BH143" s="8"/>
      <c r="BI143" s="8"/>
      <c r="BJ143" s="8"/>
    </row>
    <row r="144" spans="1:62" s="1" customFormat="1" x14ac:dyDescent="0.3">
      <c r="A144" s="32" t="s">
        <v>726</v>
      </c>
      <c r="B144" s="8" t="s">
        <v>301</v>
      </c>
      <c r="C144" s="8" t="s">
        <v>339</v>
      </c>
      <c r="D144" s="8" t="s">
        <v>28</v>
      </c>
      <c r="E144" s="8" t="s">
        <v>727</v>
      </c>
      <c r="F144" s="8" t="s">
        <v>76</v>
      </c>
      <c r="G144" s="14">
        <v>2002</v>
      </c>
      <c r="H144" s="34" t="s">
        <v>730</v>
      </c>
      <c r="I144" s="58">
        <v>46.666666666666664</v>
      </c>
      <c r="J144" s="58">
        <v>-71.1666666666667</v>
      </c>
      <c r="K144" s="8">
        <v>194</v>
      </c>
      <c r="L144" s="8"/>
      <c r="M144" s="8" t="s">
        <v>729</v>
      </c>
      <c r="N144" s="8" t="s">
        <v>143</v>
      </c>
      <c r="O144" s="14" t="s">
        <v>343</v>
      </c>
      <c r="P144" s="8" t="s">
        <v>36</v>
      </c>
      <c r="Q144" s="15" t="s">
        <v>331</v>
      </c>
      <c r="R144" s="15"/>
      <c r="S144" s="15"/>
      <c r="T144" s="8"/>
      <c r="U144" s="8"/>
      <c r="V144" s="8"/>
      <c r="W144" s="8">
        <f t="shared" si="24"/>
        <v>-81</v>
      </c>
      <c r="X144" s="8">
        <v>-81</v>
      </c>
      <c r="Y144" s="8" t="s">
        <v>658</v>
      </c>
      <c r="Z144" s="25" t="s">
        <v>572</v>
      </c>
      <c r="AA144" s="25"/>
      <c r="AB144" s="25"/>
      <c r="AC144" s="25"/>
      <c r="AD144" s="8"/>
      <c r="AE144" s="8"/>
      <c r="AF144" s="8">
        <f t="shared" si="23"/>
        <v>245</v>
      </c>
      <c r="AG144" s="8">
        <v>245</v>
      </c>
      <c r="AH144" s="8" t="s">
        <v>658</v>
      </c>
      <c r="AI144" s="8"/>
      <c r="AJ144" s="8" t="s">
        <v>884</v>
      </c>
      <c r="AK144" s="3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  <c r="BE144" s="8"/>
      <c r="BF144" s="8"/>
      <c r="BG144" s="8"/>
      <c r="BH144" s="8"/>
      <c r="BI144" s="8"/>
      <c r="BJ144" s="8"/>
    </row>
    <row r="145" spans="1:62" s="1" customFormat="1" x14ac:dyDescent="0.3">
      <c r="A145" s="8" t="s">
        <v>889</v>
      </c>
      <c r="B145" s="8" t="s">
        <v>301</v>
      </c>
      <c r="C145" s="8" t="s">
        <v>339</v>
      </c>
      <c r="D145" s="8" t="s">
        <v>28</v>
      </c>
      <c r="E145" s="8" t="s">
        <v>727</v>
      </c>
      <c r="F145" s="8" t="s">
        <v>76</v>
      </c>
      <c r="G145" s="14" t="s">
        <v>599</v>
      </c>
      <c r="H145" s="34" t="s">
        <v>731</v>
      </c>
      <c r="I145" s="58">
        <v>46.666666666666664</v>
      </c>
      <c r="J145" s="58">
        <v>-71.1666666666667</v>
      </c>
      <c r="K145" s="8">
        <v>194</v>
      </c>
      <c r="L145" s="8"/>
      <c r="M145" s="8" t="s">
        <v>729</v>
      </c>
      <c r="N145" s="8" t="s">
        <v>732</v>
      </c>
      <c r="O145" s="14" t="s">
        <v>343</v>
      </c>
      <c r="P145" s="8" t="s">
        <v>36</v>
      </c>
      <c r="Q145" s="15" t="s">
        <v>331</v>
      </c>
      <c r="R145" s="15"/>
      <c r="S145" s="15"/>
      <c r="T145" s="8"/>
      <c r="U145" s="8"/>
      <c r="V145" s="5"/>
      <c r="W145" s="5">
        <f t="shared" ref="W145:W161" si="25">X145/0.2729</f>
        <v>54.965188713814591</v>
      </c>
      <c r="X145" s="17">
        <v>15</v>
      </c>
      <c r="Y145" s="17" t="s">
        <v>447</v>
      </c>
      <c r="Z145" s="25" t="s">
        <v>572</v>
      </c>
      <c r="AA145" s="25"/>
      <c r="AB145" s="25"/>
      <c r="AC145" s="25"/>
      <c r="AD145" s="8"/>
      <c r="AE145" s="8"/>
      <c r="AF145" s="5">
        <f t="shared" ref="AF145:AF147" si="26">AG145/0.2729</f>
        <v>326.12678636863325</v>
      </c>
      <c r="AG145" s="17">
        <v>89</v>
      </c>
      <c r="AH145" s="17" t="s">
        <v>447</v>
      </c>
      <c r="AI145" s="8"/>
      <c r="AJ145" s="8" t="s">
        <v>883</v>
      </c>
      <c r="AK145" s="3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  <c r="BE145" s="8"/>
      <c r="BF145" s="8"/>
      <c r="BG145" s="8"/>
      <c r="BH145" s="8"/>
      <c r="BI145" s="8"/>
      <c r="BJ145" s="8"/>
    </row>
    <row r="146" spans="1:62" s="1" customFormat="1" x14ac:dyDescent="0.3">
      <c r="A146" s="8" t="s">
        <v>889</v>
      </c>
      <c r="B146" s="8" t="s">
        <v>301</v>
      </c>
      <c r="C146" s="8" t="s">
        <v>339</v>
      </c>
      <c r="D146" s="8" t="s">
        <v>28</v>
      </c>
      <c r="E146" s="8" t="s">
        <v>727</v>
      </c>
      <c r="F146" s="8" t="s">
        <v>76</v>
      </c>
      <c r="G146" s="14" t="s">
        <v>599</v>
      </c>
      <c r="H146" s="34" t="s">
        <v>731</v>
      </c>
      <c r="I146" s="58">
        <v>46.666666666666664</v>
      </c>
      <c r="J146" s="58">
        <v>-71.1666666666667</v>
      </c>
      <c r="K146" s="8">
        <v>194</v>
      </c>
      <c r="L146" s="8"/>
      <c r="M146" s="8" t="s">
        <v>729</v>
      </c>
      <c r="N146" s="8" t="s">
        <v>355</v>
      </c>
      <c r="O146" s="14" t="s">
        <v>343</v>
      </c>
      <c r="P146" s="8" t="s">
        <v>36</v>
      </c>
      <c r="Q146" s="15" t="s">
        <v>331</v>
      </c>
      <c r="R146" s="15"/>
      <c r="S146" s="15"/>
      <c r="T146" s="8"/>
      <c r="U146" s="8"/>
      <c r="V146" s="5"/>
      <c r="W146" s="5">
        <f t="shared" si="25"/>
        <v>43.972150971051668</v>
      </c>
      <c r="X146" s="17">
        <v>12</v>
      </c>
      <c r="Y146" s="17" t="s">
        <v>447</v>
      </c>
      <c r="Z146" s="25" t="s">
        <v>572</v>
      </c>
      <c r="AA146" s="25"/>
      <c r="AB146" s="25"/>
      <c r="AC146" s="25"/>
      <c r="AD146" s="8"/>
      <c r="AE146" s="8"/>
      <c r="AF146" s="5">
        <f t="shared" si="26"/>
        <v>351.77720776841335</v>
      </c>
      <c r="AG146" s="17">
        <v>96</v>
      </c>
      <c r="AH146" s="17" t="s">
        <v>447</v>
      </c>
      <c r="AI146" s="8"/>
      <c r="AJ146" s="8" t="s">
        <v>883</v>
      </c>
      <c r="AK146" s="3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  <c r="BE146" s="8"/>
      <c r="BF146" s="8"/>
      <c r="BG146" s="8"/>
      <c r="BH146" s="8"/>
      <c r="BI146" s="8"/>
      <c r="BJ146" s="8"/>
    </row>
    <row r="147" spans="1:62" s="1" customFormat="1" x14ac:dyDescent="0.3">
      <c r="A147" s="8" t="s">
        <v>889</v>
      </c>
      <c r="B147" s="8" t="s">
        <v>301</v>
      </c>
      <c r="C147" s="8" t="s">
        <v>339</v>
      </c>
      <c r="D147" s="8" t="s">
        <v>28</v>
      </c>
      <c r="E147" s="8" t="s">
        <v>727</v>
      </c>
      <c r="F147" s="8" t="s">
        <v>76</v>
      </c>
      <c r="G147" s="14" t="s">
        <v>599</v>
      </c>
      <c r="H147" s="34" t="s">
        <v>731</v>
      </c>
      <c r="I147" s="58">
        <v>46.666666666666664</v>
      </c>
      <c r="J147" s="58">
        <v>-71.1666666666667</v>
      </c>
      <c r="K147" s="8">
        <v>194</v>
      </c>
      <c r="L147" s="8"/>
      <c r="M147" s="8" t="s">
        <v>729</v>
      </c>
      <c r="N147" s="8" t="s">
        <v>143</v>
      </c>
      <c r="O147" s="14" t="s">
        <v>343</v>
      </c>
      <c r="P147" s="8" t="s">
        <v>36</v>
      </c>
      <c r="Q147" s="15" t="s">
        <v>331</v>
      </c>
      <c r="R147" s="15"/>
      <c r="S147" s="15"/>
      <c r="T147" s="8"/>
      <c r="U147" s="8"/>
      <c r="V147" s="5"/>
      <c r="W147" s="5">
        <f t="shared" si="25"/>
        <v>14.657383657017224</v>
      </c>
      <c r="X147" s="17">
        <v>4</v>
      </c>
      <c r="Y147" s="17" t="s">
        <v>447</v>
      </c>
      <c r="Z147" s="25" t="s">
        <v>572</v>
      </c>
      <c r="AA147" s="25"/>
      <c r="AB147" s="25"/>
      <c r="AC147" s="25"/>
      <c r="AD147" s="8"/>
      <c r="AE147" s="8"/>
      <c r="AF147" s="5">
        <f t="shared" si="26"/>
        <v>117.25906925613779</v>
      </c>
      <c r="AG147" s="17">
        <v>32</v>
      </c>
      <c r="AH147" s="17" t="s">
        <v>447</v>
      </c>
      <c r="AI147" s="8"/>
      <c r="AJ147" s="8" t="s">
        <v>883</v>
      </c>
      <c r="AK147" s="3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  <c r="BE147" s="8"/>
      <c r="BF147" s="8"/>
      <c r="BG147" s="8"/>
      <c r="BH147" s="8"/>
      <c r="BI147" s="8"/>
      <c r="BJ147" s="8"/>
    </row>
    <row r="148" spans="1:62" s="1" customFormat="1" x14ac:dyDescent="0.3">
      <c r="A148" s="8" t="s">
        <v>889</v>
      </c>
      <c r="B148" s="8" t="s">
        <v>301</v>
      </c>
      <c r="C148" s="8" t="s">
        <v>339</v>
      </c>
      <c r="D148" s="8" t="s">
        <v>28</v>
      </c>
      <c r="E148" s="8" t="s">
        <v>727</v>
      </c>
      <c r="F148" s="8" t="s">
        <v>76</v>
      </c>
      <c r="G148" s="14" t="s">
        <v>599</v>
      </c>
      <c r="H148" s="34" t="s">
        <v>731</v>
      </c>
      <c r="I148" s="58">
        <v>46.666666666666664</v>
      </c>
      <c r="J148" s="58">
        <v>-71.1666666666667</v>
      </c>
      <c r="K148" s="8">
        <v>194</v>
      </c>
      <c r="L148" s="8"/>
      <c r="M148" s="8" t="s">
        <v>729</v>
      </c>
      <c r="N148" s="8" t="s">
        <v>732</v>
      </c>
      <c r="O148" s="14" t="s">
        <v>343</v>
      </c>
      <c r="P148" s="8" t="s">
        <v>36</v>
      </c>
      <c r="Q148" s="15" t="s">
        <v>331</v>
      </c>
      <c r="R148" s="15"/>
      <c r="S148" s="15"/>
      <c r="T148" s="8"/>
      <c r="U148" s="8"/>
      <c r="V148" s="5"/>
      <c r="W148" s="5">
        <f t="shared" si="25"/>
        <v>65.958226456577506</v>
      </c>
      <c r="X148" s="17">
        <v>18</v>
      </c>
      <c r="Y148" s="17" t="s">
        <v>447</v>
      </c>
      <c r="Z148" s="25" t="s">
        <v>572</v>
      </c>
      <c r="AA148" s="25"/>
      <c r="AB148" s="25"/>
      <c r="AC148" s="25"/>
      <c r="AD148" s="8"/>
      <c r="AE148" s="20"/>
      <c r="AF148" s="20"/>
      <c r="AG148" s="8"/>
      <c r="AH148" s="8"/>
      <c r="AI148" s="8"/>
      <c r="AJ148" s="8" t="s">
        <v>883</v>
      </c>
      <c r="AK148" s="3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  <c r="BE148" s="8"/>
      <c r="BF148" s="8"/>
      <c r="BG148" s="8"/>
      <c r="BH148" s="8"/>
      <c r="BI148" s="8"/>
      <c r="BJ148" s="8"/>
    </row>
    <row r="149" spans="1:62" s="1" customFormat="1" x14ac:dyDescent="0.3">
      <c r="A149" s="8" t="s">
        <v>889</v>
      </c>
      <c r="B149" s="8" t="s">
        <v>301</v>
      </c>
      <c r="C149" s="8" t="s">
        <v>339</v>
      </c>
      <c r="D149" s="8" t="s">
        <v>28</v>
      </c>
      <c r="E149" s="8" t="s">
        <v>727</v>
      </c>
      <c r="F149" s="8" t="s">
        <v>76</v>
      </c>
      <c r="G149" s="14" t="s">
        <v>599</v>
      </c>
      <c r="H149" s="34" t="s">
        <v>731</v>
      </c>
      <c r="I149" s="58">
        <v>46.666666666666664</v>
      </c>
      <c r="J149" s="58">
        <v>-71.1666666666667</v>
      </c>
      <c r="K149" s="8">
        <v>194</v>
      </c>
      <c r="L149" s="8"/>
      <c r="M149" s="8" t="s">
        <v>729</v>
      </c>
      <c r="N149" s="8" t="s">
        <v>355</v>
      </c>
      <c r="O149" s="14" t="s">
        <v>343</v>
      </c>
      <c r="P149" s="8" t="s">
        <v>36</v>
      </c>
      <c r="Q149" s="15" t="s">
        <v>331</v>
      </c>
      <c r="R149" s="15"/>
      <c r="S149" s="15"/>
      <c r="T149" s="8"/>
      <c r="U149" s="8"/>
      <c r="V149" s="5"/>
      <c r="W149" s="5">
        <f t="shared" si="25"/>
        <v>-238.1824844265299</v>
      </c>
      <c r="X149" s="17">
        <v>-65</v>
      </c>
      <c r="Y149" s="17" t="s">
        <v>447</v>
      </c>
      <c r="Z149" s="25" t="s">
        <v>572</v>
      </c>
      <c r="AA149" s="25"/>
      <c r="AB149" s="25"/>
      <c r="AC149" s="25"/>
      <c r="AD149" s="8"/>
      <c r="AE149" s="20"/>
      <c r="AF149" s="20"/>
      <c r="AG149" s="8"/>
      <c r="AH149" s="8"/>
      <c r="AI149" s="8"/>
      <c r="AJ149" s="8" t="s">
        <v>883</v>
      </c>
      <c r="AK149" s="3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  <c r="BE149" s="8"/>
      <c r="BF149" s="8"/>
      <c r="BG149" s="8"/>
      <c r="BH149" s="8"/>
      <c r="BI149" s="8"/>
      <c r="BJ149" s="8"/>
    </row>
    <row r="150" spans="1:62" s="1" customFormat="1" x14ac:dyDescent="0.3">
      <c r="A150" s="8" t="s">
        <v>889</v>
      </c>
      <c r="B150" s="8" t="s">
        <v>301</v>
      </c>
      <c r="C150" s="8" t="s">
        <v>339</v>
      </c>
      <c r="D150" s="8" t="s">
        <v>28</v>
      </c>
      <c r="E150" s="8" t="s">
        <v>727</v>
      </c>
      <c r="F150" s="8" t="s">
        <v>76</v>
      </c>
      <c r="G150" s="14" t="s">
        <v>599</v>
      </c>
      <c r="H150" s="34" t="s">
        <v>731</v>
      </c>
      <c r="I150" s="58">
        <v>46.666666666666664</v>
      </c>
      <c r="J150" s="58">
        <v>-71.1666666666667</v>
      </c>
      <c r="K150" s="8">
        <v>194</v>
      </c>
      <c r="L150" s="8"/>
      <c r="M150" s="8" t="s">
        <v>729</v>
      </c>
      <c r="N150" s="8" t="s">
        <v>143</v>
      </c>
      <c r="O150" s="14" t="s">
        <v>343</v>
      </c>
      <c r="P150" s="8" t="s">
        <v>36</v>
      </c>
      <c r="Q150" s="15" t="s">
        <v>331</v>
      </c>
      <c r="R150" s="15"/>
      <c r="S150" s="15"/>
      <c r="T150" s="8"/>
      <c r="U150" s="8"/>
      <c r="V150" s="5"/>
      <c r="W150" s="5">
        <f t="shared" si="25"/>
        <v>-98.937339684866259</v>
      </c>
      <c r="X150" s="17">
        <v>-27</v>
      </c>
      <c r="Y150" s="17" t="s">
        <v>447</v>
      </c>
      <c r="Z150" s="25" t="s">
        <v>572</v>
      </c>
      <c r="AA150" s="25"/>
      <c r="AB150" s="25"/>
      <c r="AC150" s="25"/>
      <c r="AD150" s="8"/>
      <c r="AE150" s="20"/>
      <c r="AF150" s="20"/>
      <c r="AG150" s="8"/>
      <c r="AH150" s="8"/>
      <c r="AI150" s="8"/>
      <c r="AJ150" s="8" t="s">
        <v>883</v>
      </c>
      <c r="AK150" s="3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  <c r="BE150" s="8"/>
      <c r="BF150" s="8"/>
      <c r="BG150" s="8"/>
      <c r="BH150" s="8"/>
      <c r="BI150" s="8"/>
      <c r="BJ150" s="8"/>
    </row>
    <row r="151" spans="1:62" s="1" customFormat="1" x14ac:dyDescent="0.3">
      <c r="A151" s="8" t="s">
        <v>889</v>
      </c>
      <c r="B151" s="8" t="s">
        <v>301</v>
      </c>
      <c r="C151" s="8" t="s">
        <v>339</v>
      </c>
      <c r="D151" s="8" t="s">
        <v>28</v>
      </c>
      <c r="E151" s="8" t="s">
        <v>727</v>
      </c>
      <c r="F151" s="8" t="s">
        <v>76</v>
      </c>
      <c r="G151" s="14" t="s">
        <v>599</v>
      </c>
      <c r="H151" s="34" t="s">
        <v>731</v>
      </c>
      <c r="I151" s="58">
        <v>46.666666666666664</v>
      </c>
      <c r="J151" s="58">
        <v>-71.1666666666667</v>
      </c>
      <c r="K151" s="8">
        <v>194</v>
      </c>
      <c r="L151" s="8"/>
      <c r="M151" s="8" t="s">
        <v>729</v>
      </c>
      <c r="N151" s="8" t="s">
        <v>732</v>
      </c>
      <c r="O151" s="14" t="s">
        <v>343</v>
      </c>
      <c r="P151" s="8" t="s">
        <v>36</v>
      </c>
      <c r="Q151" s="15" t="s">
        <v>331</v>
      </c>
      <c r="R151" s="15"/>
      <c r="S151" s="15"/>
      <c r="T151" s="8"/>
      <c r="U151" s="8"/>
      <c r="V151" s="5"/>
      <c r="W151" s="5">
        <f t="shared" si="25"/>
        <v>161.23122022718945</v>
      </c>
      <c r="X151" s="17">
        <v>44</v>
      </c>
      <c r="Y151" s="17" t="s">
        <v>447</v>
      </c>
      <c r="Z151" s="25" t="s">
        <v>572</v>
      </c>
      <c r="AA151" s="25"/>
      <c r="AB151" s="25"/>
      <c r="AC151" s="25"/>
      <c r="AD151" s="8"/>
      <c r="AE151" s="20"/>
      <c r="AF151" s="20"/>
      <c r="AG151" s="8"/>
      <c r="AH151" s="8"/>
      <c r="AI151" s="8"/>
      <c r="AJ151" s="8" t="s">
        <v>884</v>
      </c>
      <c r="AK151" s="3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  <c r="BE151" s="8"/>
      <c r="BF151" s="8"/>
      <c r="BG151" s="8"/>
      <c r="BH151" s="8"/>
      <c r="BI151" s="8"/>
      <c r="BJ151" s="8"/>
    </row>
    <row r="152" spans="1:62" s="1" customFormat="1" x14ac:dyDescent="0.3">
      <c r="A152" s="8" t="s">
        <v>889</v>
      </c>
      <c r="B152" s="8" t="s">
        <v>301</v>
      </c>
      <c r="C152" s="8" t="s">
        <v>339</v>
      </c>
      <c r="D152" s="8" t="s">
        <v>28</v>
      </c>
      <c r="E152" s="8" t="s">
        <v>727</v>
      </c>
      <c r="F152" s="8" t="s">
        <v>76</v>
      </c>
      <c r="G152" s="14" t="s">
        <v>599</v>
      </c>
      <c r="H152" s="34" t="s">
        <v>731</v>
      </c>
      <c r="I152" s="58">
        <v>46.666666666666664</v>
      </c>
      <c r="J152" s="58">
        <v>-71.1666666666667</v>
      </c>
      <c r="K152" s="8">
        <v>194</v>
      </c>
      <c r="L152" s="8"/>
      <c r="M152" s="8" t="s">
        <v>729</v>
      </c>
      <c r="N152" s="8" t="s">
        <v>355</v>
      </c>
      <c r="O152" s="14" t="s">
        <v>343</v>
      </c>
      <c r="P152" s="8" t="s">
        <v>36</v>
      </c>
      <c r="Q152" s="15" t="s">
        <v>331</v>
      </c>
      <c r="R152" s="15"/>
      <c r="S152" s="15"/>
      <c r="T152" s="8"/>
      <c r="U152" s="8"/>
      <c r="V152" s="5"/>
      <c r="W152" s="5">
        <f t="shared" si="25"/>
        <v>-241.84683034078418</v>
      </c>
      <c r="X152" s="17">
        <v>-66</v>
      </c>
      <c r="Y152" s="17" t="s">
        <v>447</v>
      </c>
      <c r="Z152" s="25" t="s">
        <v>572</v>
      </c>
      <c r="AA152" s="25"/>
      <c r="AB152" s="25"/>
      <c r="AC152" s="25"/>
      <c r="AD152" s="8"/>
      <c r="AE152" s="20"/>
      <c r="AF152" s="20"/>
      <c r="AG152" s="8"/>
      <c r="AH152" s="8"/>
      <c r="AI152" s="8"/>
      <c r="AJ152" s="8" t="s">
        <v>884</v>
      </c>
      <c r="AK152" s="3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  <c r="BE152" s="8"/>
      <c r="BF152" s="8"/>
      <c r="BG152" s="8"/>
      <c r="BH152" s="8"/>
      <c r="BI152" s="8"/>
      <c r="BJ152" s="8"/>
    </row>
    <row r="153" spans="1:62" s="1" customFormat="1" x14ac:dyDescent="0.3">
      <c r="A153" s="8" t="s">
        <v>889</v>
      </c>
      <c r="B153" s="8" t="s">
        <v>301</v>
      </c>
      <c r="C153" s="8" t="s">
        <v>339</v>
      </c>
      <c r="D153" s="8" t="s">
        <v>28</v>
      </c>
      <c r="E153" s="8" t="s">
        <v>727</v>
      </c>
      <c r="F153" s="8" t="s">
        <v>76</v>
      </c>
      <c r="G153" s="14" t="s">
        <v>599</v>
      </c>
      <c r="H153" s="34" t="s">
        <v>731</v>
      </c>
      <c r="I153" s="58">
        <v>46.666666666666664</v>
      </c>
      <c r="J153" s="58">
        <v>-71.1666666666667</v>
      </c>
      <c r="K153" s="8">
        <v>194</v>
      </c>
      <c r="L153" s="8"/>
      <c r="M153" s="8" t="s">
        <v>729</v>
      </c>
      <c r="N153" s="8" t="s">
        <v>143</v>
      </c>
      <c r="O153" s="14" t="s">
        <v>343</v>
      </c>
      <c r="P153" s="8" t="s">
        <v>36</v>
      </c>
      <c r="Q153" s="15" t="s">
        <v>331</v>
      </c>
      <c r="R153" s="15"/>
      <c r="S153" s="15"/>
      <c r="T153" s="8"/>
      <c r="U153" s="8"/>
      <c r="V153" s="5"/>
      <c r="W153" s="5">
        <f t="shared" si="25"/>
        <v>-95.272993770611947</v>
      </c>
      <c r="X153" s="17">
        <v>-26</v>
      </c>
      <c r="Y153" s="17" t="s">
        <v>447</v>
      </c>
      <c r="Z153" s="25" t="s">
        <v>572</v>
      </c>
      <c r="AA153" s="25"/>
      <c r="AB153" s="25"/>
      <c r="AC153" s="25"/>
      <c r="AD153" s="8"/>
      <c r="AE153" s="20"/>
      <c r="AF153" s="20"/>
      <c r="AG153" s="8"/>
      <c r="AH153" s="8"/>
      <c r="AI153" s="8"/>
      <c r="AJ153" s="8" t="s">
        <v>884</v>
      </c>
      <c r="AK153" s="3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  <c r="BE153" s="8"/>
      <c r="BF153" s="8"/>
      <c r="BG153" s="8"/>
      <c r="BH153" s="8"/>
      <c r="BI153" s="8"/>
      <c r="BJ153" s="8"/>
    </row>
    <row r="154" spans="1:62" s="1" customFormat="1" x14ac:dyDescent="0.3">
      <c r="A154" s="8" t="s">
        <v>889</v>
      </c>
      <c r="B154" s="8" t="s">
        <v>301</v>
      </c>
      <c r="C154" s="8" t="s">
        <v>339</v>
      </c>
      <c r="D154" s="8" t="s">
        <v>28</v>
      </c>
      <c r="E154" s="8" t="s">
        <v>727</v>
      </c>
      <c r="F154" s="8" t="s">
        <v>76</v>
      </c>
      <c r="G154" s="14" t="s">
        <v>599</v>
      </c>
      <c r="H154" s="34" t="s">
        <v>731</v>
      </c>
      <c r="I154" s="58">
        <v>46.666666666666664</v>
      </c>
      <c r="J154" s="58">
        <v>-71.1666666666667</v>
      </c>
      <c r="K154" s="8">
        <v>194</v>
      </c>
      <c r="L154" s="8"/>
      <c r="M154" s="8" t="s">
        <v>729</v>
      </c>
      <c r="N154" s="8" t="s">
        <v>732</v>
      </c>
      <c r="O154" s="14" t="s">
        <v>343</v>
      </c>
      <c r="P154" s="8" t="s">
        <v>36</v>
      </c>
      <c r="Q154" s="15" t="s">
        <v>331</v>
      </c>
      <c r="R154" s="15"/>
      <c r="S154" s="15"/>
      <c r="T154" s="8"/>
      <c r="U154" s="8"/>
      <c r="V154" s="5"/>
      <c r="W154" s="5">
        <f t="shared" si="25"/>
        <v>388.42066691095641</v>
      </c>
      <c r="X154" s="17">
        <v>106</v>
      </c>
      <c r="Y154" s="17" t="s">
        <v>447</v>
      </c>
      <c r="Z154" s="25" t="s">
        <v>572</v>
      </c>
      <c r="AA154" s="25"/>
      <c r="AB154" s="25"/>
      <c r="AC154" s="25"/>
      <c r="AD154" s="8"/>
      <c r="AE154" s="20"/>
      <c r="AF154" s="20"/>
      <c r="AG154" s="8"/>
      <c r="AH154" s="8"/>
      <c r="AI154" s="8"/>
      <c r="AJ154" s="8" t="s">
        <v>884</v>
      </c>
      <c r="AK154" s="3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</row>
    <row r="155" spans="1:62" s="1" customFormat="1" x14ac:dyDescent="0.3">
      <c r="A155" s="8" t="s">
        <v>889</v>
      </c>
      <c r="B155" s="8" t="s">
        <v>301</v>
      </c>
      <c r="C155" s="8" t="s">
        <v>339</v>
      </c>
      <c r="D155" s="8" t="s">
        <v>28</v>
      </c>
      <c r="E155" s="8" t="s">
        <v>727</v>
      </c>
      <c r="F155" s="8" t="s">
        <v>76</v>
      </c>
      <c r="G155" s="14" t="s">
        <v>599</v>
      </c>
      <c r="H155" s="34" t="s">
        <v>731</v>
      </c>
      <c r="I155" s="58">
        <v>46.666666666666664</v>
      </c>
      <c r="J155" s="58">
        <v>-71.1666666666667</v>
      </c>
      <c r="K155" s="8">
        <v>194</v>
      </c>
      <c r="L155" s="8"/>
      <c r="M155" s="8" t="s">
        <v>729</v>
      </c>
      <c r="N155" s="8" t="s">
        <v>355</v>
      </c>
      <c r="O155" s="14" t="s">
        <v>343</v>
      </c>
      <c r="P155" s="8" t="s">
        <v>36</v>
      </c>
      <c r="Q155" s="15" t="s">
        <v>331</v>
      </c>
      <c r="R155" s="15"/>
      <c r="S155" s="15"/>
      <c r="T155" s="8"/>
      <c r="U155" s="8"/>
      <c r="V155" s="5"/>
      <c r="W155" s="5">
        <f t="shared" si="25"/>
        <v>95.272993770611947</v>
      </c>
      <c r="X155" s="17">
        <v>26</v>
      </c>
      <c r="Y155" s="17" t="s">
        <v>447</v>
      </c>
      <c r="Z155" s="25" t="s">
        <v>572</v>
      </c>
      <c r="AA155" s="25"/>
      <c r="AB155" s="25"/>
      <c r="AC155" s="25"/>
      <c r="AD155" s="8"/>
      <c r="AE155" s="20"/>
      <c r="AF155" s="20"/>
      <c r="AG155" s="8"/>
      <c r="AH155" s="8"/>
      <c r="AI155" s="8"/>
      <c r="AJ155" s="8" t="s">
        <v>884</v>
      </c>
      <c r="AK155" s="3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</row>
    <row r="156" spans="1:62" s="1" customFormat="1" x14ac:dyDescent="0.3">
      <c r="A156" s="8" t="s">
        <v>889</v>
      </c>
      <c r="B156" s="8" t="s">
        <v>301</v>
      </c>
      <c r="C156" s="8" t="s">
        <v>339</v>
      </c>
      <c r="D156" s="8" t="s">
        <v>28</v>
      </c>
      <c r="E156" s="8" t="s">
        <v>727</v>
      </c>
      <c r="F156" s="8" t="s">
        <v>76</v>
      </c>
      <c r="G156" s="14" t="s">
        <v>599</v>
      </c>
      <c r="H156" s="34" t="s">
        <v>731</v>
      </c>
      <c r="I156" s="58">
        <v>46.666666666666664</v>
      </c>
      <c r="J156" s="58">
        <v>-71.1666666666667</v>
      </c>
      <c r="K156" s="8">
        <v>194</v>
      </c>
      <c r="L156" s="8"/>
      <c r="M156" s="8" t="s">
        <v>729</v>
      </c>
      <c r="N156" s="8" t="s">
        <v>143</v>
      </c>
      <c r="O156" s="14" t="s">
        <v>343</v>
      </c>
      <c r="P156" s="8" t="s">
        <v>36</v>
      </c>
      <c r="Q156" s="15" t="s">
        <v>331</v>
      </c>
      <c r="R156" s="15"/>
      <c r="S156" s="15"/>
      <c r="T156" s="8"/>
      <c r="U156" s="8"/>
      <c r="V156" s="5"/>
      <c r="W156" s="5">
        <f t="shared" si="25"/>
        <v>-25.650421399780143</v>
      </c>
      <c r="X156" s="17">
        <v>-7</v>
      </c>
      <c r="Y156" s="17" t="s">
        <v>447</v>
      </c>
      <c r="Z156" s="25" t="s">
        <v>572</v>
      </c>
      <c r="AA156" s="25"/>
      <c r="AB156" s="25"/>
      <c r="AC156" s="25"/>
      <c r="AD156" s="8"/>
      <c r="AE156" s="20"/>
      <c r="AF156" s="20"/>
      <c r="AG156" s="8"/>
      <c r="AH156" s="8"/>
      <c r="AI156" s="8"/>
      <c r="AJ156" s="8" t="s">
        <v>884</v>
      </c>
      <c r="AK156" s="3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</row>
    <row r="157" spans="1:62" s="1" customFormat="1" x14ac:dyDescent="0.3">
      <c r="A157" s="32" t="s">
        <v>733</v>
      </c>
      <c r="B157" s="8" t="s">
        <v>301</v>
      </c>
      <c r="C157" s="8" t="s">
        <v>339</v>
      </c>
      <c r="D157" s="8" t="s">
        <v>190</v>
      </c>
      <c r="E157" s="8" t="s">
        <v>734</v>
      </c>
      <c r="F157" s="8" t="s">
        <v>175</v>
      </c>
      <c r="G157" s="14">
        <v>2004</v>
      </c>
      <c r="H157" s="34" t="s">
        <v>735</v>
      </c>
      <c r="I157" s="59">
        <v>55.54</v>
      </c>
      <c r="J157" s="58">
        <v>-112.33</v>
      </c>
      <c r="K157" s="8">
        <v>162</v>
      </c>
      <c r="L157" s="8"/>
      <c r="M157" s="8" t="s">
        <v>736</v>
      </c>
      <c r="N157" s="8" t="s">
        <v>737</v>
      </c>
      <c r="O157" s="14">
        <v>4</v>
      </c>
      <c r="P157" s="8" t="s">
        <v>85</v>
      </c>
      <c r="Q157" s="15" t="s">
        <v>738</v>
      </c>
      <c r="R157" s="15"/>
      <c r="S157" s="15"/>
      <c r="T157" s="8"/>
      <c r="U157" s="8"/>
      <c r="V157" s="5"/>
      <c r="W157" s="5">
        <f t="shared" si="25"/>
        <v>-329.79113228288753</v>
      </c>
      <c r="X157" s="17">
        <v>-90</v>
      </c>
      <c r="Y157" s="17" t="s">
        <v>739</v>
      </c>
      <c r="Z157" s="25" t="s">
        <v>572</v>
      </c>
      <c r="AA157" s="25"/>
      <c r="AB157" s="25"/>
      <c r="AC157" s="25"/>
      <c r="AD157" s="8"/>
      <c r="AE157" s="8"/>
      <c r="AF157" s="5">
        <f t="shared" ref="AF157" si="27">AG157/0.2729</f>
        <v>916.08647856357652</v>
      </c>
      <c r="AG157" s="17">
        <v>250</v>
      </c>
      <c r="AH157" s="17" t="s">
        <v>740</v>
      </c>
      <c r="AI157" s="8"/>
      <c r="AJ157" s="8" t="s">
        <v>884</v>
      </c>
      <c r="AK157" s="3" t="s">
        <v>849</v>
      </c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</row>
    <row r="158" spans="1:62" s="1" customFormat="1" x14ac:dyDescent="0.3">
      <c r="A158" s="32" t="s">
        <v>741</v>
      </c>
      <c r="B158" s="8" t="s">
        <v>301</v>
      </c>
      <c r="C158" s="8" t="s">
        <v>339</v>
      </c>
      <c r="D158" s="8" t="s">
        <v>190</v>
      </c>
      <c r="E158" s="8" t="s">
        <v>734</v>
      </c>
      <c r="F158" s="8" t="s">
        <v>175</v>
      </c>
      <c r="G158" s="14"/>
      <c r="H158" s="34" t="s">
        <v>192</v>
      </c>
      <c r="I158" s="58">
        <v>55.54</v>
      </c>
      <c r="J158" s="58">
        <v>-112.33</v>
      </c>
      <c r="K158" s="8">
        <v>162</v>
      </c>
      <c r="L158" s="8"/>
      <c r="M158" s="8" t="s">
        <v>742</v>
      </c>
      <c r="N158" s="8" t="s">
        <v>737</v>
      </c>
      <c r="O158" s="14" t="s">
        <v>343</v>
      </c>
      <c r="P158" s="8" t="s">
        <v>85</v>
      </c>
      <c r="Q158" s="15" t="s">
        <v>743</v>
      </c>
      <c r="R158" s="15"/>
      <c r="S158" s="24">
        <f>W158/K158*5</f>
        <v>-12.482149508329226</v>
      </c>
      <c r="T158" s="8"/>
      <c r="U158" s="8"/>
      <c r="V158" s="5"/>
      <c r="W158" s="5">
        <f>AVERAGE(W159:W161)</f>
        <v>-404.42164406986694</v>
      </c>
      <c r="X158" s="17"/>
      <c r="Y158" s="17"/>
      <c r="Z158" s="25" t="s">
        <v>572</v>
      </c>
      <c r="AA158" s="25">
        <f>0.9*(365-K158)</f>
        <v>182.70000000000002</v>
      </c>
      <c r="AB158" s="25">
        <f>W158</f>
        <v>-404.42164406986694</v>
      </c>
      <c r="AC158" s="25">
        <f>W158+AA158</f>
        <v>-221.72164406986693</v>
      </c>
      <c r="AD158" s="8"/>
      <c r="AE158" s="8"/>
      <c r="AF158" s="8"/>
      <c r="AG158" s="8"/>
      <c r="AH158" s="8"/>
      <c r="AI158" s="8"/>
      <c r="AJ158" s="8" t="s">
        <v>881</v>
      </c>
      <c r="AK158" s="3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</row>
    <row r="159" spans="1:62" s="1" customFormat="1" x14ac:dyDescent="0.3">
      <c r="A159" s="32" t="s">
        <v>741</v>
      </c>
      <c r="B159" s="8" t="s">
        <v>301</v>
      </c>
      <c r="C159" s="8" t="s">
        <v>339</v>
      </c>
      <c r="D159" s="8" t="s">
        <v>190</v>
      </c>
      <c r="E159" s="8" t="s">
        <v>734</v>
      </c>
      <c r="F159" s="8" t="s">
        <v>175</v>
      </c>
      <c r="G159" s="14">
        <v>2004</v>
      </c>
      <c r="H159" s="34" t="s">
        <v>192</v>
      </c>
      <c r="I159" s="58">
        <v>55.54</v>
      </c>
      <c r="J159" s="58">
        <v>-112.33</v>
      </c>
      <c r="K159" s="8">
        <v>162</v>
      </c>
      <c r="L159" s="8"/>
      <c r="M159" s="8" t="s">
        <v>742</v>
      </c>
      <c r="N159" s="8" t="s">
        <v>737</v>
      </c>
      <c r="O159" s="14" t="s">
        <v>343</v>
      </c>
      <c r="P159" s="8" t="s">
        <v>85</v>
      </c>
      <c r="Q159" s="15" t="s">
        <v>743</v>
      </c>
      <c r="R159" s="15"/>
      <c r="S159" s="15"/>
      <c r="T159" s="8"/>
      <c r="U159" s="8"/>
      <c r="V159" s="5"/>
      <c r="W159" s="5">
        <f t="shared" si="25"/>
        <v>-403.44448515939905</v>
      </c>
      <c r="X159" s="17">
        <v>-110.1</v>
      </c>
      <c r="Y159" s="17" t="s">
        <v>590</v>
      </c>
      <c r="Z159" s="25" t="s">
        <v>572</v>
      </c>
      <c r="AA159" s="25"/>
      <c r="AB159" s="25"/>
      <c r="AC159" s="25"/>
      <c r="AD159" s="8"/>
      <c r="AE159" s="8"/>
      <c r="AF159" s="8"/>
      <c r="AG159" s="8"/>
      <c r="AH159" s="8"/>
      <c r="AI159" s="8"/>
      <c r="AJ159" s="8" t="s">
        <v>884</v>
      </c>
      <c r="AK159" s="3" t="s">
        <v>850</v>
      </c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</row>
    <row r="160" spans="1:62" s="1" customFormat="1" x14ac:dyDescent="0.3">
      <c r="A160" s="32" t="s">
        <v>741</v>
      </c>
      <c r="B160" s="8" t="s">
        <v>301</v>
      </c>
      <c r="C160" s="8" t="s">
        <v>339</v>
      </c>
      <c r="D160" s="8" t="s">
        <v>190</v>
      </c>
      <c r="E160" s="8" t="s">
        <v>734</v>
      </c>
      <c r="F160" s="8" t="s">
        <v>175</v>
      </c>
      <c r="G160" s="14">
        <v>2005</v>
      </c>
      <c r="H160" s="34" t="s">
        <v>192</v>
      </c>
      <c r="I160" s="58">
        <v>55.54</v>
      </c>
      <c r="J160" s="58">
        <v>-112.33</v>
      </c>
      <c r="K160" s="8">
        <v>162</v>
      </c>
      <c r="L160" s="8"/>
      <c r="M160" s="8" t="s">
        <v>742</v>
      </c>
      <c r="N160" s="8" t="s">
        <v>737</v>
      </c>
      <c r="O160" s="14" t="s">
        <v>343</v>
      </c>
      <c r="P160" s="8" t="s">
        <v>85</v>
      </c>
      <c r="Q160" s="15" t="s">
        <v>743</v>
      </c>
      <c r="R160" s="15"/>
      <c r="S160" s="15"/>
      <c r="T160" s="8"/>
      <c r="U160" s="8"/>
      <c r="V160" s="5"/>
      <c r="W160" s="5">
        <f t="shared" si="25"/>
        <v>-403.07805056797366</v>
      </c>
      <c r="X160" s="17">
        <v>-110</v>
      </c>
      <c r="Y160" s="17" t="s">
        <v>590</v>
      </c>
      <c r="Z160" s="25" t="s">
        <v>572</v>
      </c>
      <c r="AA160" s="25"/>
      <c r="AB160" s="25"/>
      <c r="AC160" s="25"/>
      <c r="AD160" s="8"/>
      <c r="AE160" s="8"/>
      <c r="AF160" s="8"/>
      <c r="AG160" s="8"/>
      <c r="AH160" s="8"/>
      <c r="AI160" s="8"/>
      <c r="AJ160" s="8" t="s">
        <v>884</v>
      </c>
      <c r="AK160" s="3" t="s">
        <v>850</v>
      </c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</row>
    <row r="161" spans="1:62" s="1" customFormat="1" x14ac:dyDescent="0.3">
      <c r="A161" s="32" t="s">
        <v>741</v>
      </c>
      <c r="B161" s="8" t="s">
        <v>301</v>
      </c>
      <c r="C161" s="8" t="s">
        <v>339</v>
      </c>
      <c r="D161" s="8" t="s">
        <v>190</v>
      </c>
      <c r="E161" s="8" t="s">
        <v>734</v>
      </c>
      <c r="F161" s="8" t="s">
        <v>175</v>
      </c>
      <c r="G161" s="14">
        <v>2006</v>
      </c>
      <c r="H161" s="34" t="s">
        <v>192</v>
      </c>
      <c r="I161" s="58">
        <v>55.54</v>
      </c>
      <c r="J161" s="58">
        <v>-112.33</v>
      </c>
      <c r="K161" s="8">
        <v>162</v>
      </c>
      <c r="L161" s="8"/>
      <c r="M161" s="8" t="s">
        <v>742</v>
      </c>
      <c r="N161" s="8" t="s">
        <v>737</v>
      </c>
      <c r="O161" s="14" t="s">
        <v>343</v>
      </c>
      <c r="P161" s="8" t="s">
        <v>85</v>
      </c>
      <c r="Q161" s="15" t="s">
        <v>743</v>
      </c>
      <c r="R161" s="15"/>
      <c r="S161" s="15"/>
      <c r="T161" s="8"/>
      <c r="U161" s="8"/>
      <c r="V161" s="5"/>
      <c r="W161" s="5">
        <f t="shared" si="25"/>
        <v>-406.74239648222795</v>
      </c>
      <c r="X161" s="17">
        <v>-111</v>
      </c>
      <c r="Y161" s="17" t="s">
        <v>590</v>
      </c>
      <c r="Z161" s="25" t="s">
        <v>572</v>
      </c>
      <c r="AA161" s="25"/>
      <c r="AB161" s="25"/>
      <c r="AC161" s="25"/>
      <c r="AD161" s="8"/>
      <c r="AE161" s="8"/>
      <c r="AF161" s="8"/>
      <c r="AG161" s="8"/>
      <c r="AH161" s="8"/>
      <c r="AI161" s="8"/>
      <c r="AJ161" s="8" t="s">
        <v>884</v>
      </c>
      <c r="AK161" s="3" t="s">
        <v>850</v>
      </c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</row>
    <row r="162" spans="1:62" s="1" customFormat="1" x14ac:dyDescent="0.3">
      <c r="A162" s="3" t="s">
        <v>371</v>
      </c>
      <c r="B162" s="3" t="s">
        <v>301</v>
      </c>
      <c r="C162" s="8" t="s">
        <v>339</v>
      </c>
      <c r="D162" s="3" t="s">
        <v>74</v>
      </c>
      <c r="E162" s="3" t="s">
        <v>372</v>
      </c>
      <c r="F162" s="3" t="s">
        <v>200</v>
      </c>
      <c r="G162" s="2" t="s">
        <v>373</v>
      </c>
      <c r="H162" s="41" t="s">
        <v>374</v>
      </c>
      <c r="I162" s="58">
        <v>48.35</v>
      </c>
      <c r="J162" s="58">
        <v>-85.35</v>
      </c>
      <c r="K162" s="8">
        <v>168</v>
      </c>
      <c r="L162" s="8"/>
      <c r="M162" s="3" t="s">
        <v>339</v>
      </c>
      <c r="N162" s="8"/>
      <c r="O162" s="2"/>
      <c r="P162" s="3" t="s">
        <v>36</v>
      </c>
      <c r="Q162" s="5"/>
      <c r="R162" s="5">
        <f>T162</f>
        <v>0.41240599247090748</v>
      </c>
      <c r="S162" s="5"/>
      <c r="T162" s="5">
        <v>0.41240599247090748</v>
      </c>
      <c r="U162" s="8" t="s">
        <v>745</v>
      </c>
      <c r="V162" s="9">
        <f>R162*K162/5</f>
        <v>13.856841347022492</v>
      </c>
      <c r="W162" s="17"/>
      <c r="X162" s="3"/>
      <c r="Y162" s="3"/>
      <c r="Z162" s="3"/>
      <c r="AA162" s="9">
        <f t="shared" ref="AA162:AA163" si="28">0.9*(365-K162)</f>
        <v>177.3</v>
      </c>
      <c r="AB162" s="9">
        <f>V162</f>
        <v>13.856841347022492</v>
      </c>
      <c r="AC162" s="9">
        <f>V162+AA162</f>
        <v>191.15684134702249</v>
      </c>
      <c r="AD162" s="8"/>
      <c r="AE162" s="8"/>
      <c r="AF162" s="8"/>
      <c r="AG162" s="8"/>
      <c r="AH162" s="8"/>
      <c r="AI162" s="8"/>
      <c r="AJ162" s="8" t="s">
        <v>881</v>
      </c>
      <c r="AK162" s="3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</row>
    <row r="163" spans="1:62" s="1" customFormat="1" x14ac:dyDescent="0.3">
      <c r="A163" s="8" t="s">
        <v>248</v>
      </c>
      <c r="B163" s="8" t="s">
        <v>301</v>
      </c>
      <c r="C163" s="8" t="s">
        <v>339</v>
      </c>
      <c r="D163" s="8" t="s">
        <v>28</v>
      </c>
      <c r="E163" s="8" t="s">
        <v>249</v>
      </c>
      <c r="F163" s="8" t="s">
        <v>200</v>
      </c>
      <c r="G163" s="34">
        <v>2005</v>
      </c>
      <c r="H163" s="34" t="s">
        <v>250</v>
      </c>
      <c r="I163" s="59">
        <v>52.181666669999998</v>
      </c>
      <c r="J163" s="59">
        <v>-75.873888890000003</v>
      </c>
      <c r="K163" s="3">
        <v>155</v>
      </c>
      <c r="L163" s="8"/>
      <c r="M163" s="8"/>
      <c r="N163" s="8"/>
      <c r="O163" s="8"/>
      <c r="P163" s="8" t="s">
        <v>36</v>
      </c>
      <c r="Q163" s="8"/>
      <c r="R163" s="8">
        <f>T163/0.2729/1000</f>
        <v>4.6830340784170028</v>
      </c>
      <c r="S163" s="8"/>
      <c r="T163" s="17">
        <v>1278</v>
      </c>
      <c r="U163" s="17" t="s">
        <v>251</v>
      </c>
      <c r="V163" s="9">
        <f>R163*K163/5</f>
        <v>145.1740564309271</v>
      </c>
      <c r="W163" s="8"/>
      <c r="X163" s="8"/>
      <c r="Y163" s="8"/>
      <c r="Z163" s="8"/>
      <c r="AA163" s="9">
        <f t="shared" si="28"/>
        <v>189</v>
      </c>
      <c r="AB163" s="9">
        <f>V163</f>
        <v>145.1740564309271</v>
      </c>
      <c r="AC163" s="9">
        <f>V163+AA163</f>
        <v>334.17405643092707</v>
      </c>
      <c r="AD163" s="8"/>
      <c r="AE163" s="8"/>
      <c r="AF163" s="8"/>
      <c r="AG163" s="8"/>
      <c r="AH163" s="8"/>
      <c r="AI163" s="8"/>
      <c r="AJ163" s="8" t="s">
        <v>881</v>
      </c>
      <c r="AK163" s="3" t="s">
        <v>700</v>
      </c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</row>
    <row r="164" spans="1:62" s="1" customFormat="1" x14ac:dyDescent="0.3">
      <c r="A164" s="8" t="s">
        <v>746</v>
      </c>
      <c r="B164" s="8" t="s">
        <v>301</v>
      </c>
      <c r="C164" s="8" t="s">
        <v>339</v>
      </c>
      <c r="D164" s="8" t="s">
        <v>28</v>
      </c>
      <c r="E164" s="8" t="s">
        <v>747</v>
      </c>
      <c r="F164" s="8" t="s">
        <v>293</v>
      </c>
      <c r="G164" s="34" t="s">
        <v>605</v>
      </c>
      <c r="H164" s="34" t="s">
        <v>748</v>
      </c>
      <c r="I164" s="59">
        <v>54.115000000000002</v>
      </c>
      <c r="J164" s="59">
        <v>-72.501666666666694</v>
      </c>
      <c r="K164" s="8">
        <v>140</v>
      </c>
      <c r="L164" s="8"/>
      <c r="M164" s="8" t="s">
        <v>749</v>
      </c>
      <c r="N164" s="8" t="s">
        <v>750</v>
      </c>
      <c r="O164" s="8"/>
      <c r="P164" s="8"/>
      <c r="Q164" s="8"/>
      <c r="R164" s="8"/>
      <c r="S164" s="24"/>
      <c r="T164" s="17"/>
      <c r="U164" s="17"/>
      <c r="V164" s="8"/>
      <c r="W164" s="8">
        <f>AVERAGE(W171,W183)</f>
        <v>338.25</v>
      </c>
      <c r="X164" s="8"/>
      <c r="Y164" s="8" t="s">
        <v>624</v>
      </c>
      <c r="Z164" s="26" t="s">
        <v>576</v>
      </c>
      <c r="AA164" s="26"/>
      <c r="AB164" s="26">
        <f>W164-(365-K164)</f>
        <v>113.25</v>
      </c>
      <c r="AC164" s="26">
        <f>W164</f>
        <v>338.25</v>
      </c>
      <c r="AD164" s="8"/>
      <c r="AE164" s="8"/>
      <c r="AF164" s="8"/>
      <c r="AG164" s="8"/>
      <c r="AH164" s="8"/>
      <c r="AI164" s="8"/>
      <c r="AJ164" s="8" t="s">
        <v>881</v>
      </c>
      <c r="AK164" s="3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</row>
    <row r="165" spans="1:62" s="1" customFormat="1" x14ac:dyDescent="0.3">
      <c r="A165" s="8" t="s">
        <v>746</v>
      </c>
      <c r="B165" s="8" t="s">
        <v>301</v>
      </c>
      <c r="C165" s="8" t="s">
        <v>339</v>
      </c>
      <c r="D165" s="8" t="s">
        <v>28</v>
      </c>
      <c r="E165" s="8" t="s">
        <v>747</v>
      </c>
      <c r="F165" s="8" t="s">
        <v>293</v>
      </c>
      <c r="G165" s="34" t="s">
        <v>605</v>
      </c>
      <c r="H165" s="34" t="s">
        <v>748</v>
      </c>
      <c r="I165" s="59">
        <v>54.115000000000002</v>
      </c>
      <c r="J165" s="59">
        <v>-72.501666666666694</v>
      </c>
      <c r="K165" s="8">
        <v>140</v>
      </c>
      <c r="L165" s="8"/>
      <c r="M165" s="8" t="s">
        <v>749</v>
      </c>
      <c r="N165" s="8" t="s">
        <v>751</v>
      </c>
      <c r="O165" s="8" t="s">
        <v>343</v>
      </c>
      <c r="P165" s="8" t="s">
        <v>36</v>
      </c>
      <c r="Q165" s="8" t="s">
        <v>752</v>
      </c>
      <c r="R165" s="30">
        <f>AVERAGE(R176,R188)</f>
        <v>-0.5</v>
      </c>
      <c r="S165" s="8"/>
      <c r="T165" s="17"/>
      <c r="U165" s="8" t="s">
        <v>745</v>
      </c>
      <c r="V165" s="9">
        <f>R165*K165/5</f>
        <v>-14</v>
      </c>
      <c r="W165" s="8"/>
      <c r="X165" s="8"/>
      <c r="Y165" s="8"/>
      <c r="Z165" s="8"/>
      <c r="AA165" s="9"/>
      <c r="AB165" s="9"/>
      <c r="AC165" s="9"/>
      <c r="AD165" s="8"/>
      <c r="AE165" s="8"/>
      <c r="AF165" s="8"/>
      <c r="AG165" s="8"/>
      <c r="AH165" s="8"/>
      <c r="AI165" s="8"/>
      <c r="AJ165" s="8" t="s">
        <v>881</v>
      </c>
      <c r="AK165" s="3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</row>
    <row r="166" spans="1:62" s="1" customFormat="1" x14ac:dyDescent="0.3">
      <c r="A166" s="8" t="s">
        <v>746</v>
      </c>
      <c r="B166" s="8" t="s">
        <v>301</v>
      </c>
      <c r="C166" s="8" t="s">
        <v>339</v>
      </c>
      <c r="D166" s="8" t="s">
        <v>28</v>
      </c>
      <c r="E166" s="8" t="s">
        <v>747</v>
      </c>
      <c r="F166" s="8" t="s">
        <v>293</v>
      </c>
      <c r="G166" s="34" t="s">
        <v>605</v>
      </c>
      <c r="H166" s="34" t="s">
        <v>748</v>
      </c>
      <c r="I166" s="59">
        <v>54.115000000000002</v>
      </c>
      <c r="J166" s="59">
        <v>-72.501666666666694</v>
      </c>
      <c r="K166" s="8">
        <v>140</v>
      </c>
      <c r="L166" s="8"/>
      <c r="M166" s="8" t="s">
        <v>749</v>
      </c>
      <c r="N166" s="8" t="s">
        <v>241</v>
      </c>
      <c r="O166" s="8" t="s">
        <v>343</v>
      </c>
      <c r="P166" s="8" t="s">
        <v>36</v>
      </c>
      <c r="Q166" s="8" t="s">
        <v>752</v>
      </c>
      <c r="R166" s="30">
        <f>AVERAGE(R177,R189)</f>
        <v>1.0649999999999999</v>
      </c>
      <c r="S166" s="8"/>
      <c r="T166" s="17"/>
      <c r="U166" s="8" t="s">
        <v>745</v>
      </c>
      <c r="V166" s="9">
        <f>R166*K166/5</f>
        <v>29.82</v>
      </c>
      <c r="W166" s="8"/>
      <c r="X166" s="8"/>
      <c r="Y166" s="8"/>
      <c r="Z166" s="8"/>
      <c r="AA166" s="9"/>
      <c r="AB166" s="9"/>
      <c r="AC166" s="9"/>
      <c r="AD166" s="8"/>
      <c r="AE166" s="8"/>
      <c r="AF166" s="8"/>
      <c r="AG166" s="8"/>
      <c r="AH166" s="8"/>
      <c r="AI166" s="8"/>
      <c r="AJ166" s="8" t="s">
        <v>881</v>
      </c>
      <c r="AK166" s="3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</row>
    <row r="167" spans="1:62" s="1" customFormat="1" x14ac:dyDescent="0.3">
      <c r="A167" s="8" t="s">
        <v>746</v>
      </c>
      <c r="B167" s="8" t="s">
        <v>301</v>
      </c>
      <c r="C167" s="8" t="s">
        <v>339</v>
      </c>
      <c r="D167" s="8" t="s">
        <v>28</v>
      </c>
      <c r="E167" s="8" t="s">
        <v>747</v>
      </c>
      <c r="F167" s="8" t="s">
        <v>293</v>
      </c>
      <c r="G167" s="34" t="s">
        <v>605</v>
      </c>
      <c r="H167" s="34" t="s">
        <v>748</v>
      </c>
      <c r="I167" s="59">
        <v>54.115000000000002</v>
      </c>
      <c r="J167" s="59">
        <v>-72.501666666666694</v>
      </c>
      <c r="K167" s="8">
        <v>140</v>
      </c>
      <c r="L167" s="8"/>
      <c r="M167" s="8" t="s">
        <v>749</v>
      </c>
      <c r="N167" s="8" t="s">
        <v>753</v>
      </c>
      <c r="O167" s="8" t="s">
        <v>343</v>
      </c>
      <c r="P167" s="8" t="s">
        <v>36</v>
      </c>
      <c r="Q167" s="8" t="s">
        <v>752</v>
      </c>
      <c r="R167" s="30">
        <f>AVERAGE(R178,R190)</f>
        <v>0.3</v>
      </c>
      <c r="S167" s="8"/>
      <c r="T167" s="17"/>
      <c r="U167" s="8" t="s">
        <v>745</v>
      </c>
      <c r="V167" s="9">
        <f>R167*K167/5</f>
        <v>8.4</v>
      </c>
      <c r="W167" s="8"/>
      <c r="X167" s="8"/>
      <c r="Y167" s="8"/>
      <c r="Z167" s="8"/>
      <c r="AA167" s="9"/>
      <c r="AB167" s="9"/>
      <c r="AC167" s="9"/>
      <c r="AD167" s="8"/>
      <c r="AE167" s="8"/>
      <c r="AF167" s="8"/>
      <c r="AG167" s="8"/>
      <c r="AH167" s="8"/>
      <c r="AI167" s="8"/>
      <c r="AJ167" s="8" t="s">
        <v>881</v>
      </c>
      <c r="AK167" s="3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  <c r="BE167" s="8"/>
      <c r="BF167" s="8"/>
      <c r="BG167" s="8"/>
      <c r="BH167" s="8"/>
      <c r="BI167" s="8"/>
      <c r="BJ167" s="8"/>
    </row>
    <row r="168" spans="1:62" s="1" customFormat="1" x14ac:dyDescent="0.3">
      <c r="A168" s="8" t="s">
        <v>746</v>
      </c>
      <c r="B168" s="8" t="s">
        <v>301</v>
      </c>
      <c r="C168" s="8" t="s">
        <v>339</v>
      </c>
      <c r="D168" s="8" t="s">
        <v>28</v>
      </c>
      <c r="E168" s="8" t="s">
        <v>747</v>
      </c>
      <c r="F168" s="8" t="s">
        <v>293</v>
      </c>
      <c r="G168" s="14">
        <v>2009</v>
      </c>
      <c r="H168" s="34" t="s">
        <v>748</v>
      </c>
      <c r="I168" s="58">
        <v>54.115000000000002</v>
      </c>
      <c r="J168" s="58">
        <v>-72.501666666666694</v>
      </c>
      <c r="K168" s="8">
        <v>140</v>
      </c>
      <c r="L168" s="8"/>
      <c r="M168" s="8" t="s">
        <v>749</v>
      </c>
      <c r="N168" s="8" t="s">
        <v>751</v>
      </c>
      <c r="O168" s="14" t="s">
        <v>343</v>
      </c>
      <c r="P168" s="8" t="s">
        <v>36</v>
      </c>
      <c r="Q168" s="15" t="s">
        <v>752</v>
      </c>
      <c r="R168" s="5">
        <f t="shared" ref="R168:R170" si="29">T168</f>
        <v>0.2</v>
      </c>
      <c r="S168" s="5"/>
      <c r="T168" s="8">
        <v>0.2</v>
      </c>
      <c r="U168" s="8" t="s">
        <v>745</v>
      </c>
      <c r="V168" s="8"/>
      <c r="W168" s="8"/>
      <c r="X168" s="8"/>
      <c r="Y168" s="8"/>
      <c r="Z168" s="8"/>
      <c r="AA168" s="8"/>
      <c r="AB168" s="8"/>
      <c r="AC168" s="8"/>
      <c r="AD168" s="8">
        <v>0.7</v>
      </c>
      <c r="AE168" s="8" t="s">
        <v>754</v>
      </c>
      <c r="AF168" s="8"/>
      <c r="AG168" s="8"/>
      <c r="AH168" s="8"/>
      <c r="AI168" s="8"/>
      <c r="AJ168" s="8" t="s">
        <v>884</v>
      </c>
      <c r="AK168" s="3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  <c r="BE168" s="8"/>
      <c r="BF168" s="8"/>
      <c r="BG168" s="8"/>
      <c r="BH168" s="8"/>
      <c r="BI168" s="8"/>
      <c r="BJ168" s="8"/>
    </row>
    <row r="169" spans="1:62" s="1" customFormat="1" x14ac:dyDescent="0.3">
      <c r="A169" s="8" t="s">
        <v>746</v>
      </c>
      <c r="B169" s="8" t="s">
        <v>301</v>
      </c>
      <c r="C169" s="8" t="s">
        <v>339</v>
      </c>
      <c r="D169" s="8" t="s">
        <v>28</v>
      </c>
      <c r="E169" s="8" t="s">
        <v>747</v>
      </c>
      <c r="F169" s="8" t="s">
        <v>293</v>
      </c>
      <c r="G169" s="14">
        <v>2009</v>
      </c>
      <c r="H169" s="34" t="s">
        <v>748</v>
      </c>
      <c r="I169" s="58">
        <v>54.115000000000002</v>
      </c>
      <c r="J169" s="58">
        <v>-72.501666666666694</v>
      </c>
      <c r="K169" s="8">
        <v>140</v>
      </c>
      <c r="L169" s="8"/>
      <c r="M169" s="8" t="s">
        <v>749</v>
      </c>
      <c r="N169" s="8" t="s">
        <v>241</v>
      </c>
      <c r="O169" s="14" t="s">
        <v>343</v>
      </c>
      <c r="P169" s="8" t="s">
        <v>36</v>
      </c>
      <c r="Q169" s="15" t="s">
        <v>755</v>
      </c>
      <c r="R169" s="5">
        <f t="shared" si="29"/>
        <v>2.4</v>
      </c>
      <c r="S169" s="5"/>
      <c r="T169" s="8">
        <v>2.4</v>
      </c>
      <c r="U169" s="8" t="s">
        <v>745</v>
      </c>
      <c r="V169" s="8"/>
      <c r="W169" s="8"/>
      <c r="X169" s="8"/>
      <c r="Y169" s="8"/>
      <c r="Z169" s="8"/>
      <c r="AA169" s="8"/>
      <c r="AB169" s="8"/>
      <c r="AC169" s="8"/>
      <c r="AD169" s="8">
        <v>5.9</v>
      </c>
      <c r="AE169" s="8" t="s">
        <v>754</v>
      </c>
      <c r="AF169" s="8"/>
      <c r="AG169" s="8"/>
      <c r="AH169" s="8"/>
      <c r="AI169" s="8"/>
      <c r="AJ169" s="8" t="s">
        <v>884</v>
      </c>
      <c r="AK169" s="3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  <c r="BE169" s="8"/>
      <c r="BF169" s="8"/>
      <c r="BG169" s="8"/>
      <c r="BH169" s="8"/>
      <c r="BI169" s="8"/>
      <c r="BJ169" s="8"/>
    </row>
    <row r="170" spans="1:62" s="1" customFormat="1" x14ac:dyDescent="0.3">
      <c r="A170" s="8" t="s">
        <v>746</v>
      </c>
      <c r="B170" s="8" t="s">
        <v>301</v>
      </c>
      <c r="C170" s="8" t="s">
        <v>339</v>
      </c>
      <c r="D170" s="8" t="s">
        <v>28</v>
      </c>
      <c r="E170" s="8" t="s">
        <v>747</v>
      </c>
      <c r="F170" s="8" t="s">
        <v>293</v>
      </c>
      <c r="G170" s="14">
        <v>2009</v>
      </c>
      <c r="H170" s="34" t="s">
        <v>748</v>
      </c>
      <c r="I170" s="58">
        <v>54.115000000000002</v>
      </c>
      <c r="J170" s="58">
        <v>-72.501666666666694</v>
      </c>
      <c r="K170" s="8">
        <v>140</v>
      </c>
      <c r="L170" s="8"/>
      <c r="M170" s="8" t="s">
        <v>749</v>
      </c>
      <c r="N170" s="8" t="s">
        <v>753</v>
      </c>
      <c r="O170" s="14" t="s">
        <v>343</v>
      </c>
      <c r="P170" s="8" t="s">
        <v>36</v>
      </c>
      <c r="Q170" s="15" t="s">
        <v>756</v>
      </c>
      <c r="R170" s="5">
        <f t="shared" si="29"/>
        <v>0.6</v>
      </c>
      <c r="S170" s="5"/>
      <c r="T170" s="8">
        <v>0.6</v>
      </c>
      <c r="U170" s="8" t="s">
        <v>745</v>
      </c>
      <c r="V170" s="8"/>
      <c r="W170" s="8"/>
      <c r="X170" s="8"/>
      <c r="Y170" s="8"/>
      <c r="Z170" s="8"/>
      <c r="AA170" s="8"/>
      <c r="AB170" s="8"/>
      <c r="AC170" s="8"/>
      <c r="AD170" s="8">
        <v>2.5</v>
      </c>
      <c r="AE170" s="8" t="s">
        <v>754</v>
      </c>
      <c r="AF170" s="8"/>
      <c r="AG170" s="8"/>
      <c r="AH170" s="8"/>
      <c r="AI170" s="8"/>
      <c r="AJ170" s="8" t="s">
        <v>884</v>
      </c>
      <c r="AK170" s="3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  <c r="BE170" s="8"/>
      <c r="BF170" s="8"/>
      <c r="BG170" s="8"/>
      <c r="BH170" s="8"/>
      <c r="BI170" s="8"/>
      <c r="BJ170" s="8"/>
    </row>
    <row r="171" spans="1:62" s="1" customFormat="1" x14ac:dyDescent="0.3">
      <c r="A171" s="8" t="s">
        <v>746</v>
      </c>
      <c r="B171" s="8" t="s">
        <v>301</v>
      </c>
      <c r="C171" s="8" t="s">
        <v>339</v>
      </c>
      <c r="D171" s="8" t="s">
        <v>28</v>
      </c>
      <c r="E171" s="8" t="s">
        <v>747</v>
      </c>
      <c r="F171" s="8" t="s">
        <v>293</v>
      </c>
      <c r="G171" s="14">
        <v>2009</v>
      </c>
      <c r="H171" s="34" t="s">
        <v>757</v>
      </c>
      <c r="I171" s="58">
        <v>54.115000000000002</v>
      </c>
      <c r="J171" s="58">
        <v>-72.501666666666694</v>
      </c>
      <c r="K171" s="8">
        <v>140</v>
      </c>
      <c r="L171" s="8"/>
      <c r="M171" s="8" t="s">
        <v>758</v>
      </c>
      <c r="N171" s="8" t="s">
        <v>750</v>
      </c>
      <c r="O171" s="14"/>
      <c r="P171" s="8" t="s">
        <v>36</v>
      </c>
      <c r="Q171" s="15"/>
      <c r="R171" s="8"/>
      <c r="S171" s="8"/>
      <c r="T171" s="8"/>
      <c r="U171" s="8"/>
      <c r="V171" s="8"/>
      <c r="W171" s="8">
        <f>X171</f>
        <v>404.1</v>
      </c>
      <c r="X171" s="8">
        <v>404.1</v>
      </c>
      <c r="Y171" s="8" t="s">
        <v>624</v>
      </c>
      <c r="Z171" s="26" t="s">
        <v>576</v>
      </c>
      <c r="AA171" s="26"/>
      <c r="AB171" s="26"/>
      <c r="AC171" s="26"/>
      <c r="AD171" s="8">
        <v>858.2</v>
      </c>
      <c r="AE171" s="8" t="s">
        <v>759</v>
      </c>
      <c r="AF171" s="8"/>
      <c r="AG171" s="8"/>
      <c r="AH171" s="8"/>
      <c r="AI171" s="8"/>
      <c r="AJ171" s="8" t="s">
        <v>884</v>
      </c>
      <c r="AK171" s="3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  <c r="BE171" s="8"/>
      <c r="BF171" s="8"/>
      <c r="BG171" s="8"/>
      <c r="BH171" s="8"/>
      <c r="BI171" s="8"/>
      <c r="BJ171" s="8"/>
    </row>
    <row r="172" spans="1:62" s="1" customFormat="1" x14ac:dyDescent="0.3">
      <c r="A172" s="8" t="s">
        <v>746</v>
      </c>
      <c r="B172" s="8" t="s">
        <v>301</v>
      </c>
      <c r="C172" s="8" t="s">
        <v>339</v>
      </c>
      <c r="D172" s="8" t="s">
        <v>28</v>
      </c>
      <c r="E172" s="8" t="s">
        <v>747</v>
      </c>
      <c r="F172" s="8" t="s">
        <v>293</v>
      </c>
      <c r="G172" s="14">
        <v>2009</v>
      </c>
      <c r="H172" s="34" t="s">
        <v>760</v>
      </c>
      <c r="I172" s="58">
        <v>54.115000000000002</v>
      </c>
      <c r="J172" s="58">
        <v>-72.501666666666694</v>
      </c>
      <c r="K172" s="8">
        <v>140</v>
      </c>
      <c r="L172" s="8"/>
      <c r="M172" s="8" t="s">
        <v>749</v>
      </c>
      <c r="N172" s="8" t="s">
        <v>751</v>
      </c>
      <c r="O172" s="14" t="s">
        <v>343</v>
      </c>
      <c r="P172" s="8" t="s">
        <v>36</v>
      </c>
      <c r="Q172" s="15" t="s">
        <v>752</v>
      </c>
      <c r="R172" s="5">
        <f t="shared" ref="R172:R174" si="30">T172</f>
        <v>0.2</v>
      </c>
      <c r="S172" s="5"/>
      <c r="T172" s="8">
        <v>0.2</v>
      </c>
      <c r="U172" s="8" t="s">
        <v>745</v>
      </c>
      <c r="V172" s="8"/>
      <c r="W172" s="8"/>
      <c r="X172" s="8"/>
      <c r="Y172" s="8"/>
      <c r="Z172" s="8"/>
      <c r="AA172" s="8"/>
      <c r="AB172" s="8"/>
      <c r="AC172" s="8"/>
      <c r="AD172" s="8">
        <v>0.2</v>
      </c>
      <c r="AE172" s="8" t="s">
        <v>761</v>
      </c>
      <c r="AF172" s="8"/>
      <c r="AG172" s="8"/>
      <c r="AH172" s="8"/>
      <c r="AI172" s="8"/>
      <c r="AJ172" s="8" t="s">
        <v>884</v>
      </c>
      <c r="AK172" s="3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  <c r="BE172" s="8"/>
      <c r="BF172" s="8"/>
      <c r="BG172" s="8"/>
      <c r="BH172" s="8"/>
      <c r="BI172" s="8"/>
      <c r="BJ172" s="8"/>
    </row>
    <row r="173" spans="1:62" s="1" customFormat="1" x14ac:dyDescent="0.3">
      <c r="A173" s="8" t="s">
        <v>746</v>
      </c>
      <c r="B173" s="8" t="s">
        <v>301</v>
      </c>
      <c r="C173" s="8" t="s">
        <v>339</v>
      </c>
      <c r="D173" s="8" t="s">
        <v>28</v>
      </c>
      <c r="E173" s="8" t="s">
        <v>747</v>
      </c>
      <c r="F173" s="8" t="s">
        <v>293</v>
      </c>
      <c r="G173" s="14">
        <v>2009</v>
      </c>
      <c r="H173" s="34" t="s">
        <v>760</v>
      </c>
      <c r="I173" s="58">
        <v>54.115000000000002</v>
      </c>
      <c r="J173" s="58">
        <v>-72.501666666666694</v>
      </c>
      <c r="K173" s="8">
        <v>140</v>
      </c>
      <c r="L173" s="8"/>
      <c r="M173" s="8" t="s">
        <v>749</v>
      </c>
      <c r="N173" s="8" t="s">
        <v>241</v>
      </c>
      <c r="O173" s="14" t="s">
        <v>343</v>
      </c>
      <c r="P173" s="8" t="s">
        <v>36</v>
      </c>
      <c r="Q173" s="15" t="s">
        <v>755</v>
      </c>
      <c r="R173" s="5">
        <f t="shared" si="30"/>
        <v>2.6</v>
      </c>
      <c r="S173" s="5"/>
      <c r="T173" s="8">
        <v>2.6</v>
      </c>
      <c r="U173" s="8" t="s">
        <v>745</v>
      </c>
      <c r="V173" s="8"/>
      <c r="W173" s="8"/>
      <c r="X173" s="8"/>
      <c r="Y173" s="8"/>
      <c r="Z173" s="8"/>
      <c r="AA173" s="8"/>
      <c r="AB173" s="8"/>
      <c r="AC173" s="8"/>
      <c r="AD173" s="8">
        <v>2.6</v>
      </c>
      <c r="AE173" s="8" t="s">
        <v>761</v>
      </c>
      <c r="AF173" s="8"/>
      <c r="AG173" s="8"/>
      <c r="AH173" s="8"/>
      <c r="AI173" s="8"/>
      <c r="AJ173" s="8" t="s">
        <v>884</v>
      </c>
      <c r="AK173" s="3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  <c r="BE173" s="8"/>
      <c r="BF173" s="8"/>
      <c r="BG173" s="8"/>
      <c r="BH173" s="8"/>
      <c r="BI173" s="8"/>
      <c r="BJ173" s="8"/>
    </row>
    <row r="174" spans="1:62" s="1" customFormat="1" x14ac:dyDescent="0.3">
      <c r="A174" s="8" t="s">
        <v>746</v>
      </c>
      <c r="B174" s="8" t="s">
        <v>301</v>
      </c>
      <c r="C174" s="8" t="s">
        <v>339</v>
      </c>
      <c r="D174" s="8" t="s">
        <v>28</v>
      </c>
      <c r="E174" s="8" t="s">
        <v>747</v>
      </c>
      <c r="F174" s="8" t="s">
        <v>293</v>
      </c>
      <c r="G174" s="14">
        <v>2009</v>
      </c>
      <c r="H174" s="34" t="s">
        <v>760</v>
      </c>
      <c r="I174" s="58">
        <v>54.115000000000002</v>
      </c>
      <c r="J174" s="58">
        <v>-72.501666666666694</v>
      </c>
      <c r="K174" s="8">
        <v>140</v>
      </c>
      <c r="L174" s="8"/>
      <c r="M174" s="8" t="s">
        <v>749</v>
      </c>
      <c r="N174" s="8" t="s">
        <v>753</v>
      </c>
      <c r="O174" s="14" t="s">
        <v>343</v>
      </c>
      <c r="P174" s="8" t="s">
        <v>36</v>
      </c>
      <c r="Q174" s="15" t="s">
        <v>756</v>
      </c>
      <c r="R174" s="5">
        <f t="shared" si="30"/>
        <v>0.7</v>
      </c>
      <c r="S174" s="5"/>
      <c r="T174" s="8">
        <v>0.7</v>
      </c>
      <c r="U174" s="8" t="s">
        <v>745</v>
      </c>
      <c r="V174" s="8"/>
      <c r="W174" s="8"/>
      <c r="X174" s="8"/>
      <c r="Y174" s="8"/>
      <c r="Z174" s="8"/>
      <c r="AA174" s="8"/>
      <c r="AB174" s="8"/>
      <c r="AC174" s="8"/>
      <c r="AD174" s="8">
        <v>0.7</v>
      </c>
      <c r="AE174" s="8" t="s">
        <v>761</v>
      </c>
      <c r="AF174" s="8"/>
      <c r="AG174" s="8"/>
      <c r="AH174" s="8"/>
      <c r="AI174" s="8"/>
      <c r="AJ174" s="8" t="s">
        <v>884</v>
      </c>
      <c r="AK174" s="3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  <c r="BE174" s="8"/>
      <c r="BF174" s="8"/>
      <c r="BG174" s="8"/>
      <c r="BH174" s="8"/>
      <c r="BI174" s="8"/>
      <c r="BJ174" s="8"/>
    </row>
    <row r="175" spans="1:62" s="1" customFormat="1" x14ac:dyDescent="0.3">
      <c r="A175" s="8" t="s">
        <v>746</v>
      </c>
      <c r="B175" s="8" t="s">
        <v>301</v>
      </c>
      <c r="C175" s="8" t="s">
        <v>339</v>
      </c>
      <c r="D175" s="8" t="s">
        <v>28</v>
      </c>
      <c r="E175" s="8" t="s">
        <v>747</v>
      </c>
      <c r="F175" s="8" t="s">
        <v>293</v>
      </c>
      <c r="G175" s="14">
        <v>2009</v>
      </c>
      <c r="H175" s="34" t="s">
        <v>762</v>
      </c>
      <c r="I175" s="58">
        <v>54.115000000000002</v>
      </c>
      <c r="J175" s="58">
        <v>-72.501666666666694</v>
      </c>
      <c r="K175" s="8">
        <v>140</v>
      </c>
      <c r="L175" s="8"/>
      <c r="M175" s="8" t="s">
        <v>758</v>
      </c>
      <c r="N175" s="8" t="s">
        <v>750</v>
      </c>
      <c r="O175" s="14"/>
      <c r="P175" s="8" t="s">
        <v>36</v>
      </c>
      <c r="Q175" s="15"/>
      <c r="R175" s="8"/>
      <c r="S175" s="8"/>
      <c r="T175" s="8"/>
      <c r="U175" s="8"/>
      <c r="V175" s="8"/>
      <c r="W175" s="8">
        <f>X175</f>
        <v>150.80000000000001</v>
      </c>
      <c r="X175" s="8">
        <v>150.80000000000001</v>
      </c>
      <c r="Y175" s="8" t="s">
        <v>763</v>
      </c>
      <c r="Z175" s="25" t="s">
        <v>572</v>
      </c>
      <c r="AA175" s="25"/>
      <c r="AB175" s="25"/>
      <c r="AC175" s="25"/>
      <c r="AD175" s="8">
        <v>150.80000000000001</v>
      </c>
      <c r="AE175" s="8" t="s">
        <v>764</v>
      </c>
      <c r="AF175" s="8"/>
      <c r="AG175" s="8"/>
      <c r="AH175" s="8"/>
      <c r="AI175" s="8"/>
      <c r="AJ175" s="8" t="s">
        <v>884</v>
      </c>
      <c r="AK175" s="3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  <c r="BE175" s="8"/>
      <c r="BF175" s="8"/>
      <c r="BG175" s="8"/>
      <c r="BH175" s="8"/>
      <c r="BI175" s="8"/>
      <c r="BJ175" s="8"/>
    </row>
    <row r="176" spans="1:62" s="1" customFormat="1" x14ac:dyDescent="0.3">
      <c r="A176" s="8" t="s">
        <v>746</v>
      </c>
      <c r="B176" s="8" t="s">
        <v>301</v>
      </c>
      <c r="C176" s="8" t="s">
        <v>339</v>
      </c>
      <c r="D176" s="8" t="s">
        <v>28</v>
      </c>
      <c r="E176" s="8" t="s">
        <v>747</v>
      </c>
      <c r="F176" s="8" t="s">
        <v>293</v>
      </c>
      <c r="G176" s="14">
        <v>2009</v>
      </c>
      <c r="H176" s="34" t="s">
        <v>765</v>
      </c>
      <c r="I176" s="58">
        <v>54.115000000000002</v>
      </c>
      <c r="J176" s="58">
        <v>-72.501666666666694</v>
      </c>
      <c r="K176" s="8">
        <v>140</v>
      </c>
      <c r="L176" s="8"/>
      <c r="M176" s="8" t="s">
        <v>749</v>
      </c>
      <c r="N176" s="8" t="s">
        <v>751</v>
      </c>
      <c r="O176" s="14" t="s">
        <v>343</v>
      </c>
      <c r="P176" s="8" t="s">
        <v>36</v>
      </c>
      <c r="Q176" s="15" t="s">
        <v>752</v>
      </c>
      <c r="R176" s="24">
        <f t="shared" ref="R176:R178" si="31">T176</f>
        <v>-0.7</v>
      </c>
      <c r="S176" s="5"/>
      <c r="T176" s="8">
        <v>-0.7</v>
      </c>
      <c r="U176" s="8" t="s">
        <v>745</v>
      </c>
      <c r="V176" s="8"/>
      <c r="W176" s="8"/>
      <c r="X176" s="8"/>
      <c r="Y176" s="8"/>
      <c r="Z176" s="8"/>
      <c r="AA176" s="8"/>
      <c r="AB176" s="8"/>
      <c r="AC176" s="8"/>
      <c r="AD176" s="8">
        <v>1.5</v>
      </c>
      <c r="AE176" s="8" t="s">
        <v>766</v>
      </c>
      <c r="AF176" s="8"/>
      <c r="AG176" s="8"/>
      <c r="AH176" s="8"/>
      <c r="AI176" s="8"/>
      <c r="AJ176" s="8" t="s">
        <v>884</v>
      </c>
      <c r="AK176" s="3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  <c r="BE176" s="8"/>
      <c r="BF176" s="8"/>
      <c r="BG176" s="8"/>
      <c r="BH176" s="8"/>
      <c r="BI176" s="8"/>
      <c r="BJ176" s="8"/>
    </row>
    <row r="177" spans="1:62" s="1" customFormat="1" x14ac:dyDescent="0.3">
      <c r="A177" s="8" t="s">
        <v>746</v>
      </c>
      <c r="B177" s="8" t="s">
        <v>301</v>
      </c>
      <c r="C177" s="8" t="s">
        <v>339</v>
      </c>
      <c r="D177" s="8" t="s">
        <v>28</v>
      </c>
      <c r="E177" s="8" t="s">
        <v>747</v>
      </c>
      <c r="F177" s="8" t="s">
        <v>293</v>
      </c>
      <c r="G177" s="14">
        <v>2009</v>
      </c>
      <c r="H177" s="34" t="s">
        <v>765</v>
      </c>
      <c r="I177" s="58">
        <v>54.115000000000002</v>
      </c>
      <c r="J177" s="58">
        <v>-72.501666666666694</v>
      </c>
      <c r="K177" s="8">
        <v>140</v>
      </c>
      <c r="L177" s="8"/>
      <c r="M177" s="8" t="s">
        <v>749</v>
      </c>
      <c r="N177" s="8" t="s">
        <v>241</v>
      </c>
      <c r="O177" s="14" t="s">
        <v>343</v>
      </c>
      <c r="P177" s="8" t="s">
        <v>36</v>
      </c>
      <c r="Q177" s="15" t="s">
        <v>755</v>
      </c>
      <c r="R177" s="24">
        <f t="shared" si="31"/>
        <v>2.1</v>
      </c>
      <c r="S177" s="5"/>
      <c r="T177" s="8">
        <v>2.1</v>
      </c>
      <c r="U177" s="8" t="s">
        <v>745</v>
      </c>
      <c r="V177" s="8"/>
      <c r="W177" s="8"/>
      <c r="X177" s="8"/>
      <c r="Y177" s="8"/>
      <c r="Z177" s="8"/>
      <c r="AA177" s="8"/>
      <c r="AB177" s="8"/>
      <c r="AC177" s="8"/>
      <c r="AD177" s="8">
        <v>10.4</v>
      </c>
      <c r="AE177" s="8" t="s">
        <v>766</v>
      </c>
      <c r="AF177" s="8"/>
      <c r="AG177" s="8"/>
      <c r="AH177" s="8"/>
      <c r="AI177" s="8"/>
      <c r="AJ177" s="8" t="s">
        <v>884</v>
      </c>
      <c r="AK177" s="3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  <c r="BE177" s="8"/>
      <c r="BF177" s="8"/>
      <c r="BG177" s="8"/>
      <c r="BH177" s="8"/>
      <c r="BI177" s="8"/>
      <c r="BJ177" s="8"/>
    </row>
    <row r="178" spans="1:62" s="1" customFormat="1" x14ac:dyDescent="0.3">
      <c r="A178" s="8" t="s">
        <v>746</v>
      </c>
      <c r="B178" s="8" t="s">
        <v>301</v>
      </c>
      <c r="C178" s="8" t="s">
        <v>339</v>
      </c>
      <c r="D178" s="8" t="s">
        <v>28</v>
      </c>
      <c r="E178" s="8" t="s">
        <v>747</v>
      </c>
      <c r="F178" s="8" t="s">
        <v>293</v>
      </c>
      <c r="G178" s="14">
        <v>2009</v>
      </c>
      <c r="H178" s="34" t="s">
        <v>765</v>
      </c>
      <c r="I178" s="58">
        <v>54.115000000000002</v>
      </c>
      <c r="J178" s="58">
        <v>-72.501666666666694</v>
      </c>
      <c r="K178" s="8">
        <v>140</v>
      </c>
      <c r="L178" s="8"/>
      <c r="M178" s="8" t="s">
        <v>749</v>
      </c>
      <c r="N178" s="8" t="s">
        <v>753</v>
      </c>
      <c r="O178" s="14" t="s">
        <v>343</v>
      </c>
      <c r="P178" s="8" t="s">
        <v>36</v>
      </c>
      <c r="Q178" s="15" t="s">
        <v>756</v>
      </c>
      <c r="R178" s="24">
        <f t="shared" si="31"/>
        <v>0.3</v>
      </c>
      <c r="S178" s="5"/>
      <c r="T178" s="8">
        <v>0.3</v>
      </c>
      <c r="U178" s="8" t="s">
        <v>745</v>
      </c>
      <c r="V178" s="8"/>
      <c r="W178" s="8"/>
      <c r="X178" s="8"/>
      <c r="Y178" s="8"/>
      <c r="Z178" s="8"/>
      <c r="AA178" s="8"/>
      <c r="AB178" s="8"/>
      <c r="AC178" s="8"/>
      <c r="AD178" s="8">
        <v>4.9000000000000004</v>
      </c>
      <c r="AE178" s="8" t="s">
        <v>766</v>
      </c>
      <c r="AF178" s="8"/>
      <c r="AG178" s="8"/>
      <c r="AH178" s="8"/>
      <c r="AI178" s="8"/>
      <c r="AJ178" s="8" t="s">
        <v>884</v>
      </c>
      <c r="AK178" s="3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  <c r="BE178" s="8"/>
      <c r="BF178" s="8"/>
      <c r="BG178" s="8"/>
      <c r="BH178" s="8"/>
      <c r="BI178" s="8"/>
      <c r="BJ178" s="8"/>
    </row>
    <row r="179" spans="1:62" s="1" customFormat="1" x14ac:dyDescent="0.3">
      <c r="A179" s="8" t="s">
        <v>746</v>
      </c>
      <c r="B179" s="8" t="s">
        <v>301</v>
      </c>
      <c r="C179" s="8" t="s">
        <v>339</v>
      </c>
      <c r="D179" s="8" t="s">
        <v>28</v>
      </c>
      <c r="E179" s="8" t="s">
        <v>747</v>
      </c>
      <c r="F179" s="8" t="s">
        <v>293</v>
      </c>
      <c r="G179" s="14">
        <v>2009</v>
      </c>
      <c r="H179" s="34" t="s">
        <v>767</v>
      </c>
      <c r="I179" s="58">
        <v>54.115000000000002</v>
      </c>
      <c r="J179" s="58">
        <v>-72.501666666666694</v>
      </c>
      <c r="K179" s="8">
        <v>140</v>
      </c>
      <c r="L179" s="8"/>
      <c r="M179" s="8" t="s">
        <v>758</v>
      </c>
      <c r="N179" s="8" t="s">
        <v>750</v>
      </c>
      <c r="O179" s="14"/>
      <c r="P179" s="8" t="s">
        <v>36</v>
      </c>
      <c r="Q179" s="15"/>
      <c r="R179" s="8"/>
      <c r="S179" s="8"/>
      <c r="T179" s="8"/>
      <c r="U179" s="8"/>
      <c r="V179" s="8"/>
      <c r="W179" s="8">
        <f>X179</f>
        <v>247.7</v>
      </c>
      <c r="X179" s="8">
        <v>247.7</v>
      </c>
      <c r="Y179" s="8" t="s">
        <v>763</v>
      </c>
      <c r="Z179" s="25" t="s">
        <v>572</v>
      </c>
      <c r="AA179" s="25"/>
      <c r="AB179" s="25"/>
      <c r="AC179" s="25"/>
      <c r="AD179" s="8">
        <v>704.8</v>
      </c>
      <c r="AE179" s="8" t="s">
        <v>768</v>
      </c>
      <c r="AF179" s="8"/>
      <c r="AG179" s="8"/>
      <c r="AH179" s="8"/>
      <c r="AI179" s="8"/>
      <c r="AJ179" s="8" t="s">
        <v>884</v>
      </c>
      <c r="AK179" s="3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  <c r="BE179" s="8"/>
      <c r="BF179" s="8"/>
      <c r="BG179" s="8"/>
      <c r="BH179" s="8"/>
      <c r="BI179" s="8"/>
      <c r="BJ179" s="8"/>
    </row>
    <row r="180" spans="1:62" s="1" customFormat="1" x14ac:dyDescent="0.3">
      <c r="A180" s="8" t="s">
        <v>746</v>
      </c>
      <c r="B180" s="8" t="s">
        <v>301</v>
      </c>
      <c r="C180" s="8" t="s">
        <v>339</v>
      </c>
      <c r="D180" s="8" t="s">
        <v>28</v>
      </c>
      <c r="E180" s="8" t="s">
        <v>747</v>
      </c>
      <c r="F180" s="8" t="s">
        <v>293</v>
      </c>
      <c r="G180" s="14">
        <v>2010</v>
      </c>
      <c r="H180" s="34" t="s">
        <v>748</v>
      </c>
      <c r="I180" s="58">
        <v>54.115000000000002</v>
      </c>
      <c r="J180" s="58">
        <v>-72.501666666666694</v>
      </c>
      <c r="K180" s="8">
        <v>140</v>
      </c>
      <c r="L180" s="8"/>
      <c r="M180" s="8" t="s">
        <v>749</v>
      </c>
      <c r="N180" s="8" t="s">
        <v>751</v>
      </c>
      <c r="O180" s="14" t="s">
        <v>343</v>
      </c>
      <c r="P180" s="8" t="s">
        <v>36</v>
      </c>
      <c r="Q180" s="15" t="s">
        <v>756</v>
      </c>
      <c r="R180" s="5">
        <f t="shared" ref="R180:R182" si="32">T180</f>
        <v>-0.02</v>
      </c>
      <c r="S180" s="5"/>
      <c r="T180" s="8">
        <v>-0.02</v>
      </c>
      <c r="U180" s="8" t="s">
        <v>745</v>
      </c>
      <c r="V180" s="8"/>
      <c r="W180" s="8"/>
      <c r="X180" s="8"/>
      <c r="Y180" s="8"/>
      <c r="Z180" s="8"/>
      <c r="AA180" s="8"/>
      <c r="AB180" s="8"/>
      <c r="AC180" s="8"/>
      <c r="AD180" s="8">
        <v>0.7</v>
      </c>
      <c r="AE180" s="8" t="s">
        <v>754</v>
      </c>
      <c r="AF180" s="8"/>
      <c r="AG180" s="8"/>
      <c r="AH180" s="8"/>
      <c r="AI180" s="8"/>
      <c r="AJ180" s="8" t="s">
        <v>884</v>
      </c>
      <c r="AK180" s="3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  <c r="BE180" s="8"/>
      <c r="BF180" s="8"/>
      <c r="BG180" s="8"/>
      <c r="BH180" s="8"/>
      <c r="BI180" s="8"/>
      <c r="BJ180" s="8"/>
    </row>
    <row r="181" spans="1:62" s="1" customFormat="1" x14ac:dyDescent="0.3">
      <c r="A181" s="8" t="s">
        <v>746</v>
      </c>
      <c r="B181" s="8" t="s">
        <v>301</v>
      </c>
      <c r="C181" s="8" t="s">
        <v>339</v>
      </c>
      <c r="D181" s="8" t="s">
        <v>28</v>
      </c>
      <c r="E181" s="8" t="s">
        <v>747</v>
      </c>
      <c r="F181" s="8" t="s">
        <v>293</v>
      </c>
      <c r="G181" s="14">
        <v>2010</v>
      </c>
      <c r="H181" s="34" t="s">
        <v>748</v>
      </c>
      <c r="I181" s="58">
        <v>54.115000000000002</v>
      </c>
      <c r="J181" s="58">
        <v>-72.501666666666694</v>
      </c>
      <c r="K181" s="8">
        <v>140</v>
      </c>
      <c r="L181" s="8"/>
      <c r="M181" s="8" t="s">
        <v>749</v>
      </c>
      <c r="N181" s="8" t="s">
        <v>241</v>
      </c>
      <c r="O181" s="14" t="s">
        <v>343</v>
      </c>
      <c r="P181" s="8" t="s">
        <v>36</v>
      </c>
      <c r="Q181" s="15" t="s">
        <v>755</v>
      </c>
      <c r="R181" s="5">
        <f t="shared" si="32"/>
        <v>1.5</v>
      </c>
      <c r="S181" s="5"/>
      <c r="T181" s="8">
        <v>1.5</v>
      </c>
      <c r="U181" s="8" t="s">
        <v>745</v>
      </c>
      <c r="V181" s="8"/>
      <c r="W181" s="8"/>
      <c r="X181" s="8"/>
      <c r="Y181" s="8"/>
      <c r="Z181" s="8"/>
      <c r="AA181" s="8"/>
      <c r="AB181" s="8"/>
      <c r="AC181" s="8"/>
      <c r="AD181" s="8">
        <v>5.8</v>
      </c>
      <c r="AE181" s="8" t="s">
        <v>754</v>
      </c>
      <c r="AF181" s="8"/>
      <c r="AG181" s="8"/>
      <c r="AH181" s="8"/>
      <c r="AI181" s="8"/>
      <c r="AJ181" s="8" t="s">
        <v>884</v>
      </c>
      <c r="AK181" s="3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  <c r="BE181" s="8"/>
      <c r="BF181" s="8"/>
      <c r="BG181" s="8"/>
      <c r="BH181" s="8"/>
      <c r="BI181" s="8"/>
      <c r="BJ181" s="8"/>
    </row>
    <row r="182" spans="1:62" s="1" customFormat="1" x14ac:dyDescent="0.3">
      <c r="A182" s="8" t="s">
        <v>746</v>
      </c>
      <c r="B182" s="8" t="s">
        <v>301</v>
      </c>
      <c r="C182" s="8" t="s">
        <v>339</v>
      </c>
      <c r="D182" s="8" t="s">
        <v>28</v>
      </c>
      <c r="E182" s="8" t="s">
        <v>747</v>
      </c>
      <c r="F182" s="8" t="s">
        <v>293</v>
      </c>
      <c r="G182" s="14">
        <v>2010</v>
      </c>
      <c r="H182" s="34" t="s">
        <v>748</v>
      </c>
      <c r="I182" s="58">
        <v>54.115000000000002</v>
      </c>
      <c r="J182" s="58">
        <v>-72.501666666666694</v>
      </c>
      <c r="K182" s="8">
        <v>140</v>
      </c>
      <c r="L182" s="8"/>
      <c r="M182" s="8" t="s">
        <v>749</v>
      </c>
      <c r="N182" s="8" t="s">
        <v>753</v>
      </c>
      <c r="O182" s="14" t="s">
        <v>343</v>
      </c>
      <c r="P182" s="8" t="s">
        <v>36</v>
      </c>
      <c r="Q182" s="15" t="s">
        <v>769</v>
      </c>
      <c r="R182" s="5">
        <f t="shared" si="32"/>
        <v>0.5</v>
      </c>
      <c r="S182" s="5"/>
      <c r="T182" s="8">
        <v>0.5</v>
      </c>
      <c r="U182" s="8" t="s">
        <v>745</v>
      </c>
      <c r="V182" s="8"/>
      <c r="W182" s="8"/>
      <c r="X182" s="8"/>
      <c r="Y182" s="8"/>
      <c r="Z182" s="8"/>
      <c r="AA182" s="8"/>
      <c r="AB182" s="8"/>
      <c r="AC182" s="8"/>
      <c r="AD182" s="8">
        <v>2.2000000000000002</v>
      </c>
      <c r="AE182" s="8" t="s">
        <v>754</v>
      </c>
      <c r="AF182" s="8"/>
      <c r="AG182" s="8"/>
      <c r="AH182" s="8"/>
      <c r="AI182" s="8"/>
      <c r="AJ182" s="8" t="s">
        <v>884</v>
      </c>
      <c r="AK182" s="3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  <c r="BE182" s="8"/>
      <c r="BF182" s="8"/>
      <c r="BG182" s="8"/>
      <c r="BH182" s="8"/>
      <c r="BI182" s="8"/>
      <c r="BJ182" s="8"/>
    </row>
    <row r="183" spans="1:62" s="1" customFormat="1" x14ac:dyDescent="0.3">
      <c r="A183" s="8" t="s">
        <v>746</v>
      </c>
      <c r="B183" s="8" t="s">
        <v>301</v>
      </c>
      <c r="C183" s="8" t="s">
        <v>339</v>
      </c>
      <c r="D183" s="8" t="s">
        <v>28</v>
      </c>
      <c r="E183" s="8" t="s">
        <v>747</v>
      </c>
      <c r="F183" s="8" t="s">
        <v>293</v>
      </c>
      <c r="G183" s="14">
        <v>2010</v>
      </c>
      <c r="H183" s="34" t="s">
        <v>757</v>
      </c>
      <c r="I183" s="58">
        <v>54.115000000000002</v>
      </c>
      <c r="J183" s="58">
        <v>-72.501666666666694</v>
      </c>
      <c r="K183" s="8">
        <v>140</v>
      </c>
      <c r="L183" s="8"/>
      <c r="M183" s="8" t="s">
        <v>758</v>
      </c>
      <c r="N183" s="8" t="s">
        <v>750</v>
      </c>
      <c r="O183" s="14"/>
      <c r="P183" s="8" t="s">
        <v>36</v>
      </c>
      <c r="Q183" s="15"/>
      <c r="R183" s="8"/>
      <c r="S183" s="8"/>
      <c r="T183" s="8"/>
      <c r="U183" s="8"/>
      <c r="V183" s="8"/>
      <c r="W183" s="8">
        <f>X183</f>
        <v>272.39999999999998</v>
      </c>
      <c r="X183" s="8">
        <v>272.39999999999998</v>
      </c>
      <c r="Y183" s="8" t="s">
        <v>624</v>
      </c>
      <c r="Z183" s="26" t="s">
        <v>576</v>
      </c>
      <c r="AA183" s="26"/>
      <c r="AB183" s="26"/>
      <c r="AC183" s="26"/>
      <c r="AD183" s="8">
        <v>755.6</v>
      </c>
      <c r="AE183" s="8" t="s">
        <v>759</v>
      </c>
      <c r="AF183" s="8"/>
      <c r="AG183" s="8"/>
      <c r="AH183" s="8"/>
      <c r="AI183" s="8"/>
      <c r="AJ183" s="8" t="s">
        <v>884</v>
      </c>
      <c r="AK183" s="3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  <c r="BE183" s="8"/>
      <c r="BF183" s="8"/>
      <c r="BG183" s="8"/>
      <c r="BH183" s="8"/>
      <c r="BI183" s="8"/>
      <c r="BJ183" s="8"/>
    </row>
    <row r="184" spans="1:62" s="1" customFormat="1" x14ac:dyDescent="0.3">
      <c r="A184" s="8" t="s">
        <v>746</v>
      </c>
      <c r="B184" s="8" t="s">
        <v>301</v>
      </c>
      <c r="C184" s="8" t="s">
        <v>339</v>
      </c>
      <c r="D184" s="8" t="s">
        <v>28</v>
      </c>
      <c r="E184" s="8" t="s">
        <v>747</v>
      </c>
      <c r="F184" s="8" t="s">
        <v>293</v>
      </c>
      <c r="G184" s="14">
        <v>2010</v>
      </c>
      <c r="H184" s="34" t="s">
        <v>760</v>
      </c>
      <c r="I184" s="58">
        <v>54.115000000000002</v>
      </c>
      <c r="J184" s="58">
        <v>-72.501666666666694</v>
      </c>
      <c r="K184" s="8">
        <v>140</v>
      </c>
      <c r="L184" s="8"/>
      <c r="M184" s="8" t="s">
        <v>749</v>
      </c>
      <c r="N184" s="8" t="s">
        <v>751</v>
      </c>
      <c r="O184" s="14" t="s">
        <v>343</v>
      </c>
      <c r="P184" s="8" t="s">
        <v>36</v>
      </c>
      <c r="Q184" s="15" t="s">
        <v>756</v>
      </c>
      <c r="R184" s="5">
        <f t="shared" ref="R184:R186" si="33">T184</f>
        <v>0.2</v>
      </c>
      <c r="S184" s="5"/>
      <c r="T184" s="8">
        <v>0.2</v>
      </c>
      <c r="U184" s="8" t="s">
        <v>745</v>
      </c>
      <c r="V184" s="8"/>
      <c r="W184" s="8"/>
      <c r="X184" s="8"/>
      <c r="Y184" s="8"/>
      <c r="Z184" s="8"/>
      <c r="AA184" s="8"/>
      <c r="AB184" s="8"/>
      <c r="AC184" s="8"/>
      <c r="AD184" s="8">
        <v>0.2</v>
      </c>
      <c r="AE184" s="8" t="s">
        <v>761</v>
      </c>
      <c r="AF184" s="8"/>
      <c r="AG184" s="8"/>
      <c r="AH184" s="8"/>
      <c r="AI184" s="8"/>
      <c r="AJ184" s="8" t="s">
        <v>884</v>
      </c>
      <c r="AK184" s="3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  <c r="BE184" s="8"/>
      <c r="BF184" s="8"/>
      <c r="BG184" s="8"/>
      <c r="BH184" s="8"/>
      <c r="BI184" s="8"/>
      <c r="BJ184" s="8"/>
    </row>
    <row r="185" spans="1:62" s="1" customFormat="1" x14ac:dyDescent="0.3">
      <c r="A185" s="8" t="s">
        <v>746</v>
      </c>
      <c r="B185" s="8" t="s">
        <v>301</v>
      </c>
      <c r="C185" s="8" t="s">
        <v>339</v>
      </c>
      <c r="D185" s="8" t="s">
        <v>28</v>
      </c>
      <c r="E185" s="8" t="s">
        <v>747</v>
      </c>
      <c r="F185" s="8" t="s">
        <v>293</v>
      </c>
      <c r="G185" s="14">
        <v>2010</v>
      </c>
      <c r="H185" s="34" t="s">
        <v>760</v>
      </c>
      <c r="I185" s="58">
        <v>54.115000000000002</v>
      </c>
      <c r="J185" s="58">
        <v>-72.501666666666694</v>
      </c>
      <c r="K185" s="8">
        <v>140</v>
      </c>
      <c r="L185" s="8"/>
      <c r="M185" s="8" t="s">
        <v>749</v>
      </c>
      <c r="N185" s="8" t="s">
        <v>241</v>
      </c>
      <c r="O185" s="14" t="s">
        <v>343</v>
      </c>
      <c r="P185" s="8" t="s">
        <v>36</v>
      </c>
      <c r="Q185" s="15" t="s">
        <v>755</v>
      </c>
      <c r="R185" s="5">
        <f t="shared" si="33"/>
        <v>2.7</v>
      </c>
      <c r="S185" s="5"/>
      <c r="T185" s="8">
        <v>2.7</v>
      </c>
      <c r="U185" s="8" t="s">
        <v>745</v>
      </c>
      <c r="V185" s="8"/>
      <c r="W185" s="8"/>
      <c r="X185" s="8"/>
      <c r="Y185" s="8"/>
      <c r="Z185" s="8"/>
      <c r="AA185" s="8"/>
      <c r="AB185" s="8"/>
      <c r="AC185" s="8"/>
      <c r="AD185" s="8">
        <v>2.7</v>
      </c>
      <c r="AE185" s="8" t="s">
        <v>761</v>
      </c>
      <c r="AF185" s="8"/>
      <c r="AG185" s="8"/>
      <c r="AH185" s="8"/>
      <c r="AI185" s="8"/>
      <c r="AJ185" s="8" t="s">
        <v>884</v>
      </c>
      <c r="AK185" s="3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</row>
    <row r="186" spans="1:62" s="1" customFormat="1" x14ac:dyDescent="0.3">
      <c r="A186" s="8" t="s">
        <v>746</v>
      </c>
      <c r="B186" s="8" t="s">
        <v>301</v>
      </c>
      <c r="C186" s="8" t="s">
        <v>339</v>
      </c>
      <c r="D186" s="8" t="s">
        <v>28</v>
      </c>
      <c r="E186" s="8" t="s">
        <v>747</v>
      </c>
      <c r="F186" s="8" t="s">
        <v>293</v>
      </c>
      <c r="G186" s="14">
        <v>2010</v>
      </c>
      <c r="H186" s="34" t="s">
        <v>760</v>
      </c>
      <c r="I186" s="58">
        <v>54.115000000000002</v>
      </c>
      <c r="J186" s="58">
        <v>-72.501666666666694</v>
      </c>
      <c r="K186" s="8">
        <v>140</v>
      </c>
      <c r="L186" s="8"/>
      <c r="M186" s="8" t="s">
        <v>749</v>
      </c>
      <c r="N186" s="8" t="s">
        <v>753</v>
      </c>
      <c r="O186" s="14" t="s">
        <v>343</v>
      </c>
      <c r="P186" s="8" t="s">
        <v>36</v>
      </c>
      <c r="Q186" s="15" t="s">
        <v>769</v>
      </c>
      <c r="R186" s="5">
        <f t="shared" si="33"/>
        <v>0.7</v>
      </c>
      <c r="S186" s="5"/>
      <c r="T186" s="8">
        <v>0.7</v>
      </c>
      <c r="U186" s="8" t="s">
        <v>745</v>
      </c>
      <c r="V186" s="8"/>
      <c r="W186" s="8"/>
      <c r="X186" s="8"/>
      <c r="Y186" s="8"/>
      <c r="Z186" s="8"/>
      <c r="AA186" s="8"/>
      <c r="AB186" s="8"/>
      <c r="AC186" s="8"/>
      <c r="AD186" s="8">
        <v>0.7</v>
      </c>
      <c r="AE186" s="8" t="s">
        <v>761</v>
      </c>
      <c r="AF186" s="8"/>
      <c r="AG186" s="8"/>
      <c r="AH186" s="8"/>
      <c r="AI186" s="8"/>
      <c r="AJ186" s="8" t="s">
        <v>884</v>
      </c>
      <c r="AK186" s="3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  <c r="BE186" s="8"/>
      <c r="BF186" s="8"/>
      <c r="BG186" s="8"/>
      <c r="BH186" s="8"/>
      <c r="BI186" s="8"/>
      <c r="BJ186" s="8"/>
    </row>
    <row r="187" spans="1:62" s="1" customFormat="1" x14ac:dyDescent="0.3">
      <c r="A187" s="8" t="s">
        <v>746</v>
      </c>
      <c r="B187" s="8" t="s">
        <v>301</v>
      </c>
      <c r="C187" s="8" t="s">
        <v>339</v>
      </c>
      <c r="D187" s="8" t="s">
        <v>28</v>
      </c>
      <c r="E187" s="8" t="s">
        <v>747</v>
      </c>
      <c r="F187" s="8" t="s">
        <v>293</v>
      </c>
      <c r="G187" s="14">
        <v>2010</v>
      </c>
      <c r="H187" s="34" t="s">
        <v>770</v>
      </c>
      <c r="I187" s="58">
        <v>54.115000000000002</v>
      </c>
      <c r="J187" s="58">
        <v>-72.501666666666694</v>
      </c>
      <c r="K187" s="8">
        <v>140</v>
      </c>
      <c r="L187" s="8"/>
      <c r="M187" s="8" t="s">
        <v>758</v>
      </c>
      <c r="N187" s="8" t="s">
        <v>750</v>
      </c>
      <c r="O187" s="14"/>
      <c r="P187" s="8" t="s">
        <v>36</v>
      </c>
      <c r="Q187" s="15"/>
      <c r="R187" s="8"/>
      <c r="S187" s="8"/>
      <c r="T187" s="8"/>
      <c r="U187" s="8"/>
      <c r="V187" s="8"/>
      <c r="W187" s="8">
        <f>X187</f>
        <v>150.80000000000001</v>
      </c>
      <c r="X187" s="8">
        <v>150.80000000000001</v>
      </c>
      <c r="Y187" s="8" t="s">
        <v>763</v>
      </c>
      <c r="Z187" s="25" t="s">
        <v>572</v>
      </c>
      <c r="AA187" s="25"/>
      <c r="AB187" s="25"/>
      <c r="AC187" s="25"/>
      <c r="AD187" s="8">
        <v>150.80000000000001</v>
      </c>
      <c r="AE187" s="8" t="s">
        <v>764</v>
      </c>
      <c r="AF187" s="8"/>
      <c r="AG187" s="8"/>
      <c r="AH187" s="8"/>
      <c r="AI187" s="8"/>
      <c r="AJ187" s="8" t="s">
        <v>884</v>
      </c>
      <c r="AK187" s="3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  <c r="BE187" s="8"/>
      <c r="BF187" s="8"/>
      <c r="BG187" s="8"/>
      <c r="BH187" s="8"/>
      <c r="BI187" s="8"/>
      <c r="BJ187" s="8"/>
    </row>
    <row r="188" spans="1:62" s="1" customFormat="1" x14ac:dyDescent="0.3">
      <c r="A188" s="8" t="s">
        <v>746</v>
      </c>
      <c r="B188" s="8" t="s">
        <v>301</v>
      </c>
      <c r="C188" s="8" t="s">
        <v>339</v>
      </c>
      <c r="D188" s="8" t="s">
        <v>28</v>
      </c>
      <c r="E188" s="8" t="s">
        <v>747</v>
      </c>
      <c r="F188" s="8" t="s">
        <v>293</v>
      </c>
      <c r="G188" s="14">
        <v>2010</v>
      </c>
      <c r="H188" s="34" t="s">
        <v>765</v>
      </c>
      <c r="I188" s="58">
        <v>54.115000000000002</v>
      </c>
      <c r="J188" s="58">
        <v>-72.501666666666694</v>
      </c>
      <c r="K188" s="8">
        <v>140</v>
      </c>
      <c r="L188" s="8"/>
      <c r="M188" s="8" t="s">
        <v>749</v>
      </c>
      <c r="N188" s="8" t="s">
        <v>751</v>
      </c>
      <c r="O188" s="14" t="s">
        <v>343</v>
      </c>
      <c r="P188" s="8" t="s">
        <v>36</v>
      </c>
      <c r="Q188" s="15" t="s">
        <v>756</v>
      </c>
      <c r="R188" s="24">
        <f t="shared" ref="R188:R190" si="34">T188</f>
        <v>-0.3</v>
      </c>
      <c r="S188" s="5"/>
      <c r="T188" s="8">
        <v>-0.3</v>
      </c>
      <c r="U188" s="8" t="s">
        <v>745</v>
      </c>
      <c r="V188" s="8"/>
      <c r="W188" s="8"/>
      <c r="X188" s="8"/>
      <c r="Y188" s="8"/>
      <c r="Z188" s="8"/>
      <c r="AA188" s="8"/>
      <c r="AB188" s="8"/>
      <c r="AC188" s="8"/>
      <c r="AD188" s="8">
        <v>1.3</v>
      </c>
      <c r="AE188" s="8" t="s">
        <v>766</v>
      </c>
      <c r="AF188" s="8"/>
      <c r="AG188" s="8"/>
      <c r="AH188" s="8"/>
      <c r="AI188" s="8"/>
      <c r="AJ188" s="8" t="s">
        <v>884</v>
      </c>
      <c r="AK188" s="3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  <c r="BE188" s="8"/>
      <c r="BF188" s="8"/>
      <c r="BG188" s="8"/>
      <c r="BH188" s="8"/>
      <c r="BI188" s="8"/>
      <c r="BJ188" s="8"/>
    </row>
    <row r="189" spans="1:62" s="1" customFormat="1" x14ac:dyDescent="0.3">
      <c r="A189" s="8" t="s">
        <v>746</v>
      </c>
      <c r="B189" s="8" t="s">
        <v>301</v>
      </c>
      <c r="C189" s="8" t="s">
        <v>339</v>
      </c>
      <c r="D189" s="8" t="s">
        <v>28</v>
      </c>
      <c r="E189" s="8" t="s">
        <v>747</v>
      </c>
      <c r="F189" s="8" t="s">
        <v>293</v>
      </c>
      <c r="G189" s="14">
        <v>2010</v>
      </c>
      <c r="H189" s="34" t="s">
        <v>765</v>
      </c>
      <c r="I189" s="58">
        <v>54.115000000000002</v>
      </c>
      <c r="J189" s="58">
        <v>-72.501666666666694</v>
      </c>
      <c r="K189" s="8">
        <v>140</v>
      </c>
      <c r="L189" s="8"/>
      <c r="M189" s="8" t="s">
        <v>749</v>
      </c>
      <c r="N189" s="8" t="s">
        <v>241</v>
      </c>
      <c r="O189" s="14" t="s">
        <v>343</v>
      </c>
      <c r="P189" s="8" t="s">
        <v>36</v>
      </c>
      <c r="Q189" s="15" t="s">
        <v>755</v>
      </c>
      <c r="R189" s="24">
        <f t="shared" si="34"/>
        <v>0.03</v>
      </c>
      <c r="S189" s="5"/>
      <c r="T189" s="8">
        <v>0.03</v>
      </c>
      <c r="U189" s="8" t="s">
        <v>745</v>
      </c>
      <c r="V189" s="8"/>
      <c r="W189" s="8"/>
      <c r="X189" s="8"/>
      <c r="Y189" s="8"/>
      <c r="Z189" s="8"/>
      <c r="AA189" s="8"/>
      <c r="AB189" s="8"/>
      <c r="AC189" s="8"/>
      <c r="AD189" s="8">
        <v>10</v>
      </c>
      <c r="AE189" s="8" t="s">
        <v>766</v>
      </c>
      <c r="AF189" s="8"/>
      <c r="AG189" s="8"/>
      <c r="AH189" s="8"/>
      <c r="AI189" s="8"/>
      <c r="AJ189" s="8" t="s">
        <v>884</v>
      </c>
      <c r="AK189" s="3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  <c r="BE189" s="8"/>
      <c r="BF189" s="8"/>
      <c r="BG189" s="8"/>
      <c r="BH189" s="8"/>
      <c r="BI189" s="8"/>
      <c r="BJ189" s="8"/>
    </row>
    <row r="190" spans="1:62" s="1" customFormat="1" x14ac:dyDescent="0.3">
      <c r="A190" s="8" t="s">
        <v>746</v>
      </c>
      <c r="B190" s="8" t="s">
        <v>301</v>
      </c>
      <c r="C190" s="8" t="s">
        <v>339</v>
      </c>
      <c r="D190" s="8" t="s">
        <v>28</v>
      </c>
      <c r="E190" s="8" t="s">
        <v>747</v>
      </c>
      <c r="F190" s="8" t="s">
        <v>293</v>
      </c>
      <c r="G190" s="14">
        <v>2010</v>
      </c>
      <c r="H190" s="34" t="s">
        <v>765</v>
      </c>
      <c r="I190" s="58">
        <v>54.115000000000002</v>
      </c>
      <c r="J190" s="58">
        <v>-72.501666666666694</v>
      </c>
      <c r="K190" s="8">
        <v>140</v>
      </c>
      <c r="L190" s="8"/>
      <c r="M190" s="8" t="s">
        <v>749</v>
      </c>
      <c r="N190" s="8" t="s">
        <v>753</v>
      </c>
      <c r="O190" s="14" t="s">
        <v>343</v>
      </c>
      <c r="P190" s="8" t="s">
        <v>36</v>
      </c>
      <c r="Q190" s="15" t="s">
        <v>769</v>
      </c>
      <c r="R190" s="24">
        <f t="shared" si="34"/>
        <v>0.3</v>
      </c>
      <c r="S190" s="5"/>
      <c r="T190" s="8">
        <v>0.3</v>
      </c>
      <c r="U190" s="8" t="s">
        <v>745</v>
      </c>
      <c r="V190" s="8"/>
      <c r="W190" s="8"/>
      <c r="X190" s="8"/>
      <c r="Y190" s="8"/>
      <c r="Z190" s="8"/>
      <c r="AA190" s="8"/>
      <c r="AB190" s="8"/>
      <c r="AC190" s="8"/>
      <c r="AD190" s="8">
        <v>4.0999999999999996</v>
      </c>
      <c r="AE190" s="8" t="s">
        <v>766</v>
      </c>
      <c r="AF190" s="8"/>
      <c r="AG190" s="8"/>
      <c r="AH190" s="8"/>
      <c r="AI190" s="8"/>
      <c r="AJ190" s="8" t="s">
        <v>884</v>
      </c>
      <c r="AK190" s="3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</row>
    <row r="191" spans="1:62" s="1" customFormat="1" x14ac:dyDescent="0.3">
      <c r="A191" s="8" t="s">
        <v>746</v>
      </c>
      <c r="B191" s="8" t="s">
        <v>301</v>
      </c>
      <c r="C191" s="8" t="s">
        <v>339</v>
      </c>
      <c r="D191" s="8" t="s">
        <v>28</v>
      </c>
      <c r="E191" s="8" t="s">
        <v>747</v>
      </c>
      <c r="F191" s="8" t="s">
        <v>293</v>
      </c>
      <c r="G191" s="14">
        <v>2010</v>
      </c>
      <c r="H191" s="34" t="s">
        <v>767</v>
      </c>
      <c r="I191" s="58">
        <v>54.115000000000002</v>
      </c>
      <c r="J191" s="58">
        <v>-72.501666666666694</v>
      </c>
      <c r="K191" s="8">
        <v>140</v>
      </c>
      <c r="L191" s="8"/>
      <c r="M191" s="8" t="s">
        <v>758</v>
      </c>
      <c r="N191" s="8" t="s">
        <v>750</v>
      </c>
      <c r="O191" s="14"/>
      <c r="P191" s="8" t="s">
        <v>36</v>
      </c>
      <c r="Q191" s="15"/>
      <c r="R191" s="8"/>
      <c r="S191" s="8"/>
      <c r="T191" s="8"/>
      <c r="U191" s="8"/>
      <c r="V191" s="8"/>
      <c r="W191" s="8">
        <f>X191</f>
        <v>124</v>
      </c>
      <c r="X191" s="8">
        <v>124</v>
      </c>
      <c r="Y191" s="8" t="s">
        <v>763</v>
      </c>
      <c r="Z191" s="25" t="s">
        <v>572</v>
      </c>
      <c r="AA191" s="25"/>
      <c r="AB191" s="25"/>
      <c r="AC191" s="25"/>
      <c r="AD191" s="8">
        <v>604.20000000000005</v>
      </c>
      <c r="AE191" s="8" t="s">
        <v>768</v>
      </c>
      <c r="AF191" s="8"/>
      <c r="AG191" s="8"/>
      <c r="AH191" s="8"/>
      <c r="AI191" s="8"/>
      <c r="AJ191" s="8" t="s">
        <v>884</v>
      </c>
      <c r="AK191" s="3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  <c r="BE191" s="8"/>
      <c r="BF191" s="8"/>
      <c r="BG191" s="8"/>
      <c r="BH191" s="8"/>
      <c r="BI191" s="8"/>
      <c r="BJ191" s="8"/>
    </row>
    <row r="192" spans="1:62" s="1" customFormat="1" x14ac:dyDescent="0.3">
      <c r="A192" s="8" t="s">
        <v>771</v>
      </c>
      <c r="B192" s="8" t="s">
        <v>301</v>
      </c>
      <c r="C192" s="3" t="s">
        <v>391</v>
      </c>
      <c r="D192" s="8" t="s">
        <v>164</v>
      </c>
      <c r="E192" s="8" t="s">
        <v>165</v>
      </c>
      <c r="F192" s="20" t="s">
        <v>118</v>
      </c>
      <c r="G192" s="14" t="s">
        <v>772</v>
      </c>
      <c r="H192" s="34" t="s">
        <v>773</v>
      </c>
      <c r="I192" s="59">
        <v>58</v>
      </c>
      <c r="J192" s="59">
        <v>-94</v>
      </c>
      <c r="K192" s="8">
        <v>126</v>
      </c>
      <c r="L192" s="8">
        <v>27</v>
      </c>
      <c r="M192" s="8" t="s">
        <v>774</v>
      </c>
      <c r="N192" s="8" t="s">
        <v>775</v>
      </c>
      <c r="O192" s="14" t="s">
        <v>414</v>
      </c>
      <c r="P192" s="8" t="s">
        <v>85</v>
      </c>
      <c r="Q192" s="15" t="s">
        <v>776</v>
      </c>
      <c r="R192" s="8">
        <f>AVERAGE(R193:R198)</f>
        <v>-0.86333333333333329</v>
      </c>
      <c r="S192" s="8"/>
      <c r="T192" s="27"/>
      <c r="U192" s="8"/>
      <c r="V192" s="8"/>
      <c r="W192" s="8">
        <f>AVERAGE(W193:W198)</f>
        <v>-72.783333333333331</v>
      </c>
      <c r="X192" s="8"/>
      <c r="Y192" s="17"/>
      <c r="Z192" s="25" t="s">
        <v>572</v>
      </c>
      <c r="AA192" s="25">
        <f>0.9*(365-K192)</f>
        <v>215.1</v>
      </c>
      <c r="AB192" s="25">
        <f>W192</f>
        <v>-72.783333333333331</v>
      </c>
      <c r="AC192" s="25">
        <f>W192+AA192</f>
        <v>142.31666666666666</v>
      </c>
      <c r="AD192" s="8"/>
      <c r="AE192" s="8"/>
      <c r="AF192" s="8"/>
      <c r="AG192" s="8"/>
      <c r="AH192" s="8"/>
      <c r="AI192" s="8"/>
      <c r="AJ192" s="8" t="s">
        <v>881</v>
      </c>
      <c r="AK192" s="3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  <c r="BE192" s="8"/>
      <c r="BF192" s="8"/>
      <c r="BG192" s="8"/>
      <c r="BH192" s="8"/>
      <c r="BI192" s="8"/>
      <c r="BJ192" s="8"/>
    </row>
    <row r="193" spans="1:62" s="13" customFormat="1" x14ac:dyDescent="0.3">
      <c r="A193" s="8" t="s">
        <v>777</v>
      </c>
      <c r="B193" s="8" t="s">
        <v>301</v>
      </c>
      <c r="C193" s="3" t="s">
        <v>391</v>
      </c>
      <c r="D193" s="8" t="s">
        <v>164</v>
      </c>
      <c r="E193" s="8" t="s">
        <v>165</v>
      </c>
      <c r="F193" s="20" t="s">
        <v>118</v>
      </c>
      <c r="G193" s="14">
        <v>1993</v>
      </c>
      <c r="H193" s="34" t="s">
        <v>778</v>
      </c>
      <c r="I193" s="59">
        <v>58</v>
      </c>
      <c r="J193" s="59">
        <v>-94</v>
      </c>
      <c r="K193" s="8">
        <v>126</v>
      </c>
      <c r="L193" s="8">
        <v>27</v>
      </c>
      <c r="M193" s="8" t="s">
        <v>774</v>
      </c>
      <c r="N193" s="8" t="s">
        <v>775</v>
      </c>
      <c r="O193" s="14" t="s">
        <v>414</v>
      </c>
      <c r="P193" s="8" t="s">
        <v>85</v>
      </c>
      <c r="Q193" s="15" t="s">
        <v>776</v>
      </c>
      <c r="R193" s="8">
        <f>T193</f>
        <v>1.1200000000000001</v>
      </c>
      <c r="S193" s="8"/>
      <c r="T193" s="8">
        <v>1.1200000000000001</v>
      </c>
      <c r="U193" s="8" t="s">
        <v>609</v>
      </c>
      <c r="V193" s="8"/>
      <c r="W193" s="8">
        <f t="shared" ref="W193:W198" si="35">X193</f>
        <v>30</v>
      </c>
      <c r="X193" s="20">
        <v>30</v>
      </c>
      <c r="Y193" s="8" t="s">
        <v>658</v>
      </c>
      <c r="Z193" s="25" t="s">
        <v>572</v>
      </c>
      <c r="AA193" s="25"/>
      <c r="AB193" s="25"/>
      <c r="AC193" s="25"/>
      <c r="AD193" s="3"/>
      <c r="AE193" s="3"/>
      <c r="AF193" s="3"/>
      <c r="AG193" s="3"/>
      <c r="AH193" s="3"/>
      <c r="AI193" s="3"/>
      <c r="AJ193" s="8" t="s">
        <v>884</v>
      </c>
      <c r="AK193" s="3" t="s">
        <v>779</v>
      </c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</row>
    <row r="194" spans="1:62" s="1" customFormat="1" x14ac:dyDescent="0.3">
      <c r="A194" s="8" t="s">
        <v>780</v>
      </c>
      <c r="B194" s="8" t="s">
        <v>301</v>
      </c>
      <c r="C194" s="3" t="s">
        <v>391</v>
      </c>
      <c r="D194" s="8" t="s">
        <v>164</v>
      </c>
      <c r="E194" s="8" t="s">
        <v>165</v>
      </c>
      <c r="F194" s="8" t="s">
        <v>118</v>
      </c>
      <c r="G194" s="14">
        <v>1994</v>
      </c>
      <c r="H194" s="34" t="s">
        <v>781</v>
      </c>
      <c r="I194" s="59">
        <v>58</v>
      </c>
      <c r="J194" s="59">
        <v>-94</v>
      </c>
      <c r="K194" s="8">
        <v>126</v>
      </c>
      <c r="L194" s="8">
        <v>75</v>
      </c>
      <c r="M194" s="8" t="s">
        <v>782</v>
      </c>
      <c r="N194" s="8" t="s">
        <v>129</v>
      </c>
      <c r="O194" s="14" t="s">
        <v>414</v>
      </c>
      <c r="P194" s="8" t="s">
        <v>85</v>
      </c>
      <c r="Q194" s="15" t="s">
        <v>783</v>
      </c>
      <c r="R194" s="8">
        <f>T194</f>
        <v>1.1000000000000001</v>
      </c>
      <c r="S194" s="8"/>
      <c r="T194" s="8">
        <v>1.1000000000000001</v>
      </c>
      <c r="U194" s="8" t="s">
        <v>609</v>
      </c>
      <c r="V194" s="8"/>
      <c r="W194" s="8">
        <f t="shared" si="35"/>
        <v>80.3</v>
      </c>
      <c r="X194" s="8">
        <v>80.3</v>
      </c>
      <c r="Y194" s="8" t="s">
        <v>658</v>
      </c>
      <c r="Z194" s="25" t="s">
        <v>572</v>
      </c>
      <c r="AA194" s="25"/>
      <c r="AB194" s="25"/>
      <c r="AC194" s="25"/>
      <c r="AD194" s="8"/>
      <c r="AE194" s="8"/>
      <c r="AF194" s="8"/>
      <c r="AG194" s="8"/>
      <c r="AH194" s="8"/>
      <c r="AI194" s="8"/>
      <c r="AJ194" s="8" t="s">
        <v>884</v>
      </c>
      <c r="AK194" s="3" t="s">
        <v>784</v>
      </c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  <c r="BE194" s="8"/>
      <c r="BF194" s="8"/>
      <c r="BG194" s="8"/>
      <c r="BH194" s="8"/>
      <c r="BI194" s="8"/>
      <c r="BJ194" s="8"/>
    </row>
    <row r="195" spans="1:62" s="13" customFormat="1" x14ac:dyDescent="0.3">
      <c r="A195" s="8" t="s">
        <v>785</v>
      </c>
      <c r="B195" s="8" t="s">
        <v>301</v>
      </c>
      <c r="C195" s="3" t="s">
        <v>391</v>
      </c>
      <c r="D195" s="8" t="s">
        <v>164</v>
      </c>
      <c r="E195" s="8" t="s">
        <v>165</v>
      </c>
      <c r="F195" s="8" t="s">
        <v>118</v>
      </c>
      <c r="G195" s="14">
        <v>1996</v>
      </c>
      <c r="H195" s="34" t="s">
        <v>294</v>
      </c>
      <c r="I195" s="59">
        <v>58.75</v>
      </c>
      <c r="J195" s="58">
        <v>-94.066666666666706</v>
      </c>
      <c r="K195" s="8">
        <v>121</v>
      </c>
      <c r="L195" s="8">
        <v>75</v>
      </c>
      <c r="M195" s="8" t="s">
        <v>429</v>
      </c>
      <c r="N195" s="8" t="s">
        <v>425</v>
      </c>
      <c r="O195" s="14" t="s">
        <v>414</v>
      </c>
      <c r="P195" s="8" t="s">
        <v>85</v>
      </c>
      <c r="Q195" s="15" t="s">
        <v>786</v>
      </c>
      <c r="R195" s="8">
        <f t="shared" ref="R195:R198" si="36">T195</f>
        <v>-3.1</v>
      </c>
      <c r="S195" s="8"/>
      <c r="T195" s="8">
        <v>-3.1</v>
      </c>
      <c r="U195" s="8" t="s">
        <v>609</v>
      </c>
      <c r="V195" s="8"/>
      <c r="W195" s="8">
        <f t="shared" si="35"/>
        <v>-235</v>
      </c>
      <c r="X195" s="8">
        <v>-235</v>
      </c>
      <c r="Y195" s="8" t="s">
        <v>658</v>
      </c>
      <c r="Z195" s="25" t="s">
        <v>572</v>
      </c>
      <c r="AA195" s="25"/>
      <c r="AB195" s="25"/>
      <c r="AC195" s="25"/>
      <c r="AD195" s="3"/>
      <c r="AE195" s="3"/>
      <c r="AF195" s="3"/>
      <c r="AG195" s="3"/>
      <c r="AH195" s="3"/>
      <c r="AI195" s="3"/>
      <c r="AJ195" s="8" t="s">
        <v>884</v>
      </c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</row>
    <row r="196" spans="1:62" s="1" customFormat="1" x14ac:dyDescent="0.3">
      <c r="A196" s="8" t="s">
        <v>785</v>
      </c>
      <c r="B196" s="8" t="s">
        <v>301</v>
      </c>
      <c r="C196" s="3" t="s">
        <v>391</v>
      </c>
      <c r="D196" s="8" t="s">
        <v>164</v>
      </c>
      <c r="E196" s="8" t="s">
        <v>165</v>
      </c>
      <c r="F196" s="8" t="s">
        <v>118</v>
      </c>
      <c r="G196" s="14">
        <v>1997</v>
      </c>
      <c r="H196" s="34" t="s">
        <v>294</v>
      </c>
      <c r="I196" s="59">
        <v>58.75</v>
      </c>
      <c r="J196" s="58">
        <v>-94.066666666666706</v>
      </c>
      <c r="K196" s="8">
        <v>121</v>
      </c>
      <c r="L196" s="8">
        <v>75</v>
      </c>
      <c r="M196" s="8" t="s">
        <v>429</v>
      </c>
      <c r="N196" s="8" t="s">
        <v>425</v>
      </c>
      <c r="O196" s="14" t="s">
        <v>414</v>
      </c>
      <c r="P196" s="8" t="s">
        <v>85</v>
      </c>
      <c r="Q196" s="15" t="s">
        <v>786</v>
      </c>
      <c r="R196" s="8">
        <f t="shared" si="36"/>
        <v>-0.7</v>
      </c>
      <c r="S196" s="8"/>
      <c r="T196" s="8">
        <v>-0.7</v>
      </c>
      <c r="U196" s="8" t="s">
        <v>609</v>
      </c>
      <c r="V196" s="8"/>
      <c r="W196" s="8">
        <f t="shared" si="35"/>
        <v>-49</v>
      </c>
      <c r="X196" s="8">
        <v>-49</v>
      </c>
      <c r="Y196" s="8" t="s">
        <v>658</v>
      </c>
      <c r="Z196" s="25" t="s">
        <v>572</v>
      </c>
      <c r="AA196" s="25"/>
      <c r="AB196" s="25"/>
      <c r="AC196" s="25"/>
      <c r="AD196" s="8"/>
      <c r="AE196" s="8"/>
      <c r="AF196" s="8"/>
      <c r="AG196" s="8"/>
      <c r="AH196" s="8"/>
      <c r="AI196" s="8"/>
      <c r="AJ196" s="8" t="s">
        <v>884</v>
      </c>
      <c r="AK196" s="3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  <c r="BE196" s="8"/>
      <c r="BF196" s="8"/>
      <c r="BG196" s="8"/>
      <c r="BH196" s="8"/>
      <c r="BI196" s="8"/>
      <c r="BJ196" s="8"/>
    </row>
    <row r="197" spans="1:62" s="1" customFormat="1" x14ac:dyDescent="0.3">
      <c r="A197" s="8" t="s">
        <v>785</v>
      </c>
      <c r="B197" s="8" t="s">
        <v>301</v>
      </c>
      <c r="C197" s="3" t="s">
        <v>391</v>
      </c>
      <c r="D197" s="8" t="s">
        <v>164</v>
      </c>
      <c r="E197" s="8" t="s">
        <v>165</v>
      </c>
      <c r="F197" s="8" t="s">
        <v>118</v>
      </c>
      <c r="G197" s="14">
        <v>1998</v>
      </c>
      <c r="H197" s="34" t="s">
        <v>294</v>
      </c>
      <c r="I197" s="59">
        <v>58.75</v>
      </c>
      <c r="J197" s="58">
        <v>-94.066666666666706</v>
      </c>
      <c r="K197" s="8">
        <v>121</v>
      </c>
      <c r="L197" s="8">
        <v>75</v>
      </c>
      <c r="M197" s="8" t="s">
        <v>429</v>
      </c>
      <c r="N197" s="8" t="s">
        <v>425</v>
      </c>
      <c r="O197" s="14" t="s">
        <v>414</v>
      </c>
      <c r="P197" s="8" t="s">
        <v>85</v>
      </c>
      <c r="Q197" s="15" t="s">
        <v>786</v>
      </c>
      <c r="R197" s="8">
        <f t="shared" si="36"/>
        <v>-3.1</v>
      </c>
      <c r="S197" s="8"/>
      <c r="T197" s="8">
        <v>-3.1</v>
      </c>
      <c r="U197" s="8" t="s">
        <v>609</v>
      </c>
      <c r="V197" s="8"/>
      <c r="W197" s="8">
        <f t="shared" si="35"/>
        <v>-229</v>
      </c>
      <c r="X197" s="8">
        <v>-229</v>
      </c>
      <c r="Y197" s="8" t="s">
        <v>658</v>
      </c>
      <c r="Z197" s="25" t="s">
        <v>572</v>
      </c>
      <c r="AA197" s="25"/>
      <c r="AB197" s="25"/>
      <c r="AC197" s="25"/>
      <c r="AD197" s="8"/>
      <c r="AE197" s="8"/>
      <c r="AF197" s="8"/>
      <c r="AG197" s="8"/>
      <c r="AH197" s="8"/>
      <c r="AI197" s="8"/>
      <c r="AJ197" s="8" t="s">
        <v>884</v>
      </c>
      <c r="AK197" s="3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  <c r="BE197" s="8"/>
      <c r="BF197" s="8"/>
      <c r="BG197" s="8"/>
      <c r="BH197" s="8"/>
      <c r="BI197" s="8"/>
      <c r="BJ197" s="8"/>
    </row>
    <row r="198" spans="1:62" s="1" customFormat="1" x14ac:dyDescent="0.3">
      <c r="A198" s="8" t="s">
        <v>787</v>
      </c>
      <c r="B198" s="8" t="s">
        <v>301</v>
      </c>
      <c r="C198" s="3" t="s">
        <v>391</v>
      </c>
      <c r="D198" s="8" t="s">
        <v>164</v>
      </c>
      <c r="E198" s="8" t="s">
        <v>165</v>
      </c>
      <c r="F198" s="8" t="s">
        <v>118</v>
      </c>
      <c r="G198" s="14">
        <v>1999</v>
      </c>
      <c r="H198" s="34" t="s">
        <v>294</v>
      </c>
      <c r="I198" s="59">
        <v>58.75</v>
      </c>
      <c r="J198" s="58">
        <v>-94.066666666666706</v>
      </c>
      <c r="K198" s="8">
        <v>121</v>
      </c>
      <c r="L198" s="8">
        <v>72</v>
      </c>
      <c r="M198" s="8" t="s">
        <v>429</v>
      </c>
      <c r="N198" s="8" t="s">
        <v>425</v>
      </c>
      <c r="O198" s="14" t="s">
        <v>414</v>
      </c>
      <c r="P198" s="8" t="s">
        <v>85</v>
      </c>
      <c r="Q198" s="15" t="s">
        <v>786</v>
      </c>
      <c r="R198" s="8">
        <f t="shared" si="36"/>
        <v>-0.5</v>
      </c>
      <c r="S198" s="8"/>
      <c r="T198" s="8">
        <v>-0.5</v>
      </c>
      <c r="U198" s="8" t="s">
        <v>609</v>
      </c>
      <c r="V198" s="8"/>
      <c r="W198" s="8">
        <f t="shared" si="35"/>
        <v>-34</v>
      </c>
      <c r="X198" s="8">
        <v>-34</v>
      </c>
      <c r="Y198" s="8" t="s">
        <v>658</v>
      </c>
      <c r="Z198" s="25" t="s">
        <v>572</v>
      </c>
      <c r="AA198" s="25"/>
      <c r="AB198" s="25"/>
      <c r="AC198" s="25"/>
      <c r="AD198" s="8"/>
      <c r="AE198" s="8"/>
      <c r="AF198" s="8"/>
      <c r="AG198" s="8"/>
      <c r="AH198" s="8"/>
      <c r="AI198" s="8"/>
      <c r="AJ198" s="8" t="s">
        <v>884</v>
      </c>
      <c r="AK198" s="3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  <c r="BE198" s="8"/>
      <c r="BF198" s="8"/>
      <c r="BG198" s="8"/>
      <c r="BH198" s="8"/>
      <c r="BI198" s="8"/>
      <c r="BJ198" s="8"/>
    </row>
    <row r="199" spans="1:62" s="1" customFormat="1" x14ac:dyDescent="0.3">
      <c r="A199" s="39" t="s">
        <v>433</v>
      </c>
      <c r="B199" s="8" t="s">
        <v>301</v>
      </c>
      <c r="C199" s="3" t="s">
        <v>391</v>
      </c>
      <c r="D199" s="8" t="s">
        <v>164</v>
      </c>
      <c r="E199" s="8" t="s">
        <v>165</v>
      </c>
      <c r="F199" s="8" t="s">
        <v>118</v>
      </c>
      <c r="G199" s="14">
        <v>1994</v>
      </c>
      <c r="H199" s="34" t="s">
        <v>788</v>
      </c>
      <c r="I199" s="59">
        <v>58.75</v>
      </c>
      <c r="J199" s="59">
        <v>-94.07</v>
      </c>
      <c r="K199" s="8">
        <v>121</v>
      </c>
      <c r="L199" s="8"/>
      <c r="M199" s="8" t="s">
        <v>429</v>
      </c>
      <c r="N199" s="8" t="s">
        <v>425</v>
      </c>
      <c r="O199" s="14" t="s">
        <v>414</v>
      </c>
      <c r="P199" s="8" t="s">
        <v>85</v>
      </c>
      <c r="Q199" s="15" t="s">
        <v>789</v>
      </c>
      <c r="R199" s="15"/>
      <c r="S199" s="15"/>
      <c r="T199" s="8"/>
      <c r="U199" s="8"/>
      <c r="V199" s="5"/>
      <c r="W199" s="5">
        <f>X199/0.2729</f>
        <v>196.04250641260538</v>
      </c>
      <c r="X199" s="17">
        <v>53.5</v>
      </c>
      <c r="Y199" s="17" t="s">
        <v>633</v>
      </c>
      <c r="Z199" s="26" t="s">
        <v>790</v>
      </c>
      <c r="AA199" s="26"/>
      <c r="AB199" s="26"/>
      <c r="AC199" s="26"/>
      <c r="AD199" s="8"/>
      <c r="AE199" s="8"/>
      <c r="AF199" s="8"/>
      <c r="AG199" s="8"/>
      <c r="AH199" s="8"/>
      <c r="AI199" s="8"/>
      <c r="AJ199" s="8" t="s">
        <v>883</v>
      </c>
      <c r="AK199" s="3" t="s">
        <v>791</v>
      </c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  <c r="BE199" s="8"/>
      <c r="BF199" s="8"/>
      <c r="BG199" s="8"/>
      <c r="BH199" s="8"/>
      <c r="BI199" s="8"/>
      <c r="BJ199" s="8"/>
    </row>
    <row r="200" spans="1:62" s="1" customFormat="1" x14ac:dyDescent="0.3">
      <c r="A200" s="39" t="s">
        <v>433</v>
      </c>
      <c r="B200" s="8" t="s">
        <v>301</v>
      </c>
      <c r="C200" s="3" t="s">
        <v>391</v>
      </c>
      <c r="D200" s="8" t="s">
        <v>164</v>
      </c>
      <c r="E200" s="8" t="s">
        <v>165</v>
      </c>
      <c r="F200" s="8" t="s">
        <v>118</v>
      </c>
      <c r="G200" s="14">
        <v>1996</v>
      </c>
      <c r="H200" s="34" t="s">
        <v>788</v>
      </c>
      <c r="I200" s="59">
        <v>58.75</v>
      </c>
      <c r="J200" s="59">
        <v>-94.07</v>
      </c>
      <c r="K200" s="8">
        <v>121</v>
      </c>
      <c r="L200" s="8"/>
      <c r="M200" s="8" t="s">
        <v>429</v>
      </c>
      <c r="N200" s="8" t="s">
        <v>425</v>
      </c>
      <c r="O200" s="14" t="s">
        <v>414</v>
      </c>
      <c r="P200" s="8" t="s">
        <v>85</v>
      </c>
      <c r="Q200" s="15" t="s">
        <v>789</v>
      </c>
      <c r="R200" s="15"/>
      <c r="S200" s="15"/>
      <c r="T200" s="8"/>
      <c r="U200" s="8"/>
      <c r="V200" s="5"/>
      <c r="W200" s="5">
        <f>X200/0.2729</f>
        <v>-115.0604617075852</v>
      </c>
      <c r="X200" s="17">
        <v>-31.4</v>
      </c>
      <c r="Y200" s="17" t="s">
        <v>633</v>
      </c>
      <c r="Z200" s="26" t="s">
        <v>790</v>
      </c>
      <c r="AA200" s="26"/>
      <c r="AB200" s="26"/>
      <c r="AC200" s="26"/>
      <c r="AD200" s="8"/>
      <c r="AE200" s="8"/>
      <c r="AF200" s="8"/>
      <c r="AG200" s="8"/>
      <c r="AH200" s="8"/>
      <c r="AI200" s="8"/>
      <c r="AJ200" s="8" t="s">
        <v>883</v>
      </c>
      <c r="AK200" s="3" t="s">
        <v>791</v>
      </c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  <c r="BE200" s="8"/>
      <c r="BF200" s="8"/>
      <c r="BG200" s="8"/>
      <c r="BH200" s="8"/>
      <c r="BI200" s="8"/>
      <c r="BJ200" s="8"/>
    </row>
    <row r="201" spans="1:62" s="1" customFormat="1" x14ac:dyDescent="0.3">
      <c r="A201" s="39" t="s">
        <v>433</v>
      </c>
      <c r="B201" s="8" t="s">
        <v>301</v>
      </c>
      <c r="C201" s="3" t="s">
        <v>391</v>
      </c>
      <c r="D201" s="8" t="s">
        <v>164</v>
      </c>
      <c r="E201" s="8" t="s">
        <v>165</v>
      </c>
      <c r="F201" s="8" t="s">
        <v>118</v>
      </c>
      <c r="G201" s="14">
        <v>1997</v>
      </c>
      <c r="H201" s="34" t="s">
        <v>788</v>
      </c>
      <c r="I201" s="59">
        <v>58.75</v>
      </c>
      <c r="J201" s="59">
        <v>-94.07</v>
      </c>
      <c r="K201" s="8">
        <v>121</v>
      </c>
      <c r="L201" s="8"/>
      <c r="M201" s="8" t="s">
        <v>429</v>
      </c>
      <c r="N201" s="8" t="s">
        <v>425</v>
      </c>
      <c r="O201" s="14" t="s">
        <v>414</v>
      </c>
      <c r="P201" s="8" t="s">
        <v>85</v>
      </c>
      <c r="Q201" s="15" t="s">
        <v>789</v>
      </c>
      <c r="R201" s="15"/>
      <c r="S201" s="15"/>
      <c r="T201" s="8"/>
      <c r="U201" s="8"/>
      <c r="V201" s="5"/>
      <c r="W201" s="5">
        <f>X201/0.2729</f>
        <v>71.088310736533529</v>
      </c>
      <c r="X201" s="17">
        <v>19.399999999999999</v>
      </c>
      <c r="Y201" s="17" t="s">
        <v>633</v>
      </c>
      <c r="Z201" s="26" t="s">
        <v>790</v>
      </c>
      <c r="AA201" s="26"/>
      <c r="AB201" s="26"/>
      <c r="AC201" s="26"/>
      <c r="AD201" s="8"/>
      <c r="AE201" s="8"/>
      <c r="AF201" s="8"/>
      <c r="AG201" s="8"/>
      <c r="AH201" s="8"/>
      <c r="AI201" s="8"/>
      <c r="AJ201" s="8" t="s">
        <v>883</v>
      </c>
      <c r="AK201" s="3" t="s">
        <v>791</v>
      </c>
      <c r="AL201" s="8"/>
      <c r="AM201" s="8"/>
      <c r="AN201" s="8"/>
      <c r="AO201" s="8"/>
      <c r="AP201" s="8"/>
      <c r="AQ201" s="8"/>
      <c r="AR201" s="8"/>
      <c r="AS201" s="8"/>
      <c r="AT201" s="8"/>
      <c r="AU201" s="8"/>
      <c r="AV201" s="8"/>
      <c r="AW201" s="8"/>
      <c r="AX201" s="8"/>
      <c r="AY201" s="8"/>
      <c r="AZ201" s="8"/>
      <c r="BA201" s="8"/>
      <c r="BB201" s="8"/>
      <c r="BC201" s="8"/>
      <c r="BD201" s="8"/>
      <c r="BE201" s="8"/>
      <c r="BF201" s="8"/>
      <c r="BG201" s="8"/>
      <c r="BH201" s="8"/>
      <c r="BI201" s="8"/>
      <c r="BJ201" s="8"/>
    </row>
    <row r="202" spans="1:62" s="1" customFormat="1" x14ac:dyDescent="0.3">
      <c r="A202" s="39" t="s">
        <v>433</v>
      </c>
      <c r="B202" s="8" t="s">
        <v>301</v>
      </c>
      <c r="C202" s="3" t="s">
        <v>391</v>
      </c>
      <c r="D202" s="8" t="s">
        <v>164</v>
      </c>
      <c r="E202" s="8" t="s">
        <v>165</v>
      </c>
      <c r="F202" s="8" t="s">
        <v>118</v>
      </c>
      <c r="G202" s="14">
        <v>1998</v>
      </c>
      <c r="H202" s="34" t="s">
        <v>788</v>
      </c>
      <c r="I202" s="59">
        <v>58.75</v>
      </c>
      <c r="J202" s="59">
        <v>-94.07</v>
      </c>
      <c r="K202" s="8">
        <v>121</v>
      </c>
      <c r="L202" s="8"/>
      <c r="M202" s="8" t="s">
        <v>429</v>
      </c>
      <c r="N202" s="8" t="s">
        <v>425</v>
      </c>
      <c r="O202" s="14" t="s">
        <v>414</v>
      </c>
      <c r="P202" s="8" t="s">
        <v>85</v>
      </c>
      <c r="Q202" s="15" t="s">
        <v>789</v>
      </c>
      <c r="R202" s="15"/>
      <c r="S202" s="15"/>
      <c r="T202" s="8"/>
      <c r="U202" s="8"/>
      <c r="V202" s="5"/>
      <c r="W202" s="5">
        <f>X202/0.2729</f>
        <v>-109.93037742762918</v>
      </c>
      <c r="X202" s="17">
        <v>-30</v>
      </c>
      <c r="Y202" s="17" t="s">
        <v>633</v>
      </c>
      <c r="Z202" s="26" t="s">
        <v>790</v>
      </c>
      <c r="AA202" s="26"/>
      <c r="AB202" s="26"/>
      <c r="AC202" s="26"/>
      <c r="AD202" s="8"/>
      <c r="AE202" s="8"/>
      <c r="AF202" s="8"/>
      <c r="AG202" s="8"/>
      <c r="AH202" s="8"/>
      <c r="AI202" s="8"/>
      <c r="AJ202" s="8" t="s">
        <v>883</v>
      </c>
      <c r="AK202" s="3" t="s">
        <v>791</v>
      </c>
      <c r="AL202" s="8"/>
      <c r="AM202" s="8"/>
      <c r="AN202" s="8"/>
      <c r="AO202" s="8"/>
      <c r="AP202" s="8"/>
      <c r="AQ202" s="8"/>
      <c r="AR202" s="8"/>
      <c r="AS202" s="8"/>
      <c r="AT202" s="8"/>
      <c r="AU202" s="8"/>
      <c r="AV202" s="8"/>
      <c r="AW202" s="8"/>
      <c r="AX202" s="8"/>
      <c r="AY202" s="8"/>
      <c r="AZ202" s="8"/>
      <c r="BA202" s="8"/>
      <c r="BB202" s="8"/>
      <c r="BC202" s="8"/>
      <c r="BD202" s="8"/>
      <c r="BE202" s="8"/>
      <c r="BF202" s="8"/>
      <c r="BG202" s="8"/>
      <c r="BH202" s="8"/>
      <c r="BI202" s="8"/>
      <c r="BJ202" s="8"/>
    </row>
    <row r="203" spans="1:62" s="1" customFormat="1" x14ac:dyDescent="0.3">
      <c r="A203" s="39" t="s">
        <v>433</v>
      </c>
      <c r="B203" s="8" t="s">
        <v>301</v>
      </c>
      <c r="C203" s="3" t="s">
        <v>391</v>
      </c>
      <c r="D203" s="8" t="s">
        <v>164</v>
      </c>
      <c r="E203" s="8" t="s">
        <v>165</v>
      </c>
      <c r="F203" s="8" t="s">
        <v>118</v>
      </c>
      <c r="G203" s="14">
        <v>1999</v>
      </c>
      <c r="H203" s="34" t="s">
        <v>788</v>
      </c>
      <c r="I203" s="59">
        <v>58.75</v>
      </c>
      <c r="J203" s="59">
        <v>-94.07</v>
      </c>
      <c r="K203" s="8">
        <v>121</v>
      </c>
      <c r="L203" s="8"/>
      <c r="M203" s="8" t="s">
        <v>429</v>
      </c>
      <c r="N203" s="8" t="s">
        <v>425</v>
      </c>
      <c r="O203" s="14" t="s">
        <v>414</v>
      </c>
      <c r="P203" s="8" t="s">
        <v>85</v>
      </c>
      <c r="Q203" s="15" t="s">
        <v>789</v>
      </c>
      <c r="R203" s="15"/>
      <c r="S203" s="15"/>
      <c r="T203" s="8"/>
      <c r="U203" s="8"/>
      <c r="V203" s="5"/>
      <c r="W203" s="5">
        <f>X203/0.2729</f>
        <v>89.776474899230493</v>
      </c>
      <c r="X203" s="17">
        <v>24.5</v>
      </c>
      <c r="Y203" s="17" t="s">
        <v>633</v>
      </c>
      <c r="Z203" s="26" t="s">
        <v>790</v>
      </c>
      <c r="AA203" s="26"/>
      <c r="AB203" s="26"/>
      <c r="AC203" s="26"/>
      <c r="AD203" s="8"/>
      <c r="AE203" s="8"/>
      <c r="AF203" s="8"/>
      <c r="AG203" s="8"/>
      <c r="AH203" s="8"/>
      <c r="AI203" s="8"/>
      <c r="AJ203" s="8" t="s">
        <v>883</v>
      </c>
      <c r="AK203" s="3" t="s">
        <v>791</v>
      </c>
      <c r="AL203" s="8"/>
      <c r="AM203" s="8"/>
      <c r="AN203" s="8"/>
      <c r="AO203" s="8"/>
      <c r="AP203" s="8"/>
      <c r="AQ203" s="8"/>
      <c r="AR203" s="8"/>
      <c r="AS203" s="8"/>
      <c r="AT203" s="8"/>
      <c r="AU203" s="8"/>
      <c r="AV203" s="8"/>
      <c r="AW203" s="8"/>
      <c r="AX203" s="8"/>
      <c r="AY203" s="8"/>
      <c r="AZ203" s="8"/>
      <c r="BA203" s="8"/>
      <c r="BB203" s="8"/>
      <c r="BC203" s="8"/>
      <c r="BD203" s="8"/>
      <c r="BE203" s="8"/>
      <c r="BF203" s="8"/>
      <c r="BG203" s="8"/>
      <c r="BH203" s="8"/>
      <c r="BI203" s="8"/>
      <c r="BJ203" s="8"/>
    </row>
    <row r="204" spans="1:62" s="1" customFormat="1" x14ac:dyDescent="0.3">
      <c r="A204" s="8" t="s">
        <v>84</v>
      </c>
      <c r="B204" s="8" t="s">
        <v>301</v>
      </c>
      <c r="C204" s="3" t="s">
        <v>391</v>
      </c>
      <c r="D204" s="8" t="s">
        <v>74</v>
      </c>
      <c r="E204" s="8" t="s">
        <v>117</v>
      </c>
      <c r="F204" s="8" t="s">
        <v>118</v>
      </c>
      <c r="G204" s="56" t="s">
        <v>792</v>
      </c>
      <c r="H204" s="41" t="s">
        <v>120</v>
      </c>
      <c r="I204" s="58">
        <v>52.7</v>
      </c>
      <c r="J204" s="58">
        <v>-83.9</v>
      </c>
      <c r="K204" s="8">
        <v>151</v>
      </c>
      <c r="L204" s="8"/>
      <c r="M204" s="3"/>
      <c r="N204" s="3"/>
      <c r="O204" s="14"/>
      <c r="P204" s="3" t="s">
        <v>85</v>
      </c>
      <c r="Q204" s="5"/>
      <c r="R204" s="15"/>
      <c r="S204" s="24">
        <f>AVERAGE(W208:W210)/K204*5</f>
        <v>-10.556228296030616</v>
      </c>
      <c r="T204" s="8"/>
      <c r="U204" s="8"/>
      <c r="V204" s="5"/>
      <c r="W204" s="5">
        <f>AVERAGE(W205:W207)</f>
        <v>-223.5251007695127</v>
      </c>
      <c r="X204" s="17"/>
      <c r="Y204" s="17"/>
      <c r="Z204" s="26" t="s">
        <v>576</v>
      </c>
      <c r="AA204" s="26"/>
      <c r="AB204" s="26">
        <f>W204-(365-K204)</f>
        <v>-437.52510076951273</v>
      </c>
      <c r="AC204" s="26">
        <f>W204</f>
        <v>-223.5251007695127</v>
      </c>
      <c r="AD204" s="8"/>
      <c r="AE204" s="8"/>
      <c r="AF204" s="8"/>
      <c r="AG204" s="8"/>
      <c r="AH204" s="8"/>
      <c r="AI204" s="8"/>
      <c r="AJ204" s="8" t="s">
        <v>881</v>
      </c>
      <c r="AK204" s="3"/>
      <c r="AL204" s="8"/>
      <c r="AM204" s="8"/>
      <c r="AN204" s="8"/>
      <c r="AO204" s="8"/>
      <c r="AP204" s="8"/>
      <c r="AQ204" s="8"/>
      <c r="AR204" s="8"/>
      <c r="AS204" s="8"/>
      <c r="AT204" s="8"/>
      <c r="AU204" s="8"/>
      <c r="AV204" s="8"/>
      <c r="AW204" s="8"/>
      <c r="AX204" s="8"/>
      <c r="AY204" s="8"/>
      <c r="AZ204" s="8"/>
      <c r="BA204" s="8"/>
      <c r="BB204" s="8"/>
      <c r="BC204" s="8"/>
      <c r="BD204" s="8"/>
      <c r="BE204" s="8"/>
      <c r="BF204" s="8"/>
      <c r="BG204" s="8"/>
      <c r="BH204" s="8"/>
      <c r="BI204" s="8"/>
      <c r="BJ204" s="8"/>
    </row>
    <row r="205" spans="1:62" s="1" customFormat="1" x14ac:dyDescent="0.3">
      <c r="A205" s="8" t="s">
        <v>84</v>
      </c>
      <c r="B205" s="8" t="s">
        <v>301</v>
      </c>
      <c r="C205" s="3" t="s">
        <v>391</v>
      </c>
      <c r="D205" s="8" t="s">
        <v>74</v>
      </c>
      <c r="E205" s="8" t="s">
        <v>117</v>
      </c>
      <c r="F205" s="8" t="s">
        <v>118</v>
      </c>
      <c r="G205" s="56" t="s">
        <v>648</v>
      </c>
      <c r="H205" s="41" t="s">
        <v>120</v>
      </c>
      <c r="I205" s="58">
        <v>52.7</v>
      </c>
      <c r="J205" s="58">
        <v>-83.9</v>
      </c>
      <c r="K205" s="8">
        <v>151</v>
      </c>
      <c r="L205" s="8"/>
      <c r="M205" s="3"/>
      <c r="N205" s="3"/>
      <c r="O205" s="14"/>
      <c r="P205" s="3" t="s">
        <v>85</v>
      </c>
      <c r="Q205" s="5"/>
      <c r="R205" s="5"/>
      <c r="S205" s="5"/>
      <c r="T205" s="8"/>
      <c r="U205" s="8"/>
      <c r="V205" s="5"/>
      <c r="W205" s="5">
        <f t="shared" ref="W205:W210" si="37">X205/0.2729</f>
        <v>-212.53206302674974</v>
      </c>
      <c r="X205" s="17">
        <v>-58</v>
      </c>
      <c r="Y205" s="17" t="s">
        <v>638</v>
      </c>
      <c r="Z205" s="26" t="s">
        <v>576</v>
      </c>
      <c r="AA205" s="26"/>
      <c r="AB205" s="26"/>
      <c r="AC205" s="26"/>
      <c r="AD205" s="8"/>
      <c r="AE205" s="8"/>
      <c r="AF205" s="8"/>
      <c r="AG205" s="8"/>
      <c r="AH205" s="8"/>
      <c r="AI205" s="8"/>
      <c r="AJ205" s="8" t="s">
        <v>884</v>
      </c>
      <c r="AK205" s="3"/>
      <c r="AL205" s="8"/>
      <c r="AM205" s="8"/>
      <c r="AN205" s="8"/>
      <c r="AO205" s="8"/>
      <c r="AP205" s="8"/>
      <c r="AQ205" s="8"/>
      <c r="AR205" s="8"/>
      <c r="AS205" s="8"/>
      <c r="AT205" s="8"/>
      <c r="AU205" s="8"/>
      <c r="AV205" s="8"/>
      <c r="AW205" s="8"/>
      <c r="AX205" s="8"/>
      <c r="AY205" s="8"/>
      <c r="AZ205" s="8"/>
      <c r="BA205" s="8"/>
      <c r="BB205" s="8"/>
      <c r="BC205" s="8"/>
      <c r="BD205" s="8"/>
      <c r="BE205" s="8"/>
      <c r="BF205" s="8"/>
      <c r="BG205" s="8"/>
      <c r="BH205" s="8"/>
      <c r="BI205" s="8"/>
      <c r="BJ205" s="8"/>
    </row>
    <row r="206" spans="1:62" s="1" customFormat="1" x14ac:dyDescent="0.3">
      <c r="A206" s="8" t="s">
        <v>84</v>
      </c>
      <c r="B206" s="8" t="s">
        <v>301</v>
      </c>
      <c r="C206" s="3" t="s">
        <v>391</v>
      </c>
      <c r="D206" s="8" t="s">
        <v>74</v>
      </c>
      <c r="E206" s="8" t="s">
        <v>117</v>
      </c>
      <c r="F206" s="8" t="s">
        <v>118</v>
      </c>
      <c r="G206" s="56" t="s">
        <v>649</v>
      </c>
      <c r="H206" s="41" t="s">
        <v>120</v>
      </c>
      <c r="I206" s="58">
        <v>52.7</v>
      </c>
      <c r="J206" s="58">
        <v>-83.9</v>
      </c>
      <c r="K206" s="8">
        <v>151</v>
      </c>
      <c r="L206" s="8"/>
      <c r="M206" s="3"/>
      <c r="N206" s="3"/>
      <c r="O206" s="14"/>
      <c r="P206" s="3" t="s">
        <v>85</v>
      </c>
      <c r="Q206" s="5"/>
      <c r="R206" s="5"/>
      <c r="S206" s="5"/>
      <c r="T206" s="8"/>
      <c r="U206" s="8"/>
      <c r="V206" s="5"/>
      <c r="W206" s="5">
        <f t="shared" si="37"/>
        <v>-260.16855991205574</v>
      </c>
      <c r="X206" s="17">
        <v>-71</v>
      </c>
      <c r="Y206" s="17" t="s">
        <v>638</v>
      </c>
      <c r="Z206" s="26" t="s">
        <v>576</v>
      </c>
      <c r="AA206" s="26"/>
      <c r="AB206" s="26"/>
      <c r="AC206" s="26"/>
      <c r="AD206" s="8"/>
      <c r="AE206" s="8"/>
      <c r="AF206" s="8"/>
      <c r="AG206" s="8"/>
      <c r="AH206" s="8"/>
      <c r="AI206" s="8"/>
      <c r="AJ206" s="8" t="s">
        <v>884</v>
      </c>
      <c r="AK206" s="3"/>
      <c r="AL206" s="8"/>
      <c r="AM206" s="8"/>
      <c r="AN206" s="8"/>
      <c r="AO206" s="8"/>
      <c r="AP206" s="8"/>
      <c r="AQ206" s="8"/>
      <c r="AR206" s="8"/>
      <c r="AS206" s="8"/>
      <c r="AT206" s="8"/>
      <c r="AU206" s="8"/>
      <c r="AV206" s="8"/>
      <c r="AW206" s="8"/>
      <c r="AX206" s="8"/>
      <c r="AY206" s="8"/>
      <c r="AZ206" s="8"/>
      <c r="BA206" s="8"/>
      <c r="BB206" s="8"/>
      <c r="BC206" s="8"/>
      <c r="BD206" s="8"/>
      <c r="BE206" s="8"/>
      <c r="BF206" s="8"/>
      <c r="BG206" s="8"/>
      <c r="BH206" s="8"/>
      <c r="BI206" s="8"/>
      <c r="BJ206" s="8"/>
    </row>
    <row r="207" spans="1:62" s="1" customFormat="1" x14ac:dyDescent="0.3">
      <c r="A207" s="8" t="s">
        <v>84</v>
      </c>
      <c r="B207" s="8" t="s">
        <v>301</v>
      </c>
      <c r="C207" s="3" t="s">
        <v>391</v>
      </c>
      <c r="D207" s="8" t="s">
        <v>74</v>
      </c>
      <c r="E207" s="8" t="s">
        <v>117</v>
      </c>
      <c r="F207" s="8" t="s">
        <v>118</v>
      </c>
      <c r="G207" s="56" t="s">
        <v>650</v>
      </c>
      <c r="H207" s="41" t="s">
        <v>120</v>
      </c>
      <c r="I207" s="58">
        <v>52.7</v>
      </c>
      <c r="J207" s="58">
        <v>-83.9</v>
      </c>
      <c r="K207" s="8">
        <v>151</v>
      </c>
      <c r="L207" s="8"/>
      <c r="M207" s="3"/>
      <c r="N207" s="3"/>
      <c r="O207" s="14"/>
      <c r="P207" s="3" t="s">
        <v>85</v>
      </c>
      <c r="Q207" s="5"/>
      <c r="R207" s="5"/>
      <c r="S207" s="5"/>
      <c r="T207" s="8"/>
      <c r="U207" s="8"/>
      <c r="V207" s="5"/>
      <c r="W207" s="5">
        <f t="shared" si="37"/>
        <v>-197.87467936973252</v>
      </c>
      <c r="X207" s="17">
        <v>-54</v>
      </c>
      <c r="Y207" s="17" t="s">
        <v>638</v>
      </c>
      <c r="Z207" s="26" t="s">
        <v>576</v>
      </c>
      <c r="AA207" s="26"/>
      <c r="AB207" s="26"/>
      <c r="AC207" s="26"/>
      <c r="AD207" s="8"/>
      <c r="AE207" s="8"/>
      <c r="AF207" s="8"/>
      <c r="AG207" s="8"/>
      <c r="AH207" s="8"/>
      <c r="AI207" s="8"/>
      <c r="AJ207" s="8" t="s">
        <v>884</v>
      </c>
      <c r="AK207" s="3"/>
      <c r="AL207" s="8"/>
      <c r="AM207" s="8"/>
      <c r="AN207" s="8"/>
      <c r="AO207" s="8"/>
      <c r="AP207" s="8"/>
      <c r="AQ207" s="8"/>
      <c r="AR207" s="8"/>
      <c r="AS207" s="8"/>
      <c r="AT207" s="8"/>
      <c r="AU207" s="8"/>
      <c r="AV207" s="8"/>
      <c r="AW207" s="8"/>
      <c r="AX207" s="8"/>
      <c r="AY207" s="8"/>
      <c r="AZ207" s="8"/>
      <c r="BA207" s="8"/>
      <c r="BB207" s="8"/>
      <c r="BC207" s="8"/>
      <c r="BD207" s="8"/>
      <c r="BE207" s="8"/>
      <c r="BF207" s="8"/>
      <c r="BG207" s="8"/>
      <c r="BH207" s="8"/>
      <c r="BI207" s="8"/>
      <c r="BJ207" s="8"/>
    </row>
    <row r="208" spans="1:62" s="1" customFormat="1" x14ac:dyDescent="0.3">
      <c r="A208" s="8" t="s">
        <v>84</v>
      </c>
      <c r="B208" s="8" t="s">
        <v>301</v>
      </c>
      <c r="C208" s="3" t="s">
        <v>391</v>
      </c>
      <c r="D208" s="8" t="s">
        <v>74</v>
      </c>
      <c r="E208" s="8" t="s">
        <v>117</v>
      </c>
      <c r="F208" s="8" t="s">
        <v>118</v>
      </c>
      <c r="G208" s="56" t="s">
        <v>648</v>
      </c>
      <c r="H208" s="41" t="s">
        <v>651</v>
      </c>
      <c r="I208" s="58">
        <v>52.7</v>
      </c>
      <c r="J208" s="58">
        <v>-83.9</v>
      </c>
      <c r="K208" s="8">
        <v>151</v>
      </c>
      <c r="L208" s="8"/>
      <c r="M208" s="3"/>
      <c r="N208" s="3"/>
      <c r="O208" s="14"/>
      <c r="P208" s="3" t="s">
        <v>85</v>
      </c>
      <c r="Q208" s="5"/>
      <c r="R208" s="5"/>
      <c r="S208" s="5"/>
      <c r="T208" s="8"/>
      <c r="U208" s="8"/>
      <c r="V208" s="5"/>
      <c r="W208" s="5">
        <f t="shared" si="37"/>
        <v>-307.80505679736171</v>
      </c>
      <c r="X208" s="17">
        <v>-84</v>
      </c>
      <c r="Y208" s="17" t="s">
        <v>447</v>
      </c>
      <c r="Z208" s="25" t="s">
        <v>572</v>
      </c>
      <c r="AA208" s="25"/>
      <c r="AB208" s="25"/>
      <c r="AC208" s="25"/>
      <c r="AD208" s="8"/>
      <c r="AE208" s="8"/>
      <c r="AF208" s="8"/>
      <c r="AG208" s="8"/>
      <c r="AH208" s="8"/>
      <c r="AI208" s="8"/>
      <c r="AJ208" s="8" t="s">
        <v>883</v>
      </c>
      <c r="AK208" s="3"/>
      <c r="AL208" s="8"/>
      <c r="AM208" s="8"/>
      <c r="AN208" s="8"/>
      <c r="AO208" s="8"/>
      <c r="AP208" s="8"/>
      <c r="AQ208" s="8"/>
      <c r="AR208" s="8"/>
      <c r="AS208" s="8"/>
      <c r="AT208" s="8"/>
      <c r="AU208" s="8"/>
      <c r="AV208" s="8"/>
      <c r="AW208" s="8"/>
      <c r="AX208" s="8"/>
      <c r="AY208" s="8"/>
      <c r="AZ208" s="8"/>
      <c r="BA208" s="8"/>
      <c r="BB208" s="8"/>
      <c r="BC208" s="8"/>
      <c r="BD208" s="8"/>
      <c r="BE208" s="8"/>
      <c r="BF208" s="8"/>
      <c r="BG208" s="8"/>
      <c r="BH208" s="8"/>
      <c r="BI208" s="8"/>
      <c r="BJ208" s="8"/>
    </row>
    <row r="209" spans="1:62" s="1" customFormat="1" x14ac:dyDescent="0.3">
      <c r="A209" s="8" t="s">
        <v>84</v>
      </c>
      <c r="B209" s="8" t="s">
        <v>301</v>
      </c>
      <c r="C209" s="3" t="s">
        <v>391</v>
      </c>
      <c r="D209" s="8" t="s">
        <v>74</v>
      </c>
      <c r="E209" s="8" t="s">
        <v>117</v>
      </c>
      <c r="F209" s="8" t="s">
        <v>118</v>
      </c>
      <c r="G209" s="56" t="s">
        <v>649</v>
      </c>
      <c r="H209" s="41" t="s">
        <v>651</v>
      </c>
      <c r="I209" s="58">
        <v>52.7</v>
      </c>
      <c r="J209" s="58">
        <v>-83.9</v>
      </c>
      <c r="K209" s="8">
        <v>151</v>
      </c>
      <c r="L209" s="8"/>
      <c r="M209" s="3"/>
      <c r="N209" s="3"/>
      <c r="O209" s="14"/>
      <c r="P209" s="3" t="s">
        <v>85</v>
      </c>
      <c r="Q209" s="5"/>
      <c r="R209" s="5"/>
      <c r="S209" s="5"/>
      <c r="T209" s="8"/>
      <c r="U209" s="8"/>
      <c r="V209" s="5"/>
      <c r="W209" s="5">
        <f t="shared" si="37"/>
        <v>-351.77720776841335</v>
      </c>
      <c r="X209" s="17">
        <v>-96</v>
      </c>
      <c r="Y209" s="17" t="s">
        <v>447</v>
      </c>
      <c r="Z209" s="25" t="s">
        <v>572</v>
      </c>
      <c r="AA209" s="25"/>
      <c r="AB209" s="25"/>
      <c r="AC209" s="25"/>
      <c r="AD209" s="8"/>
      <c r="AE209" s="8"/>
      <c r="AF209" s="8"/>
      <c r="AG209" s="8"/>
      <c r="AH209" s="8"/>
      <c r="AI209" s="8"/>
      <c r="AJ209" s="8" t="s">
        <v>883</v>
      </c>
      <c r="AK209" s="3"/>
      <c r="AL209" s="8"/>
      <c r="AM209" s="8"/>
      <c r="AN209" s="8"/>
      <c r="AO209" s="8"/>
      <c r="AP209" s="8"/>
      <c r="AQ209" s="8"/>
      <c r="AR209" s="8"/>
      <c r="AS209" s="8"/>
      <c r="AT209" s="8"/>
      <c r="AU209" s="8"/>
      <c r="AV209" s="8"/>
      <c r="AW209" s="8"/>
      <c r="AX209" s="8"/>
      <c r="AY209" s="8"/>
      <c r="AZ209" s="8"/>
      <c r="BA209" s="8"/>
      <c r="BB209" s="8"/>
      <c r="BC209" s="8"/>
      <c r="BD209" s="8"/>
      <c r="BE209" s="8"/>
      <c r="BF209" s="8"/>
      <c r="BG209" s="8"/>
      <c r="BH209" s="8"/>
      <c r="BI209" s="8"/>
      <c r="BJ209" s="8"/>
    </row>
    <row r="210" spans="1:62" s="1" customFormat="1" x14ac:dyDescent="0.3">
      <c r="A210" s="8" t="s">
        <v>84</v>
      </c>
      <c r="B210" s="8" t="s">
        <v>301</v>
      </c>
      <c r="C210" s="3" t="s">
        <v>391</v>
      </c>
      <c r="D210" s="8" t="s">
        <v>74</v>
      </c>
      <c r="E210" s="8" t="s">
        <v>117</v>
      </c>
      <c r="F210" s="8" t="s">
        <v>118</v>
      </c>
      <c r="G210" s="56" t="s">
        <v>650</v>
      </c>
      <c r="H210" s="41" t="s">
        <v>651</v>
      </c>
      <c r="I210" s="58">
        <v>52.7</v>
      </c>
      <c r="J210" s="58">
        <v>-83.9</v>
      </c>
      <c r="K210" s="8">
        <v>151</v>
      </c>
      <c r="L210" s="8"/>
      <c r="M210" s="3"/>
      <c r="N210" s="3"/>
      <c r="O210" s="14"/>
      <c r="P210" s="3" t="s">
        <v>85</v>
      </c>
      <c r="Q210" s="5"/>
      <c r="R210" s="5"/>
      <c r="S210" s="5"/>
      <c r="T210" s="8"/>
      <c r="U210" s="8"/>
      <c r="V210" s="5"/>
      <c r="W210" s="5">
        <f t="shared" si="37"/>
        <v>-296.81201905459881</v>
      </c>
      <c r="X210" s="17">
        <v>-81</v>
      </c>
      <c r="Y210" s="17" t="s">
        <v>447</v>
      </c>
      <c r="Z210" s="25" t="s">
        <v>572</v>
      </c>
      <c r="AA210" s="25"/>
      <c r="AB210" s="25"/>
      <c r="AC210" s="25"/>
      <c r="AD210" s="8"/>
      <c r="AE210" s="8"/>
      <c r="AF210" s="8"/>
      <c r="AG210" s="8"/>
      <c r="AH210" s="8"/>
      <c r="AI210" s="8"/>
      <c r="AJ210" s="8" t="s">
        <v>883</v>
      </c>
      <c r="AK210" s="3"/>
      <c r="AL210" s="8"/>
      <c r="AM210" s="8"/>
      <c r="AN210" s="8"/>
      <c r="AO210" s="8"/>
      <c r="AP210" s="8"/>
      <c r="AQ210" s="8"/>
      <c r="AR210" s="8"/>
      <c r="AS210" s="8"/>
      <c r="AT210" s="8"/>
      <c r="AU210" s="8"/>
      <c r="AV210" s="8"/>
      <c r="AW210" s="8"/>
      <c r="AX210" s="8"/>
      <c r="AY210" s="8"/>
      <c r="AZ210" s="8"/>
      <c r="BA210" s="8"/>
      <c r="BB210" s="8"/>
      <c r="BC210" s="8"/>
      <c r="BD210" s="8"/>
      <c r="BE210" s="8"/>
      <c r="BF210" s="8"/>
      <c r="BG210" s="8"/>
      <c r="BH210" s="8"/>
      <c r="BI210" s="8"/>
      <c r="BJ210" s="8"/>
    </row>
    <row r="211" spans="1:62" s="1" customFormat="1" x14ac:dyDescent="0.3">
      <c r="A211" s="3" t="s">
        <v>125</v>
      </c>
      <c r="B211" s="3" t="s">
        <v>301</v>
      </c>
      <c r="C211" s="3" t="s">
        <v>391</v>
      </c>
      <c r="D211" s="3" t="s">
        <v>74</v>
      </c>
      <c r="E211" s="3" t="s">
        <v>793</v>
      </c>
      <c r="F211" s="3" t="s">
        <v>118</v>
      </c>
      <c r="G211" s="2">
        <v>1990</v>
      </c>
      <c r="H211" s="41" t="s">
        <v>127</v>
      </c>
      <c r="I211" s="58">
        <v>51.511666666666699</v>
      </c>
      <c r="J211" s="58">
        <v>-80.88</v>
      </c>
      <c r="K211" s="8">
        <v>159</v>
      </c>
      <c r="L211" s="8"/>
      <c r="M211" s="3" t="s">
        <v>404</v>
      </c>
      <c r="N211" s="3" t="s">
        <v>136</v>
      </c>
      <c r="O211" s="2">
        <v>6.48</v>
      </c>
      <c r="P211" s="3" t="s">
        <v>36</v>
      </c>
      <c r="Q211" s="5" t="s">
        <v>405</v>
      </c>
      <c r="R211" s="5">
        <f>T211/1000*24</f>
        <v>-1.3999999999999997</v>
      </c>
      <c r="S211" s="5"/>
      <c r="T211" s="17">
        <v>-58.333333333333321</v>
      </c>
      <c r="U211" s="17" t="s">
        <v>656</v>
      </c>
      <c r="V211" s="8"/>
      <c r="W211" s="8">
        <f t="shared" ref="W211" si="38">X211</f>
        <v>77</v>
      </c>
      <c r="X211" s="3">
        <v>77</v>
      </c>
      <c r="Y211" s="8" t="s">
        <v>658</v>
      </c>
      <c r="Z211" s="25" t="s">
        <v>572</v>
      </c>
      <c r="AA211" s="25">
        <f t="shared" ref="AA211:AA213" si="39">0.9*(365-K211)</f>
        <v>185.4</v>
      </c>
      <c r="AB211" s="25">
        <f t="shared" ref="AB211:AB213" si="40">W211</f>
        <v>77</v>
      </c>
      <c r="AC211" s="25">
        <f>W211+AA211</f>
        <v>262.39999999999998</v>
      </c>
      <c r="AD211" s="8"/>
      <c r="AE211" s="8"/>
      <c r="AF211" s="8"/>
      <c r="AG211" s="8"/>
      <c r="AH211" s="8"/>
      <c r="AI211" s="8"/>
      <c r="AJ211" s="8" t="s">
        <v>881</v>
      </c>
      <c r="AK211" s="3" t="s">
        <v>131</v>
      </c>
      <c r="AL211" s="8"/>
      <c r="AM211" s="8"/>
      <c r="AN211" s="8"/>
      <c r="AO211" s="8"/>
      <c r="AP211" s="8"/>
      <c r="AQ211" s="8"/>
      <c r="AR211" s="8"/>
      <c r="AS211" s="8"/>
      <c r="AT211" s="8"/>
      <c r="AU211" s="8"/>
      <c r="AV211" s="8"/>
      <c r="AW211" s="8"/>
      <c r="AX211" s="8"/>
      <c r="AY211" s="8"/>
      <c r="AZ211" s="8"/>
      <c r="BA211" s="8"/>
      <c r="BB211" s="8"/>
      <c r="BC211" s="8"/>
      <c r="BD211" s="8"/>
      <c r="BE211" s="8"/>
      <c r="BF211" s="8"/>
      <c r="BG211" s="8"/>
      <c r="BH211" s="8"/>
      <c r="BI211" s="8"/>
      <c r="BJ211" s="8"/>
    </row>
    <row r="212" spans="1:62" s="1" customFormat="1" x14ac:dyDescent="0.3">
      <c r="A212" s="8" t="s">
        <v>794</v>
      </c>
      <c r="B212" s="8" t="s">
        <v>301</v>
      </c>
      <c r="C212" s="3" t="s">
        <v>391</v>
      </c>
      <c r="D212" s="8" t="s">
        <v>74</v>
      </c>
      <c r="E212" s="8" t="s">
        <v>795</v>
      </c>
      <c r="F212" s="3" t="s">
        <v>118</v>
      </c>
      <c r="G212" s="14">
        <v>1990</v>
      </c>
      <c r="H212" s="34" t="s">
        <v>796</v>
      </c>
      <c r="I212" s="58">
        <v>51.511666666666663</v>
      </c>
      <c r="J212" s="58">
        <v>-80.88</v>
      </c>
      <c r="K212" s="8">
        <v>159</v>
      </c>
      <c r="L212" s="8">
        <v>153</v>
      </c>
      <c r="M212" s="3" t="s">
        <v>404</v>
      </c>
      <c r="N212" s="3" t="s">
        <v>136</v>
      </c>
      <c r="O212" s="2">
        <v>6.48</v>
      </c>
      <c r="P212" s="3" t="s">
        <v>36</v>
      </c>
      <c r="Q212" s="5" t="s">
        <v>797</v>
      </c>
      <c r="R212" s="5"/>
      <c r="S212" s="24">
        <f>W212/K212*5</f>
        <v>2.419851075450957</v>
      </c>
      <c r="T212" s="8"/>
      <c r="U212" s="8"/>
      <c r="V212" s="5"/>
      <c r="W212" s="5">
        <f>X212/0.2729</f>
        <v>76.951264199340429</v>
      </c>
      <c r="X212" s="17">
        <v>21</v>
      </c>
      <c r="Y212" s="17" t="s">
        <v>577</v>
      </c>
      <c r="Z212" s="25" t="s">
        <v>572</v>
      </c>
      <c r="AA212" s="25">
        <f t="shared" si="39"/>
        <v>185.4</v>
      </c>
      <c r="AB212" s="25">
        <f t="shared" si="40"/>
        <v>76.951264199340429</v>
      </c>
      <c r="AC212" s="25">
        <f>W212+AA212</f>
        <v>262.35126419934045</v>
      </c>
      <c r="AD212" s="8">
        <f>(0.06+0.11+0.02+0.07+0.12+0.02+0.09+0.1+0.03+0.03+0.07+0.1+0.05+0.05)/14</f>
        <v>6.5714285714285711E-2</v>
      </c>
      <c r="AE212" s="8" t="s">
        <v>612</v>
      </c>
      <c r="AF212" s="8"/>
      <c r="AG212" s="8"/>
      <c r="AH212" s="8"/>
      <c r="AI212" s="8"/>
      <c r="AJ212" s="8" t="s">
        <v>881</v>
      </c>
      <c r="AK212" s="3"/>
      <c r="AL212" s="8"/>
      <c r="AM212" s="8"/>
      <c r="AN212" s="8"/>
      <c r="AO212" s="8"/>
      <c r="AP212" s="8"/>
      <c r="AQ212" s="8"/>
      <c r="AR212" s="8"/>
      <c r="AS212" s="8"/>
      <c r="AT212" s="8"/>
      <c r="AU212" s="8"/>
      <c r="AV212" s="8"/>
      <c r="AW212" s="8"/>
      <c r="AX212" s="8"/>
      <c r="AY212" s="8"/>
      <c r="AZ212" s="8"/>
      <c r="BA212" s="8"/>
      <c r="BB212" s="8"/>
      <c r="BC212" s="8"/>
      <c r="BD212" s="8"/>
      <c r="BE212" s="8"/>
      <c r="BF212" s="8"/>
      <c r="BG212" s="8"/>
      <c r="BH212" s="8"/>
      <c r="BI212" s="8"/>
      <c r="BJ212" s="8"/>
    </row>
    <row r="213" spans="1:62" s="1" customFormat="1" x14ac:dyDescent="0.3">
      <c r="A213" s="8" t="s">
        <v>794</v>
      </c>
      <c r="B213" s="8" t="s">
        <v>301</v>
      </c>
      <c r="C213" s="3" t="s">
        <v>391</v>
      </c>
      <c r="D213" s="8" t="s">
        <v>74</v>
      </c>
      <c r="E213" s="8" t="s">
        <v>798</v>
      </c>
      <c r="F213" s="3" t="s">
        <v>118</v>
      </c>
      <c r="G213" s="14">
        <v>1990</v>
      </c>
      <c r="H213" s="34" t="s">
        <v>799</v>
      </c>
      <c r="I213" s="58">
        <v>51.47</v>
      </c>
      <c r="J213" s="58">
        <v>-80.616666666666703</v>
      </c>
      <c r="K213" s="8">
        <v>160</v>
      </c>
      <c r="L213" s="8">
        <v>153</v>
      </c>
      <c r="M213" s="3" t="s">
        <v>417</v>
      </c>
      <c r="N213" s="3" t="s">
        <v>418</v>
      </c>
      <c r="O213" s="2">
        <v>6.86</v>
      </c>
      <c r="P213" s="3" t="s">
        <v>36</v>
      </c>
      <c r="Q213" s="5" t="s">
        <v>419</v>
      </c>
      <c r="R213" s="5"/>
      <c r="S213" s="24">
        <f>W213/K213*5</f>
        <v>-0.68706485892268232</v>
      </c>
      <c r="T213" s="8"/>
      <c r="U213" s="8"/>
      <c r="V213" s="5"/>
      <c r="W213" s="5">
        <f>X213/0.2729</f>
        <v>-21.986075485525834</v>
      </c>
      <c r="X213" s="17">
        <v>-6</v>
      </c>
      <c r="Y213" s="17" t="s">
        <v>577</v>
      </c>
      <c r="Z213" s="25" t="s">
        <v>572</v>
      </c>
      <c r="AA213" s="25">
        <f t="shared" si="39"/>
        <v>184.5</v>
      </c>
      <c r="AB213" s="25">
        <f t="shared" si="40"/>
        <v>-21.986075485525834</v>
      </c>
      <c r="AC213" s="25">
        <f>W213+AA213</f>
        <v>162.51392451447416</v>
      </c>
      <c r="AD213" s="8">
        <f>(0.08+0.02+0.04+0.04+0.04+0.03+0.08+0.12+0.12+0.1+0.12+0.08+0.14+0.15)/14</f>
        <v>8.2857142857142851E-2</v>
      </c>
      <c r="AE213" s="8" t="s">
        <v>612</v>
      </c>
      <c r="AF213" s="8"/>
      <c r="AG213" s="8"/>
      <c r="AH213" s="8"/>
      <c r="AI213" s="8"/>
      <c r="AJ213" s="8" t="s">
        <v>881</v>
      </c>
      <c r="AK213" s="3"/>
      <c r="AL213" s="8"/>
      <c r="AM213" s="8"/>
      <c r="AN213" s="8"/>
      <c r="AO213" s="8"/>
      <c r="AP213" s="8"/>
      <c r="AQ213" s="8"/>
      <c r="AR213" s="8"/>
      <c r="AS213" s="8"/>
      <c r="AT213" s="8"/>
      <c r="AU213" s="8"/>
      <c r="AV213" s="8"/>
      <c r="AW213" s="8"/>
      <c r="AX213" s="8"/>
      <c r="AY213" s="8"/>
      <c r="AZ213" s="8"/>
      <c r="BA213" s="8"/>
      <c r="BB213" s="8"/>
      <c r="BC213" s="8"/>
      <c r="BD213" s="8"/>
      <c r="BE213" s="8"/>
      <c r="BF213" s="8"/>
      <c r="BG213" s="8"/>
      <c r="BH213" s="8"/>
      <c r="BI213" s="8"/>
      <c r="BJ213" s="8"/>
    </row>
    <row r="214" spans="1:62" s="1" customFormat="1" x14ac:dyDescent="0.3">
      <c r="A214" s="3" t="s">
        <v>125</v>
      </c>
      <c r="B214" s="3" t="s">
        <v>301</v>
      </c>
      <c r="C214" s="3" t="s">
        <v>391</v>
      </c>
      <c r="D214" s="3" t="s">
        <v>74</v>
      </c>
      <c r="E214" s="3" t="s">
        <v>800</v>
      </c>
      <c r="F214" s="3" t="s">
        <v>118</v>
      </c>
      <c r="G214" s="2">
        <v>1990</v>
      </c>
      <c r="H214" s="41" t="s">
        <v>127</v>
      </c>
      <c r="I214" s="58">
        <v>51.3</v>
      </c>
      <c r="J214" s="58">
        <v>-80.633333333333297</v>
      </c>
      <c r="K214" s="8">
        <v>162</v>
      </c>
      <c r="L214" s="8"/>
      <c r="M214" s="8" t="s">
        <v>401</v>
      </c>
      <c r="N214" s="3" t="s">
        <v>129</v>
      </c>
      <c r="O214" s="2">
        <v>6.75</v>
      </c>
      <c r="P214" s="3" t="s">
        <v>36</v>
      </c>
      <c r="Q214" s="5" t="s">
        <v>402</v>
      </c>
      <c r="R214" s="5">
        <f>T214/1000*24</f>
        <v>8.299199999999999</v>
      </c>
      <c r="S214" s="5"/>
      <c r="T214" s="17">
        <v>345.8</v>
      </c>
      <c r="U214" s="17" t="s">
        <v>656</v>
      </c>
      <c r="V214" s="9">
        <f>R214*K214/5</f>
        <v>268.89407999999997</v>
      </c>
      <c r="W214" s="8"/>
      <c r="X214" s="3"/>
      <c r="Y214" s="3"/>
      <c r="Z214" s="9" t="s">
        <v>572</v>
      </c>
      <c r="AA214" s="9">
        <f>0.9*(365-K214)</f>
        <v>182.70000000000002</v>
      </c>
      <c r="AB214" s="9">
        <f>V214</f>
        <v>268.89407999999997</v>
      </c>
      <c r="AC214" s="9">
        <f>V214+AA214</f>
        <v>451.59407999999996</v>
      </c>
      <c r="AD214" s="8"/>
      <c r="AE214" s="8"/>
      <c r="AF214" s="8"/>
      <c r="AG214" s="8"/>
      <c r="AH214" s="8"/>
      <c r="AI214" s="8"/>
      <c r="AJ214" s="8" t="s">
        <v>881</v>
      </c>
      <c r="AK214" s="3" t="s">
        <v>131</v>
      </c>
      <c r="AL214" s="8"/>
      <c r="AM214" s="8"/>
      <c r="AN214" s="8"/>
      <c r="AO214" s="8"/>
      <c r="AP214" s="8"/>
      <c r="AQ214" s="8"/>
      <c r="AR214" s="8"/>
      <c r="AS214" s="8"/>
      <c r="AT214" s="8"/>
      <c r="AU214" s="8"/>
      <c r="AV214" s="8"/>
      <c r="AW214" s="8"/>
      <c r="AX214" s="8"/>
      <c r="AY214" s="8"/>
      <c r="AZ214" s="8"/>
      <c r="BA214" s="8"/>
      <c r="BB214" s="8"/>
      <c r="BC214" s="8"/>
      <c r="BD214" s="8"/>
      <c r="BE214" s="8"/>
      <c r="BF214" s="8"/>
      <c r="BG214" s="8"/>
      <c r="BH214" s="8"/>
      <c r="BI214" s="8"/>
      <c r="BJ214" s="8"/>
    </row>
    <row r="215" spans="1:62" s="1" customFormat="1" x14ac:dyDescent="0.3">
      <c r="A215" s="3" t="s">
        <v>125</v>
      </c>
      <c r="B215" s="3" t="s">
        <v>301</v>
      </c>
      <c r="C215" s="3" t="s">
        <v>391</v>
      </c>
      <c r="D215" s="3" t="s">
        <v>74</v>
      </c>
      <c r="E215" s="3" t="s">
        <v>392</v>
      </c>
      <c r="F215" s="3" t="s">
        <v>118</v>
      </c>
      <c r="G215" s="2">
        <v>1990</v>
      </c>
      <c r="H215" s="41" t="s">
        <v>127</v>
      </c>
      <c r="I215" s="58">
        <v>51.47</v>
      </c>
      <c r="J215" s="58">
        <v>-80.616666666666703</v>
      </c>
      <c r="K215" s="8">
        <v>160</v>
      </c>
      <c r="L215" s="8"/>
      <c r="M215" s="3" t="s">
        <v>417</v>
      </c>
      <c r="N215" s="3" t="s">
        <v>418</v>
      </c>
      <c r="O215" s="2">
        <v>6.86</v>
      </c>
      <c r="P215" s="3" t="s">
        <v>36</v>
      </c>
      <c r="Q215" s="5" t="s">
        <v>419</v>
      </c>
      <c r="R215" s="5">
        <f>T215/1000*24</f>
        <v>-3.7505999999999995</v>
      </c>
      <c r="S215" s="5"/>
      <c r="T215" s="17">
        <v>-156.27499999999998</v>
      </c>
      <c r="U215" s="17" t="s">
        <v>656</v>
      </c>
      <c r="V215" s="9">
        <f>R215*K215/5</f>
        <v>-120.01919999999998</v>
      </c>
      <c r="W215" s="8">
        <f t="shared" ref="W215" si="41">X215</f>
        <v>-23</v>
      </c>
      <c r="X215" s="3">
        <v>-23</v>
      </c>
      <c r="Y215" s="8" t="s">
        <v>658</v>
      </c>
      <c r="Z215" s="25" t="s">
        <v>572</v>
      </c>
      <c r="AA215" s="25">
        <f>0.9*(365-K215)</f>
        <v>184.5</v>
      </c>
      <c r="AB215" s="25">
        <f>W215</f>
        <v>-23</v>
      </c>
      <c r="AC215" s="25">
        <f>W215+AA215</f>
        <v>161.5</v>
      </c>
      <c r="AD215" s="8"/>
      <c r="AE215" s="8"/>
      <c r="AF215" s="8"/>
      <c r="AG215" s="8"/>
      <c r="AH215" s="8"/>
      <c r="AI215" s="8"/>
      <c r="AJ215" s="8" t="s">
        <v>881</v>
      </c>
      <c r="AK215" s="3" t="s">
        <v>131</v>
      </c>
      <c r="AL215" s="8"/>
      <c r="AM215" s="8"/>
      <c r="AN215" s="8"/>
      <c r="AO215" s="8"/>
      <c r="AP215" s="8"/>
      <c r="AQ215" s="8"/>
      <c r="AR215" s="8"/>
      <c r="AS215" s="8"/>
      <c r="AT215" s="8"/>
      <c r="AU215" s="8"/>
      <c r="AV215" s="8"/>
      <c r="AW215" s="8"/>
      <c r="AX215" s="8"/>
      <c r="AY215" s="8"/>
      <c r="AZ215" s="8"/>
      <c r="BA215" s="8"/>
      <c r="BB215" s="8"/>
      <c r="BC215" s="8"/>
      <c r="BD215" s="8"/>
      <c r="BE215" s="8"/>
      <c r="BF215" s="8"/>
      <c r="BG215" s="8"/>
      <c r="BH215" s="8"/>
      <c r="BI215" s="8"/>
      <c r="BJ215" s="8"/>
    </row>
    <row r="216" spans="1:62" s="1" customFormat="1" x14ac:dyDescent="0.3">
      <c r="A216" s="32" t="s">
        <v>801</v>
      </c>
      <c r="B216" s="8" t="s">
        <v>301</v>
      </c>
      <c r="C216" s="3" t="s">
        <v>391</v>
      </c>
      <c r="D216" s="8" t="s">
        <v>190</v>
      </c>
      <c r="E216" s="8" t="s">
        <v>472</v>
      </c>
      <c r="F216" s="8" t="s">
        <v>175</v>
      </c>
      <c r="G216" s="14">
        <v>2004</v>
      </c>
      <c r="H216" s="34" t="s">
        <v>390</v>
      </c>
      <c r="I216" s="59">
        <v>54.95384</v>
      </c>
      <c r="J216" s="59">
        <v>-112.46698000000001</v>
      </c>
      <c r="K216" s="8">
        <v>169</v>
      </c>
      <c r="L216" s="8"/>
      <c r="M216" s="8" t="s">
        <v>802</v>
      </c>
      <c r="N216" s="8" t="s">
        <v>803</v>
      </c>
      <c r="O216" s="14">
        <v>6.2</v>
      </c>
      <c r="P216" s="8" t="s">
        <v>85</v>
      </c>
      <c r="Q216" s="15" t="s">
        <v>804</v>
      </c>
      <c r="R216" s="8">
        <f t="shared" ref="R216" si="42">44.01*T216*0.000001*86400</f>
        <v>-38.024639999999998</v>
      </c>
      <c r="S216" s="8"/>
      <c r="T216" s="17">
        <v>-10</v>
      </c>
      <c r="U216" s="17" t="s">
        <v>805</v>
      </c>
      <c r="V216" s="5"/>
      <c r="W216" s="5">
        <f>X216/0.2729</f>
        <v>-527.66581165262005</v>
      </c>
      <c r="X216" s="17">
        <v>-144</v>
      </c>
      <c r="Y216" s="17" t="s">
        <v>638</v>
      </c>
      <c r="Z216" s="26" t="s">
        <v>576</v>
      </c>
      <c r="AA216" s="26"/>
      <c r="AB216" s="26"/>
      <c r="AC216" s="26"/>
      <c r="AD216" s="8">
        <v>569</v>
      </c>
      <c r="AE216" s="8" t="s">
        <v>638</v>
      </c>
      <c r="AF216" s="8"/>
      <c r="AG216" s="8"/>
      <c r="AH216" s="8"/>
      <c r="AI216" s="8"/>
      <c r="AJ216" s="8" t="s">
        <v>881</v>
      </c>
      <c r="AK216" s="3"/>
      <c r="AL216" s="8"/>
      <c r="AM216" s="8"/>
      <c r="AN216" s="8"/>
      <c r="AO216" s="8"/>
      <c r="AP216" s="8"/>
      <c r="AQ216" s="8"/>
      <c r="AR216" s="8"/>
      <c r="AS216" s="8"/>
      <c r="AT216" s="8"/>
      <c r="AU216" s="8"/>
      <c r="AV216" s="8"/>
      <c r="AW216" s="8"/>
      <c r="AX216" s="8"/>
      <c r="AY216" s="8"/>
      <c r="AZ216" s="8"/>
      <c r="BA216" s="8"/>
      <c r="BB216" s="8"/>
      <c r="BC216" s="8"/>
      <c r="BD216" s="8"/>
      <c r="BE216" s="8"/>
      <c r="BF216" s="8"/>
      <c r="BG216" s="8"/>
      <c r="BH216" s="8"/>
      <c r="BI216" s="8"/>
      <c r="BJ216" s="8"/>
    </row>
    <row r="217" spans="1:62" s="1" customFormat="1" x14ac:dyDescent="0.3">
      <c r="A217" s="32" t="s">
        <v>806</v>
      </c>
      <c r="B217" s="8" t="s">
        <v>301</v>
      </c>
      <c r="C217" s="3" t="s">
        <v>391</v>
      </c>
      <c r="D217" s="8" t="s">
        <v>190</v>
      </c>
      <c r="E217" s="8" t="s">
        <v>472</v>
      </c>
      <c r="F217" s="8" t="s">
        <v>175</v>
      </c>
      <c r="G217" s="14" t="s">
        <v>807</v>
      </c>
      <c r="H217" s="34" t="s">
        <v>808</v>
      </c>
      <c r="I217" s="59">
        <v>54.95384</v>
      </c>
      <c r="J217" s="59">
        <v>-112.46698000000001</v>
      </c>
      <c r="K217" s="8">
        <v>169</v>
      </c>
      <c r="L217" s="8"/>
      <c r="M217" s="8" t="s">
        <v>802</v>
      </c>
      <c r="N217" s="8" t="s">
        <v>803</v>
      </c>
      <c r="O217" s="14">
        <v>6.2</v>
      </c>
      <c r="P217" s="8" t="s">
        <v>85</v>
      </c>
      <c r="Q217" s="15"/>
      <c r="R217" s="8"/>
      <c r="S217" s="30">
        <f>(W217+(365-K217))/K217*5</f>
        <v>-14.691165023493012</v>
      </c>
      <c r="T217" s="21" t="s">
        <v>582</v>
      </c>
      <c r="U217" s="17"/>
      <c r="V217" s="5"/>
      <c r="W217" s="5">
        <f>X217/0.2729</f>
        <v>-692.56137779406379</v>
      </c>
      <c r="X217" s="17">
        <v>-189</v>
      </c>
      <c r="Y217" s="17" t="s">
        <v>638</v>
      </c>
      <c r="Z217" s="26" t="s">
        <v>576</v>
      </c>
      <c r="AA217" s="26"/>
      <c r="AB217" s="26">
        <f>W217-(365-K217)</f>
        <v>-888.56137779406379</v>
      </c>
      <c r="AC217" s="26">
        <f>W217</f>
        <v>-692.56137779406379</v>
      </c>
      <c r="AD217" s="8"/>
      <c r="AE217" s="8"/>
      <c r="AF217" s="8"/>
      <c r="AG217" s="8"/>
      <c r="AH217" s="8"/>
      <c r="AI217" s="8"/>
      <c r="AJ217" s="8" t="s">
        <v>881</v>
      </c>
      <c r="AK217" s="3"/>
      <c r="AL217" s="8"/>
      <c r="AM217" s="8"/>
      <c r="AN217" s="8"/>
      <c r="AO217" s="8"/>
      <c r="AP217" s="8"/>
      <c r="AQ217" s="8"/>
      <c r="AR217" s="8"/>
      <c r="AS217" s="8"/>
      <c r="AT217" s="8"/>
      <c r="AU217" s="8"/>
      <c r="AV217" s="8"/>
      <c r="AW217" s="8"/>
      <c r="AX217" s="8"/>
      <c r="AY217" s="8"/>
      <c r="AZ217" s="8"/>
      <c r="BA217" s="8"/>
      <c r="BB217" s="8"/>
      <c r="BC217" s="8"/>
      <c r="BD217" s="8"/>
      <c r="BE217" s="8"/>
      <c r="BF217" s="8"/>
      <c r="BG217" s="8"/>
      <c r="BH217" s="8"/>
      <c r="BI217" s="8"/>
      <c r="BJ217" s="8"/>
    </row>
    <row r="218" spans="1:62" s="1" customFormat="1" x14ac:dyDescent="0.3">
      <c r="A218" s="8" t="s">
        <v>876</v>
      </c>
      <c r="B218" s="8" t="s">
        <v>301</v>
      </c>
      <c r="C218" s="3" t="s">
        <v>391</v>
      </c>
      <c r="D218" s="8" t="s">
        <v>182</v>
      </c>
      <c r="E218" s="8" t="s">
        <v>442</v>
      </c>
      <c r="F218" s="8" t="s">
        <v>175</v>
      </c>
      <c r="G218" s="14">
        <v>1994</v>
      </c>
      <c r="H218" s="34" t="s">
        <v>390</v>
      </c>
      <c r="I218" s="58">
        <v>53.95</v>
      </c>
      <c r="J218" s="58">
        <v>-105.95</v>
      </c>
      <c r="K218" s="8">
        <v>167</v>
      </c>
      <c r="L218" s="8"/>
      <c r="M218" s="8" t="s">
        <v>209</v>
      </c>
      <c r="N218" s="3" t="s">
        <v>444</v>
      </c>
      <c r="O218" s="2">
        <v>7.1</v>
      </c>
      <c r="P218" s="3" t="s">
        <v>85</v>
      </c>
      <c r="Q218" s="5" t="s">
        <v>445</v>
      </c>
      <c r="R218" s="5"/>
      <c r="S218" s="24">
        <f>W218/K218*5</f>
        <v>-9.6545640854604464</v>
      </c>
      <c r="T218" s="8"/>
      <c r="U218" s="8"/>
      <c r="V218" s="5"/>
      <c r="W218" s="5">
        <f>X218/0.2729</f>
        <v>-322.46244045437891</v>
      </c>
      <c r="X218" s="17">
        <v>-88</v>
      </c>
      <c r="Y218" s="17" t="s">
        <v>447</v>
      </c>
      <c r="Z218" s="25" t="s">
        <v>572</v>
      </c>
      <c r="AA218" s="25">
        <f t="shared" ref="AA218:AA219" si="43">0.9*(365-K218)</f>
        <v>178.20000000000002</v>
      </c>
      <c r="AB218" s="25">
        <f t="shared" ref="AB218:AB219" si="44">W218</f>
        <v>-322.46244045437891</v>
      </c>
      <c r="AC218" s="25">
        <f>W218+AA218</f>
        <v>-144.26244045437889</v>
      </c>
      <c r="AD218" s="8"/>
      <c r="AE218" s="8"/>
      <c r="AF218" s="8"/>
      <c r="AG218" s="8"/>
      <c r="AH218" s="8"/>
      <c r="AI218" s="8"/>
      <c r="AJ218" s="8" t="s">
        <v>881</v>
      </c>
      <c r="AK218" s="3"/>
      <c r="AL218" s="8"/>
      <c r="AM218" s="8"/>
      <c r="AN218" s="8"/>
      <c r="AO218" s="8"/>
      <c r="AP218" s="8"/>
      <c r="AQ218" s="8"/>
      <c r="AR218" s="8"/>
      <c r="AS218" s="8"/>
      <c r="AT218" s="8"/>
      <c r="AU218" s="8"/>
      <c r="AV218" s="8"/>
      <c r="AW218" s="8"/>
      <c r="AX218" s="8"/>
      <c r="AY218" s="8"/>
      <c r="AZ218" s="8"/>
      <c r="BA218" s="8"/>
      <c r="BB218" s="8"/>
      <c r="BC218" s="8"/>
      <c r="BD218" s="8"/>
      <c r="BE218" s="8"/>
      <c r="BF218" s="8"/>
      <c r="BG218" s="8"/>
      <c r="BH218" s="8"/>
      <c r="BI218" s="8"/>
      <c r="BJ218" s="8"/>
    </row>
    <row r="219" spans="1:62" s="1" customFormat="1" x14ac:dyDescent="0.3">
      <c r="A219" s="32" t="s">
        <v>809</v>
      </c>
      <c r="B219" s="8" t="s">
        <v>301</v>
      </c>
      <c r="C219" s="3" t="s">
        <v>391</v>
      </c>
      <c r="D219" s="8" t="s">
        <v>182</v>
      </c>
      <c r="E219" s="8" t="s">
        <v>810</v>
      </c>
      <c r="F219" s="8" t="s">
        <v>175</v>
      </c>
      <c r="G219" s="14" t="s">
        <v>672</v>
      </c>
      <c r="H219" s="34" t="s">
        <v>811</v>
      </c>
      <c r="I219" s="59">
        <v>53.8</v>
      </c>
      <c r="J219" s="59">
        <v>-104.62</v>
      </c>
      <c r="K219" s="8">
        <v>161</v>
      </c>
      <c r="L219" s="8"/>
      <c r="M219" s="8" t="s">
        <v>812</v>
      </c>
      <c r="N219" s="8" t="s">
        <v>813</v>
      </c>
      <c r="O219" s="14" t="s">
        <v>814</v>
      </c>
      <c r="P219" s="8" t="s">
        <v>85</v>
      </c>
      <c r="Q219" s="15" t="s">
        <v>815</v>
      </c>
      <c r="R219" s="15"/>
      <c r="S219" s="24">
        <f>W219/K219*5</f>
        <v>-13.911996522285371</v>
      </c>
      <c r="T219" s="8"/>
      <c r="U219" s="8"/>
      <c r="V219" s="5"/>
      <c r="W219" s="5">
        <f>AVERAGE(W220:W223)</f>
        <v>-447.96628801758891</v>
      </c>
      <c r="X219" s="17"/>
      <c r="Y219" s="17"/>
      <c r="Z219" s="25" t="s">
        <v>572</v>
      </c>
      <c r="AA219" s="25">
        <f t="shared" si="43"/>
        <v>183.6</v>
      </c>
      <c r="AB219" s="25">
        <f t="shared" si="44"/>
        <v>-447.96628801758891</v>
      </c>
      <c r="AC219" s="25">
        <f>W219+AA219</f>
        <v>-264.36628801758889</v>
      </c>
      <c r="AD219" s="8"/>
      <c r="AE219" s="8"/>
      <c r="AF219" s="5">
        <f>AG219/0.2729</f>
        <v>1234.8845731037011</v>
      </c>
      <c r="AG219" s="27">
        <f>AVERAGE(AG220:AG223)</f>
        <v>337</v>
      </c>
      <c r="AH219" s="17" t="s">
        <v>816</v>
      </c>
      <c r="AI219" s="17"/>
      <c r="AJ219" s="8" t="s">
        <v>881</v>
      </c>
      <c r="AK219" s="3"/>
      <c r="AL219" s="8"/>
      <c r="AM219" s="8"/>
      <c r="AN219" s="8"/>
      <c r="AO219" s="8"/>
      <c r="AP219" s="8"/>
      <c r="AQ219" s="8"/>
      <c r="AR219" s="8"/>
      <c r="AS219" s="8"/>
      <c r="AT219" s="8"/>
      <c r="AU219" s="8"/>
      <c r="AV219" s="8"/>
      <c r="AW219" s="8"/>
      <c r="AX219" s="8"/>
      <c r="AY219" s="8"/>
      <c r="AZ219" s="8"/>
      <c r="BA219" s="8"/>
      <c r="BB219" s="8"/>
      <c r="BC219" s="8"/>
      <c r="BD219" s="8"/>
      <c r="BE219" s="8"/>
      <c r="BF219" s="8"/>
      <c r="BG219" s="8"/>
      <c r="BH219" s="8"/>
      <c r="BI219" s="8"/>
      <c r="BJ219" s="8"/>
    </row>
    <row r="220" spans="1:62" s="1" customFormat="1" x14ac:dyDescent="0.3">
      <c r="A220" s="32" t="s">
        <v>809</v>
      </c>
      <c r="B220" s="8" t="s">
        <v>301</v>
      </c>
      <c r="C220" s="3" t="s">
        <v>391</v>
      </c>
      <c r="D220" s="8" t="s">
        <v>182</v>
      </c>
      <c r="E220" s="8" t="s">
        <v>810</v>
      </c>
      <c r="F220" s="8" t="s">
        <v>175</v>
      </c>
      <c r="G220" s="14">
        <v>2003</v>
      </c>
      <c r="H220" s="34" t="s">
        <v>811</v>
      </c>
      <c r="I220" s="59">
        <v>53.8</v>
      </c>
      <c r="J220" s="59">
        <v>-104.62</v>
      </c>
      <c r="K220" s="8">
        <v>161</v>
      </c>
      <c r="L220" s="8"/>
      <c r="M220" s="8" t="s">
        <v>812</v>
      </c>
      <c r="N220" s="8" t="s">
        <v>813</v>
      </c>
      <c r="O220" s="14" t="s">
        <v>814</v>
      </c>
      <c r="P220" s="8" t="s">
        <v>85</v>
      </c>
      <c r="Q220" s="15" t="s">
        <v>815</v>
      </c>
      <c r="R220" s="15"/>
      <c r="S220" s="15"/>
      <c r="T220" s="8"/>
      <c r="U220" s="8"/>
      <c r="V220" s="5"/>
      <c r="W220" s="5">
        <f t="shared" ref="W220:W236" si="45">X220/0.2729</f>
        <v>29.314767314034448</v>
      </c>
      <c r="X220" s="17">
        <v>8</v>
      </c>
      <c r="Y220" s="17" t="s">
        <v>817</v>
      </c>
      <c r="Z220" s="25" t="s">
        <v>572</v>
      </c>
      <c r="AA220" s="25"/>
      <c r="AB220" s="25"/>
      <c r="AC220" s="25"/>
      <c r="AD220" s="8"/>
      <c r="AE220" s="8"/>
      <c r="AF220" s="8"/>
      <c r="AG220" s="8">
        <v>332</v>
      </c>
      <c r="AH220" s="8" t="s">
        <v>816</v>
      </c>
      <c r="AI220" s="8"/>
      <c r="AJ220" s="8" t="s">
        <v>884</v>
      </c>
      <c r="AK220" s="3"/>
      <c r="AL220" s="8"/>
      <c r="AM220" s="8"/>
      <c r="AN220" s="8"/>
      <c r="AO220" s="8"/>
      <c r="AP220" s="8"/>
      <c r="AQ220" s="8"/>
      <c r="AR220" s="8"/>
      <c r="AS220" s="8"/>
      <c r="AT220" s="8"/>
      <c r="AU220" s="8"/>
      <c r="AV220" s="8"/>
      <c r="AW220" s="8"/>
      <c r="AX220" s="8"/>
      <c r="AY220" s="8"/>
      <c r="AZ220" s="8"/>
      <c r="BA220" s="8"/>
      <c r="BB220" s="8"/>
      <c r="BC220" s="8"/>
      <c r="BD220" s="8"/>
      <c r="BE220" s="8"/>
      <c r="BF220" s="8"/>
      <c r="BG220" s="8"/>
      <c r="BH220" s="8"/>
      <c r="BI220" s="8"/>
      <c r="BJ220" s="8"/>
    </row>
    <row r="221" spans="1:62" s="1" customFormat="1" x14ac:dyDescent="0.3">
      <c r="A221" s="32" t="s">
        <v>809</v>
      </c>
      <c r="B221" s="8" t="s">
        <v>301</v>
      </c>
      <c r="C221" s="3" t="s">
        <v>391</v>
      </c>
      <c r="D221" s="8" t="s">
        <v>182</v>
      </c>
      <c r="E221" s="8" t="s">
        <v>810</v>
      </c>
      <c r="F221" s="8" t="s">
        <v>175</v>
      </c>
      <c r="G221" s="14">
        <v>2004</v>
      </c>
      <c r="H221" s="34" t="s">
        <v>811</v>
      </c>
      <c r="I221" s="59">
        <v>53.8</v>
      </c>
      <c r="J221" s="59">
        <v>-104.62</v>
      </c>
      <c r="K221" s="8">
        <v>161</v>
      </c>
      <c r="L221" s="8"/>
      <c r="M221" s="8" t="s">
        <v>812</v>
      </c>
      <c r="N221" s="8" t="s">
        <v>818</v>
      </c>
      <c r="O221" s="14" t="s">
        <v>814</v>
      </c>
      <c r="P221" s="8" t="s">
        <v>85</v>
      </c>
      <c r="Q221" s="15" t="s">
        <v>815</v>
      </c>
      <c r="R221" s="15"/>
      <c r="S221" s="15"/>
      <c r="T221" s="8"/>
      <c r="U221" s="8"/>
      <c r="V221" s="5"/>
      <c r="W221" s="5">
        <f t="shared" si="45"/>
        <v>-509.34408208134852</v>
      </c>
      <c r="X221" s="17">
        <v>-139</v>
      </c>
      <c r="Y221" s="17" t="s">
        <v>817</v>
      </c>
      <c r="Z221" s="25" t="s">
        <v>572</v>
      </c>
      <c r="AA221" s="25"/>
      <c r="AB221" s="25"/>
      <c r="AC221" s="25"/>
      <c r="AD221" s="8"/>
      <c r="AE221" s="8"/>
      <c r="AF221" s="8"/>
      <c r="AG221" s="8">
        <v>380</v>
      </c>
      <c r="AH221" s="8" t="s">
        <v>816</v>
      </c>
      <c r="AI221" s="8"/>
      <c r="AJ221" s="8" t="s">
        <v>884</v>
      </c>
      <c r="AK221" s="3"/>
      <c r="AL221" s="8"/>
      <c r="AM221" s="8"/>
      <c r="AN221" s="8"/>
      <c r="AO221" s="8"/>
      <c r="AP221" s="8"/>
      <c r="AQ221" s="8"/>
      <c r="AR221" s="8"/>
      <c r="AS221" s="8"/>
      <c r="AT221" s="8"/>
      <c r="AU221" s="8"/>
      <c r="AV221" s="8"/>
      <c r="AW221" s="8"/>
      <c r="AX221" s="8"/>
      <c r="AY221" s="8"/>
      <c r="AZ221" s="8"/>
      <c r="BA221" s="8"/>
      <c r="BB221" s="8"/>
      <c r="BC221" s="8"/>
      <c r="BD221" s="8"/>
      <c r="BE221" s="8"/>
      <c r="BF221" s="8"/>
      <c r="BG221" s="8"/>
      <c r="BH221" s="8"/>
      <c r="BI221" s="8"/>
      <c r="BJ221" s="8"/>
    </row>
    <row r="222" spans="1:62" s="1" customFormat="1" x14ac:dyDescent="0.3">
      <c r="A222" s="32" t="s">
        <v>809</v>
      </c>
      <c r="B222" s="8" t="s">
        <v>301</v>
      </c>
      <c r="C222" s="3" t="s">
        <v>391</v>
      </c>
      <c r="D222" s="8" t="s">
        <v>182</v>
      </c>
      <c r="E222" s="8" t="s">
        <v>810</v>
      </c>
      <c r="F222" s="8" t="s">
        <v>175</v>
      </c>
      <c r="G222" s="14">
        <v>2005</v>
      </c>
      <c r="H222" s="34" t="s">
        <v>811</v>
      </c>
      <c r="I222" s="59">
        <v>53.8</v>
      </c>
      <c r="J222" s="59">
        <v>-104.62</v>
      </c>
      <c r="K222" s="8">
        <v>161</v>
      </c>
      <c r="L222" s="8"/>
      <c r="M222" s="8" t="s">
        <v>812</v>
      </c>
      <c r="N222" s="8" t="s">
        <v>818</v>
      </c>
      <c r="O222" s="14" t="s">
        <v>814</v>
      </c>
      <c r="P222" s="8" t="s">
        <v>85</v>
      </c>
      <c r="Q222" s="15" t="s">
        <v>815</v>
      </c>
      <c r="R222" s="15"/>
      <c r="S222" s="15"/>
      <c r="T222" s="8"/>
      <c r="U222" s="8"/>
      <c r="V222" s="5"/>
      <c r="W222" s="5">
        <f t="shared" si="45"/>
        <v>-597.28838402345184</v>
      </c>
      <c r="X222" s="17">
        <v>-163</v>
      </c>
      <c r="Y222" s="17" t="s">
        <v>817</v>
      </c>
      <c r="Z222" s="25" t="s">
        <v>572</v>
      </c>
      <c r="AA222" s="25"/>
      <c r="AB222" s="25"/>
      <c r="AC222" s="25"/>
      <c r="AD222" s="8"/>
      <c r="AE222" s="8"/>
      <c r="AF222" s="8"/>
      <c r="AG222" s="8">
        <v>265</v>
      </c>
      <c r="AH222" s="8" t="s">
        <v>816</v>
      </c>
      <c r="AI222" s="8"/>
      <c r="AJ222" s="8" t="s">
        <v>884</v>
      </c>
      <c r="AK222" s="3"/>
      <c r="AL222" s="8"/>
      <c r="AM222" s="8"/>
      <c r="AN222" s="8"/>
      <c r="AO222" s="8"/>
      <c r="AP222" s="8"/>
      <c r="AQ222" s="8"/>
      <c r="AR222" s="8"/>
      <c r="AS222" s="8"/>
      <c r="AT222" s="8"/>
      <c r="AU222" s="8"/>
      <c r="AV222" s="8"/>
      <c r="AW222" s="8"/>
      <c r="AX222" s="8"/>
      <c r="AY222" s="8"/>
      <c r="AZ222" s="8"/>
      <c r="BA222" s="8"/>
      <c r="BB222" s="8"/>
      <c r="BC222" s="8"/>
      <c r="BD222" s="8"/>
      <c r="BE222" s="8"/>
      <c r="BF222" s="8"/>
      <c r="BG222" s="8"/>
      <c r="BH222" s="8"/>
      <c r="BI222" s="8"/>
      <c r="BJ222" s="8"/>
    </row>
    <row r="223" spans="1:62" s="13" customFormat="1" x14ac:dyDescent="0.3">
      <c r="A223" s="32" t="s">
        <v>809</v>
      </c>
      <c r="B223" s="8" t="s">
        <v>301</v>
      </c>
      <c r="C223" s="3" t="s">
        <v>391</v>
      </c>
      <c r="D223" s="8" t="s">
        <v>182</v>
      </c>
      <c r="E223" s="8" t="s">
        <v>810</v>
      </c>
      <c r="F223" s="8" t="s">
        <v>175</v>
      </c>
      <c r="G223" s="14">
        <v>2006</v>
      </c>
      <c r="H223" s="34" t="s">
        <v>811</v>
      </c>
      <c r="I223" s="59">
        <v>53.8</v>
      </c>
      <c r="J223" s="59">
        <v>-104.62</v>
      </c>
      <c r="K223" s="8">
        <v>161</v>
      </c>
      <c r="L223" s="8"/>
      <c r="M223" s="8" t="s">
        <v>812</v>
      </c>
      <c r="N223" s="8" t="s">
        <v>818</v>
      </c>
      <c r="O223" s="14" t="s">
        <v>814</v>
      </c>
      <c r="P223" s="8" t="s">
        <v>85</v>
      </c>
      <c r="Q223" s="15" t="s">
        <v>815</v>
      </c>
      <c r="R223" s="15"/>
      <c r="S223" s="15"/>
      <c r="T223" s="8"/>
      <c r="U223" s="8"/>
      <c r="V223" s="5"/>
      <c r="W223" s="5">
        <f t="shared" si="45"/>
        <v>-714.5474532795896</v>
      </c>
      <c r="X223" s="17">
        <v>-195</v>
      </c>
      <c r="Y223" s="17" t="s">
        <v>817</v>
      </c>
      <c r="Z223" s="25" t="s">
        <v>572</v>
      </c>
      <c r="AA223" s="25"/>
      <c r="AB223" s="25"/>
      <c r="AC223" s="25"/>
      <c r="AD223" s="3"/>
      <c r="AE223" s="3"/>
      <c r="AF223" s="8"/>
      <c r="AG223" s="3">
        <v>371</v>
      </c>
      <c r="AH223" s="8" t="s">
        <v>816</v>
      </c>
      <c r="AI223" s="3"/>
      <c r="AJ223" s="8" t="s">
        <v>884</v>
      </c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</row>
    <row r="224" spans="1:62" s="13" customFormat="1" x14ac:dyDescent="0.3">
      <c r="A224" s="32" t="s">
        <v>741</v>
      </c>
      <c r="B224" s="8" t="s">
        <v>301</v>
      </c>
      <c r="C224" s="3" t="s">
        <v>391</v>
      </c>
      <c r="D224" s="8" t="s">
        <v>190</v>
      </c>
      <c r="E224" s="8" t="s">
        <v>734</v>
      </c>
      <c r="F224" s="8" t="s">
        <v>175</v>
      </c>
      <c r="G224" s="14" t="s">
        <v>744</v>
      </c>
      <c r="H224" s="34" t="s">
        <v>192</v>
      </c>
      <c r="I224" s="58">
        <v>54.47</v>
      </c>
      <c r="J224" s="58">
        <v>-113.32</v>
      </c>
      <c r="K224" s="8">
        <v>165</v>
      </c>
      <c r="L224" s="8"/>
      <c r="M224" s="8" t="s">
        <v>819</v>
      </c>
      <c r="N224" s="8" t="s">
        <v>820</v>
      </c>
      <c r="O224" s="14" t="s">
        <v>444</v>
      </c>
      <c r="P224" s="8" t="s">
        <v>85</v>
      </c>
      <c r="Q224" s="15" t="s">
        <v>821</v>
      </c>
      <c r="R224" s="15"/>
      <c r="S224" s="24">
        <f>W224/K224*5</f>
        <v>-8.4872173549344669</v>
      </c>
      <c r="T224" s="8"/>
      <c r="U224" s="8"/>
      <c r="V224" s="5"/>
      <c r="W224" s="5">
        <f>AVERAGE(W226:W228)</f>
        <v>-280.07817271283744</v>
      </c>
      <c r="X224" s="17"/>
      <c r="Y224" s="17"/>
      <c r="Z224" s="25" t="s">
        <v>572</v>
      </c>
      <c r="AA224" s="25">
        <f>0.9*(365-K224)</f>
        <v>180</v>
      </c>
      <c r="AB224" s="25">
        <f>W224</f>
        <v>-280.07817271283744</v>
      </c>
      <c r="AC224" s="25">
        <f>W224+AA224</f>
        <v>-100.07817271283744</v>
      </c>
      <c r="AD224" s="3"/>
      <c r="AE224" s="8"/>
      <c r="AF224" s="8"/>
      <c r="AG224" s="3"/>
      <c r="AH224" s="3"/>
      <c r="AI224" s="3"/>
      <c r="AJ224" s="8" t="s">
        <v>881</v>
      </c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</row>
    <row r="225" spans="1:62" s="1" customFormat="1" x14ac:dyDescent="0.3">
      <c r="A225" s="32" t="s">
        <v>733</v>
      </c>
      <c r="B225" s="8" t="s">
        <v>301</v>
      </c>
      <c r="C225" s="3" t="s">
        <v>391</v>
      </c>
      <c r="D225" s="8" t="s">
        <v>190</v>
      </c>
      <c r="E225" s="8" t="s">
        <v>734</v>
      </c>
      <c r="F225" s="8" t="s">
        <v>175</v>
      </c>
      <c r="G225" s="14">
        <v>2004</v>
      </c>
      <c r="H225" s="34" t="s">
        <v>822</v>
      </c>
      <c r="I225" s="59">
        <v>54.47</v>
      </c>
      <c r="J225" s="58">
        <v>-113.32</v>
      </c>
      <c r="K225" s="8">
        <v>165</v>
      </c>
      <c r="L225" s="8"/>
      <c r="M225" s="8" t="s">
        <v>819</v>
      </c>
      <c r="N225" s="8" t="s">
        <v>820</v>
      </c>
      <c r="O225" s="14">
        <v>6.5</v>
      </c>
      <c r="P225" s="8" t="s">
        <v>85</v>
      </c>
      <c r="Q225" s="15" t="s">
        <v>823</v>
      </c>
      <c r="R225" s="15"/>
      <c r="S225" s="15"/>
      <c r="T225" s="8"/>
      <c r="U225" s="8"/>
      <c r="V225" s="5"/>
      <c r="W225" s="5">
        <f>X225/0.2729</f>
        <v>-113.59472334188348</v>
      </c>
      <c r="X225" s="17">
        <v>-31</v>
      </c>
      <c r="Y225" s="17" t="s">
        <v>824</v>
      </c>
      <c r="Z225" s="25" t="s">
        <v>572</v>
      </c>
      <c r="AA225" s="25"/>
      <c r="AB225" s="25"/>
      <c r="AC225" s="25"/>
      <c r="AD225" s="8">
        <v>327</v>
      </c>
      <c r="AE225" s="20" t="s">
        <v>740</v>
      </c>
      <c r="AF225" s="20"/>
      <c r="AG225" s="8"/>
      <c r="AH225" s="8"/>
      <c r="AI225" s="8"/>
      <c r="AJ225" s="8" t="s">
        <v>883</v>
      </c>
      <c r="AK225" s="3" t="s">
        <v>825</v>
      </c>
      <c r="AL225" s="8"/>
      <c r="AM225" s="8"/>
      <c r="AN225" s="8"/>
      <c r="AO225" s="8"/>
      <c r="AP225" s="8"/>
      <c r="AQ225" s="8"/>
      <c r="AR225" s="8"/>
      <c r="AS225" s="8"/>
      <c r="AT225" s="8"/>
      <c r="AU225" s="8"/>
      <c r="AV225" s="8"/>
      <c r="AW225" s="8"/>
      <c r="AX225" s="8"/>
      <c r="AY225" s="8"/>
      <c r="AZ225" s="8"/>
      <c r="BA225" s="8"/>
      <c r="BB225" s="8"/>
      <c r="BC225" s="8"/>
      <c r="BD225" s="8"/>
      <c r="BE225" s="8"/>
      <c r="BF225" s="8"/>
      <c r="BG225" s="8"/>
      <c r="BH225" s="8"/>
      <c r="BI225" s="8"/>
      <c r="BJ225" s="8"/>
    </row>
    <row r="226" spans="1:62" s="1" customFormat="1" x14ac:dyDescent="0.3">
      <c r="A226" s="32" t="s">
        <v>741</v>
      </c>
      <c r="B226" s="8" t="s">
        <v>301</v>
      </c>
      <c r="C226" s="3" t="s">
        <v>391</v>
      </c>
      <c r="D226" s="8" t="s">
        <v>190</v>
      </c>
      <c r="E226" s="8" t="s">
        <v>734</v>
      </c>
      <c r="F226" s="8" t="s">
        <v>175</v>
      </c>
      <c r="G226" s="14">
        <v>2004</v>
      </c>
      <c r="H226" s="34" t="s">
        <v>192</v>
      </c>
      <c r="I226" s="58">
        <v>54.47</v>
      </c>
      <c r="J226" s="58">
        <v>-113.32</v>
      </c>
      <c r="K226" s="8">
        <v>165</v>
      </c>
      <c r="L226" s="8"/>
      <c r="M226" s="8" t="s">
        <v>819</v>
      </c>
      <c r="N226" s="8" t="s">
        <v>820</v>
      </c>
      <c r="O226" s="14" t="s">
        <v>444</v>
      </c>
      <c r="P226" s="8" t="s">
        <v>85</v>
      </c>
      <c r="Q226" s="15" t="s">
        <v>821</v>
      </c>
      <c r="R226" s="15"/>
      <c r="S226" s="15"/>
      <c r="T226" s="8"/>
      <c r="U226" s="8"/>
      <c r="V226" s="5"/>
      <c r="W226" s="5">
        <f t="shared" si="45"/>
        <v>-126.41993404177356</v>
      </c>
      <c r="X226" s="17">
        <v>-34.5</v>
      </c>
      <c r="Y226" s="17" t="s">
        <v>590</v>
      </c>
      <c r="Z226" s="25" t="s">
        <v>572</v>
      </c>
      <c r="AA226" s="25"/>
      <c r="AB226" s="25"/>
      <c r="AC226" s="25"/>
      <c r="AD226" s="8"/>
      <c r="AE226" s="8"/>
      <c r="AF226" s="8"/>
      <c r="AG226" s="8"/>
      <c r="AH226" s="8"/>
      <c r="AI226" s="8"/>
      <c r="AJ226" s="8" t="s">
        <v>884</v>
      </c>
      <c r="AK226" s="3" t="s">
        <v>851</v>
      </c>
      <c r="AL226" s="8"/>
      <c r="AM226" s="8"/>
      <c r="AN226" s="8"/>
      <c r="AO226" s="8"/>
      <c r="AP226" s="8"/>
      <c r="AQ226" s="8"/>
      <c r="AR226" s="8"/>
      <c r="AS226" s="8"/>
      <c r="AT226" s="8"/>
      <c r="AU226" s="8"/>
      <c r="AV226" s="8"/>
      <c r="AW226" s="8"/>
      <c r="AX226" s="8"/>
      <c r="AY226" s="8"/>
      <c r="AZ226" s="8"/>
      <c r="BA226" s="8"/>
      <c r="BB226" s="8"/>
      <c r="BC226" s="8"/>
      <c r="BD226" s="8"/>
      <c r="BE226" s="8"/>
      <c r="BF226" s="8"/>
      <c r="BG226" s="8"/>
      <c r="BH226" s="8"/>
      <c r="BI226" s="8"/>
      <c r="BJ226" s="8"/>
    </row>
    <row r="227" spans="1:62" s="1" customFormat="1" x14ac:dyDescent="0.3">
      <c r="A227" s="32" t="s">
        <v>741</v>
      </c>
      <c r="B227" s="8" t="s">
        <v>301</v>
      </c>
      <c r="C227" s="3" t="s">
        <v>391</v>
      </c>
      <c r="D227" s="8" t="s">
        <v>190</v>
      </c>
      <c r="E227" s="8" t="s">
        <v>734</v>
      </c>
      <c r="F227" s="8" t="s">
        <v>175</v>
      </c>
      <c r="G227" s="14">
        <v>2005</v>
      </c>
      <c r="H227" s="34" t="s">
        <v>192</v>
      </c>
      <c r="I227" s="58">
        <v>54.47</v>
      </c>
      <c r="J227" s="58">
        <v>-113.32</v>
      </c>
      <c r="K227" s="8">
        <v>165</v>
      </c>
      <c r="L227" s="8"/>
      <c r="M227" s="8" t="s">
        <v>819</v>
      </c>
      <c r="N227" s="8" t="s">
        <v>820</v>
      </c>
      <c r="O227" s="14" t="s">
        <v>444</v>
      </c>
      <c r="P227" s="8" t="s">
        <v>85</v>
      </c>
      <c r="Q227" s="15" t="s">
        <v>821</v>
      </c>
      <c r="R227" s="15"/>
      <c r="S227" s="15"/>
      <c r="T227" s="8"/>
      <c r="U227" s="8"/>
      <c r="V227" s="5"/>
      <c r="W227" s="5">
        <f t="shared" si="45"/>
        <v>-560.64492488090877</v>
      </c>
      <c r="X227" s="17">
        <v>-153</v>
      </c>
      <c r="Y227" s="17" t="s">
        <v>590</v>
      </c>
      <c r="Z227" s="25" t="s">
        <v>572</v>
      </c>
      <c r="AA227" s="25"/>
      <c r="AB227" s="25"/>
      <c r="AC227" s="25"/>
      <c r="AD227" s="8"/>
      <c r="AE227" s="8"/>
      <c r="AF227" s="8"/>
      <c r="AG227" s="8"/>
      <c r="AH227" s="8"/>
      <c r="AI227" s="8"/>
      <c r="AJ227" s="8" t="s">
        <v>884</v>
      </c>
      <c r="AK227" s="3" t="s">
        <v>851</v>
      </c>
      <c r="AL227" s="8"/>
      <c r="AM227" s="8"/>
      <c r="AN227" s="8"/>
      <c r="AO227" s="8"/>
      <c r="AP227" s="8"/>
      <c r="AQ227" s="8"/>
      <c r="AR227" s="8"/>
      <c r="AS227" s="8"/>
      <c r="AT227" s="8"/>
      <c r="AU227" s="8"/>
      <c r="AV227" s="8"/>
      <c r="AW227" s="8"/>
      <c r="AX227" s="8"/>
      <c r="AY227" s="8"/>
      <c r="AZ227" s="8"/>
      <c r="BA227" s="8"/>
      <c r="BB227" s="8"/>
      <c r="BC227" s="8"/>
      <c r="BD227" s="8"/>
      <c r="BE227" s="8"/>
      <c r="BF227" s="8"/>
      <c r="BG227" s="8"/>
      <c r="BH227" s="8"/>
      <c r="BI227" s="8"/>
      <c r="BJ227" s="8"/>
    </row>
    <row r="228" spans="1:62" s="1" customFormat="1" x14ac:dyDescent="0.3">
      <c r="A228" s="32" t="s">
        <v>741</v>
      </c>
      <c r="B228" s="8" t="s">
        <v>301</v>
      </c>
      <c r="C228" s="3" t="s">
        <v>391</v>
      </c>
      <c r="D228" s="8" t="s">
        <v>190</v>
      </c>
      <c r="E228" s="8" t="s">
        <v>734</v>
      </c>
      <c r="F228" s="8" t="s">
        <v>175</v>
      </c>
      <c r="G228" s="14">
        <v>2006</v>
      </c>
      <c r="H228" s="34" t="s">
        <v>192</v>
      </c>
      <c r="I228" s="58">
        <v>54.47</v>
      </c>
      <c r="J228" s="58">
        <v>-113.32</v>
      </c>
      <c r="K228" s="8">
        <v>165</v>
      </c>
      <c r="L228" s="8"/>
      <c r="M228" s="8" t="s">
        <v>819</v>
      </c>
      <c r="N228" s="8" t="s">
        <v>820</v>
      </c>
      <c r="O228" s="14" t="s">
        <v>444</v>
      </c>
      <c r="P228" s="8" t="s">
        <v>85</v>
      </c>
      <c r="Q228" s="15" t="s">
        <v>821</v>
      </c>
      <c r="R228" s="15"/>
      <c r="S228" s="15"/>
      <c r="T228" s="8"/>
      <c r="U228" s="8"/>
      <c r="V228" s="5"/>
      <c r="W228" s="5">
        <f t="shared" si="45"/>
        <v>-153.16965921582997</v>
      </c>
      <c r="X228" s="17">
        <v>-41.8</v>
      </c>
      <c r="Y228" s="17" t="s">
        <v>590</v>
      </c>
      <c r="Z228" s="25" t="s">
        <v>572</v>
      </c>
      <c r="AA228" s="25"/>
      <c r="AB228" s="25"/>
      <c r="AC228" s="25"/>
      <c r="AD228" s="8"/>
      <c r="AE228" s="8"/>
      <c r="AF228" s="8"/>
      <c r="AG228" s="8"/>
      <c r="AH228" s="8"/>
      <c r="AI228" s="8"/>
      <c r="AJ228" s="8" t="s">
        <v>884</v>
      </c>
      <c r="AK228" s="3" t="s">
        <v>851</v>
      </c>
      <c r="AL228" s="8"/>
      <c r="AM228" s="8"/>
      <c r="AN228" s="8"/>
      <c r="AO228" s="8"/>
      <c r="AP228" s="8"/>
      <c r="AQ228" s="8"/>
      <c r="AR228" s="8"/>
      <c r="AS228" s="8"/>
      <c r="AT228" s="8"/>
      <c r="AU228" s="8"/>
      <c r="AV228" s="8"/>
      <c r="AW228" s="8"/>
      <c r="AX228" s="8"/>
      <c r="AY228" s="8"/>
      <c r="AZ228" s="8"/>
      <c r="BA228" s="8"/>
      <c r="BB228" s="8"/>
      <c r="BC228" s="8"/>
      <c r="BD228" s="8"/>
      <c r="BE228" s="8"/>
      <c r="BF228" s="8"/>
      <c r="BG228" s="8"/>
      <c r="BH228" s="8"/>
      <c r="BI228" s="8"/>
      <c r="BJ228" s="8"/>
    </row>
    <row r="229" spans="1:62" s="1" customFormat="1" x14ac:dyDescent="0.3">
      <c r="A229" s="32" t="s">
        <v>875</v>
      </c>
      <c r="B229" s="8" t="s">
        <v>301</v>
      </c>
      <c r="C229" s="3" t="s">
        <v>391</v>
      </c>
      <c r="D229" s="8" t="s">
        <v>190</v>
      </c>
      <c r="E229" s="8" t="s">
        <v>826</v>
      </c>
      <c r="F229" s="8" t="s">
        <v>175</v>
      </c>
      <c r="G229" s="14" t="s">
        <v>682</v>
      </c>
      <c r="H229" s="34" t="s">
        <v>827</v>
      </c>
      <c r="I229" s="59">
        <v>56.4</v>
      </c>
      <c r="J229" s="59">
        <v>-111.03</v>
      </c>
      <c r="K229" s="8">
        <v>169</v>
      </c>
      <c r="L229" s="3"/>
      <c r="M229" s="8" t="s">
        <v>467</v>
      </c>
      <c r="N229" s="8"/>
      <c r="O229" s="14"/>
      <c r="P229" s="8" t="s">
        <v>36</v>
      </c>
      <c r="Q229" s="15"/>
      <c r="R229" s="8"/>
      <c r="S229" s="24">
        <f>W229/K229*5</f>
        <v>-7.7222295701874035</v>
      </c>
      <c r="T229" s="27"/>
      <c r="U229" s="17"/>
      <c r="V229" s="20"/>
      <c r="W229" s="20">
        <f t="shared" si="45"/>
        <v>-261.01135947233422</v>
      </c>
      <c r="X229" s="17">
        <v>-71.23</v>
      </c>
      <c r="Y229" s="17" t="s">
        <v>447</v>
      </c>
      <c r="Z229" s="25" t="s">
        <v>572</v>
      </c>
      <c r="AA229" s="25">
        <f t="shared" ref="AA229:AA232" si="46">0.9*(365-K229)</f>
        <v>176.4</v>
      </c>
      <c r="AB229" s="25">
        <f t="shared" ref="AB229:AB232" si="47">W229</f>
        <v>-261.01135947233422</v>
      </c>
      <c r="AC229" s="25">
        <f>W229+AA229</f>
        <v>-84.611359472334215</v>
      </c>
      <c r="AD229" s="8"/>
      <c r="AE229" s="8"/>
      <c r="AF229" s="8"/>
      <c r="AG229" s="8"/>
      <c r="AH229" s="8"/>
      <c r="AI229" s="8"/>
      <c r="AJ229" s="8" t="s">
        <v>881</v>
      </c>
      <c r="AK229" s="3"/>
      <c r="AL229" s="8"/>
      <c r="AM229" s="8"/>
      <c r="AN229" s="8"/>
      <c r="AO229" s="8"/>
      <c r="AP229" s="8"/>
      <c r="AQ229" s="8"/>
      <c r="AR229" s="8"/>
      <c r="AS229" s="8"/>
      <c r="AT229" s="8"/>
      <c r="AU229" s="8"/>
      <c r="AV229" s="8"/>
      <c r="AW229" s="8"/>
      <c r="AX229" s="8"/>
      <c r="AY229" s="8"/>
      <c r="AZ229" s="8"/>
      <c r="BA229" s="8"/>
      <c r="BB229" s="8"/>
      <c r="BC229" s="8"/>
      <c r="BD229" s="8"/>
      <c r="BE229" s="8"/>
      <c r="BF229" s="8"/>
      <c r="BG229" s="8"/>
      <c r="BH229" s="8"/>
      <c r="BI229" s="8"/>
      <c r="BJ229" s="8"/>
    </row>
    <row r="230" spans="1:62" s="1" customFormat="1" x14ac:dyDescent="0.3">
      <c r="A230" s="32" t="s">
        <v>875</v>
      </c>
      <c r="B230" s="8" t="s">
        <v>301</v>
      </c>
      <c r="C230" s="3" t="s">
        <v>391</v>
      </c>
      <c r="D230" s="8" t="s">
        <v>713</v>
      </c>
      <c r="E230" s="8" t="s">
        <v>828</v>
      </c>
      <c r="F230" s="8" t="s">
        <v>272</v>
      </c>
      <c r="G230" s="14" t="s">
        <v>682</v>
      </c>
      <c r="H230" s="34" t="s">
        <v>827</v>
      </c>
      <c r="I230" s="59">
        <v>61.63</v>
      </c>
      <c r="J230" s="59">
        <v>-121.4</v>
      </c>
      <c r="K230" s="8">
        <v>143</v>
      </c>
      <c r="L230" s="3"/>
      <c r="M230" s="8" t="s">
        <v>829</v>
      </c>
      <c r="N230" s="8"/>
      <c r="O230" s="14"/>
      <c r="P230" s="8" t="s">
        <v>36</v>
      </c>
      <c r="Q230" s="15"/>
      <c r="R230" s="8"/>
      <c r="S230" s="24">
        <f>W230/K230*5</f>
        <v>-3.0070698813828161</v>
      </c>
      <c r="T230" s="27"/>
      <c r="U230" s="17"/>
      <c r="V230" s="20"/>
      <c r="W230" s="20">
        <f t="shared" si="45"/>
        <v>-86.00219860754855</v>
      </c>
      <c r="X230" s="17">
        <v>-23.47</v>
      </c>
      <c r="Y230" s="17" t="s">
        <v>447</v>
      </c>
      <c r="Z230" s="25" t="s">
        <v>572</v>
      </c>
      <c r="AA230" s="25">
        <f t="shared" si="46"/>
        <v>199.8</v>
      </c>
      <c r="AB230" s="25">
        <f t="shared" si="47"/>
        <v>-86.00219860754855</v>
      </c>
      <c r="AC230" s="25">
        <f>W230+AA230</f>
        <v>113.79780139245146</v>
      </c>
      <c r="AD230" s="8"/>
      <c r="AE230" s="8"/>
      <c r="AF230" s="8"/>
      <c r="AG230" s="8"/>
      <c r="AH230" s="8"/>
      <c r="AI230" s="8"/>
      <c r="AJ230" s="8" t="s">
        <v>881</v>
      </c>
      <c r="AK230" s="3"/>
      <c r="AL230" s="8"/>
      <c r="AM230" s="8"/>
      <c r="AN230" s="8"/>
      <c r="AO230" s="8"/>
      <c r="AP230" s="8"/>
      <c r="AQ230" s="8"/>
      <c r="AR230" s="8"/>
      <c r="AS230" s="8"/>
      <c r="AT230" s="8"/>
      <c r="AU230" s="8"/>
      <c r="AV230" s="8"/>
      <c r="AW230" s="8"/>
      <c r="AX230" s="8"/>
      <c r="AY230" s="8"/>
      <c r="AZ230" s="8"/>
      <c r="BA230" s="8"/>
      <c r="BB230" s="8"/>
      <c r="BC230" s="8"/>
      <c r="BD230" s="8"/>
      <c r="BE230" s="8"/>
      <c r="BF230" s="8"/>
      <c r="BG230" s="8"/>
      <c r="BH230" s="8"/>
      <c r="BI230" s="8"/>
      <c r="BJ230" s="8"/>
    </row>
    <row r="231" spans="1:62" s="1" customFormat="1" x14ac:dyDescent="0.3">
      <c r="A231" s="32" t="s">
        <v>875</v>
      </c>
      <c r="B231" s="8" t="s">
        <v>301</v>
      </c>
      <c r="C231" s="3" t="s">
        <v>391</v>
      </c>
      <c r="D231" s="8" t="s">
        <v>713</v>
      </c>
      <c r="E231" s="8" t="s">
        <v>830</v>
      </c>
      <c r="F231" s="8" t="s">
        <v>272</v>
      </c>
      <c r="G231" s="14" t="s">
        <v>682</v>
      </c>
      <c r="H231" s="34" t="s">
        <v>827</v>
      </c>
      <c r="I231" s="59">
        <v>65.209999999999994</v>
      </c>
      <c r="J231" s="59">
        <v>-127.01</v>
      </c>
      <c r="K231" s="8">
        <v>132</v>
      </c>
      <c r="L231" s="3"/>
      <c r="M231" s="8" t="s">
        <v>829</v>
      </c>
      <c r="N231" s="8"/>
      <c r="O231" s="14"/>
      <c r="P231" s="8" t="s">
        <v>36</v>
      </c>
      <c r="Q231" s="15"/>
      <c r="R231" s="8"/>
      <c r="S231" s="24">
        <f>W231/K231*5</f>
        <v>-7.2287551217562207</v>
      </c>
      <c r="T231" s="27"/>
      <c r="U231" s="17"/>
      <c r="V231" s="20"/>
      <c r="W231" s="20">
        <f t="shared" si="45"/>
        <v>-190.83913521436423</v>
      </c>
      <c r="X231" s="17">
        <v>-52.08</v>
      </c>
      <c r="Y231" s="17" t="s">
        <v>447</v>
      </c>
      <c r="Z231" s="25" t="s">
        <v>572</v>
      </c>
      <c r="AA231" s="25">
        <f t="shared" si="46"/>
        <v>209.70000000000002</v>
      </c>
      <c r="AB231" s="25">
        <f t="shared" si="47"/>
        <v>-190.83913521436423</v>
      </c>
      <c r="AC231" s="25">
        <f>W231+AA231</f>
        <v>18.860864785635783</v>
      </c>
      <c r="AD231" s="8"/>
      <c r="AE231" s="8"/>
      <c r="AF231" s="8"/>
      <c r="AG231" s="8"/>
      <c r="AH231" s="8"/>
      <c r="AI231" s="8"/>
      <c r="AJ231" s="8" t="s">
        <v>881</v>
      </c>
      <c r="AK231" s="3"/>
      <c r="AL231" s="8"/>
      <c r="AM231" s="8"/>
      <c r="AN231" s="8"/>
      <c r="AO231" s="8"/>
      <c r="AP231" s="8"/>
      <c r="AQ231" s="8"/>
      <c r="AR231" s="8"/>
      <c r="AS231" s="8"/>
      <c r="AT231" s="8"/>
      <c r="AU231" s="8"/>
      <c r="AV231" s="8"/>
      <c r="AW231" s="8"/>
      <c r="AX231" s="8"/>
      <c r="AY231" s="8"/>
      <c r="AZ231" s="8"/>
      <c r="BA231" s="8"/>
      <c r="BB231" s="8"/>
      <c r="BC231" s="8"/>
      <c r="BD231" s="8"/>
      <c r="BE231" s="8"/>
      <c r="BF231" s="8"/>
      <c r="BG231" s="8"/>
      <c r="BH231" s="8"/>
      <c r="BI231" s="8"/>
      <c r="BJ231" s="8"/>
    </row>
    <row r="232" spans="1:62" s="1" customFormat="1" x14ac:dyDescent="0.3">
      <c r="A232" s="32" t="s">
        <v>875</v>
      </c>
      <c r="B232" s="8" t="s">
        <v>301</v>
      </c>
      <c r="C232" s="3" t="s">
        <v>391</v>
      </c>
      <c r="D232" s="8" t="s">
        <v>713</v>
      </c>
      <c r="E232" s="8" t="s">
        <v>831</v>
      </c>
      <c r="F232" s="8" t="s">
        <v>832</v>
      </c>
      <c r="G232" s="14" t="s">
        <v>682</v>
      </c>
      <c r="H232" s="34" t="s">
        <v>827</v>
      </c>
      <c r="I232" s="59">
        <v>68.319999999999993</v>
      </c>
      <c r="J232" s="59">
        <v>-133.43</v>
      </c>
      <c r="K232" s="8">
        <v>112</v>
      </c>
      <c r="L232" s="3"/>
      <c r="M232" s="8" t="s">
        <v>833</v>
      </c>
      <c r="N232" s="8"/>
      <c r="O232" s="14"/>
      <c r="P232" s="8" t="s">
        <v>36</v>
      </c>
      <c r="Q232" s="15"/>
      <c r="R232" s="8"/>
      <c r="S232" s="24">
        <f>W232/K232*5</f>
        <v>-13.955595979689054</v>
      </c>
      <c r="T232" s="27"/>
      <c r="U232" s="17"/>
      <c r="V232" s="20"/>
      <c r="W232" s="20">
        <f t="shared" si="45"/>
        <v>-312.60534994503485</v>
      </c>
      <c r="X232" s="17">
        <v>-85.31</v>
      </c>
      <c r="Y232" s="17" t="s">
        <v>447</v>
      </c>
      <c r="Z232" s="25" t="s">
        <v>572</v>
      </c>
      <c r="AA232" s="25">
        <f t="shared" si="46"/>
        <v>227.70000000000002</v>
      </c>
      <c r="AB232" s="25">
        <f t="shared" si="47"/>
        <v>-312.60534994503485</v>
      </c>
      <c r="AC232" s="25">
        <f>W232+AA232</f>
        <v>-84.905349945034828</v>
      </c>
      <c r="AD232" s="8"/>
      <c r="AE232" s="8"/>
      <c r="AF232" s="8"/>
      <c r="AG232" s="8"/>
      <c r="AH232" s="8"/>
      <c r="AI232" s="8"/>
      <c r="AJ232" s="8" t="s">
        <v>881</v>
      </c>
      <c r="AK232" s="3"/>
      <c r="AL232" s="8"/>
      <c r="AM232" s="8"/>
      <c r="AN232" s="8"/>
      <c r="AO232" s="8"/>
      <c r="AP232" s="8"/>
      <c r="AQ232" s="8"/>
      <c r="AR232" s="8"/>
      <c r="AS232" s="8"/>
      <c r="AT232" s="8"/>
      <c r="AU232" s="8"/>
      <c r="AV232" s="8"/>
      <c r="AW232" s="8"/>
      <c r="AX232" s="8"/>
      <c r="AY232" s="8"/>
      <c r="AZ232" s="8"/>
      <c r="BA232" s="8"/>
      <c r="BB232" s="8"/>
      <c r="BC232" s="8"/>
      <c r="BD232" s="8"/>
      <c r="BE232" s="8"/>
      <c r="BF232" s="8"/>
      <c r="BG232" s="8"/>
      <c r="BH232" s="8"/>
      <c r="BI232" s="8"/>
      <c r="BJ232" s="8"/>
    </row>
    <row r="233" spans="1:62" s="1" customFormat="1" x14ac:dyDescent="0.3">
      <c r="A233" s="20" t="s">
        <v>834</v>
      </c>
      <c r="B233" s="20" t="s">
        <v>301</v>
      </c>
      <c r="C233" s="3" t="s">
        <v>391</v>
      </c>
      <c r="D233" s="20" t="s">
        <v>164</v>
      </c>
      <c r="E233" s="20" t="s">
        <v>226</v>
      </c>
      <c r="F233" s="20" t="s">
        <v>200</v>
      </c>
      <c r="G233" s="23">
        <v>1994</v>
      </c>
      <c r="H233" s="61" t="s">
        <v>835</v>
      </c>
      <c r="I233" s="59">
        <v>56.516666000000001</v>
      </c>
      <c r="J233" s="59">
        <v>-98.7</v>
      </c>
      <c r="K233" s="8">
        <v>144</v>
      </c>
      <c r="L233" s="8"/>
      <c r="M233" s="20" t="s">
        <v>836</v>
      </c>
      <c r="N233" s="20" t="s">
        <v>444</v>
      </c>
      <c r="O233" s="23" t="s">
        <v>444</v>
      </c>
      <c r="P233" s="20" t="s">
        <v>85</v>
      </c>
      <c r="Q233" s="21" t="s">
        <v>837</v>
      </c>
      <c r="R233" s="21"/>
      <c r="S233" s="21"/>
      <c r="T233" s="20"/>
      <c r="U233" s="20"/>
      <c r="V233" s="5"/>
      <c r="W233" s="5">
        <f t="shared" si="45"/>
        <v>113.22828875045805</v>
      </c>
      <c r="X233" s="17">
        <v>30.9</v>
      </c>
      <c r="Y233" s="17" t="s">
        <v>577</v>
      </c>
      <c r="Z233" s="25" t="s">
        <v>572</v>
      </c>
      <c r="AA233" s="25"/>
      <c r="AB233" s="25"/>
      <c r="AC233" s="25"/>
      <c r="AD233" s="8"/>
      <c r="AE233" s="8"/>
      <c r="AF233" s="8"/>
      <c r="AG233" s="8"/>
      <c r="AH233" s="8"/>
      <c r="AI233" s="8"/>
      <c r="AJ233" s="8" t="s">
        <v>883</v>
      </c>
      <c r="AK233" s="3"/>
      <c r="AL233" s="8"/>
      <c r="AM233" s="8"/>
      <c r="AN233" s="8"/>
      <c r="AO233" s="8"/>
      <c r="AP233" s="8"/>
      <c r="AQ233" s="8"/>
      <c r="AR233" s="8"/>
      <c r="AS233" s="8"/>
      <c r="AT233" s="8"/>
      <c r="AU233" s="8"/>
      <c r="AV233" s="8"/>
      <c r="AW233" s="8"/>
      <c r="AX233" s="8"/>
      <c r="AY233" s="8"/>
      <c r="AZ233" s="8"/>
      <c r="BA233" s="8"/>
      <c r="BB233" s="8"/>
      <c r="BC233" s="8"/>
      <c r="BD233" s="8"/>
      <c r="BE233" s="8"/>
      <c r="BF233" s="8"/>
      <c r="BG233" s="8"/>
      <c r="BH233" s="8"/>
      <c r="BI233" s="8"/>
      <c r="BJ233" s="8"/>
    </row>
    <row r="234" spans="1:62" s="1" customFormat="1" x14ac:dyDescent="0.3">
      <c r="A234" s="20" t="s">
        <v>834</v>
      </c>
      <c r="B234" s="20" t="s">
        <v>301</v>
      </c>
      <c r="C234" s="3" t="s">
        <v>391</v>
      </c>
      <c r="D234" s="20" t="s">
        <v>164</v>
      </c>
      <c r="E234" s="20" t="s">
        <v>226</v>
      </c>
      <c r="F234" s="20" t="s">
        <v>200</v>
      </c>
      <c r="G234" s="23">
        <v>1994</v>
      </c>
      <c r="H234" s="61" t="s">
        <v>838</v>
      </c>
      <c r="I234" s="59">
        <v>56.516666000000001</v>
      </c>
      <c r="J234" s="59">
        <v>-98.7</v>
      </c>
      <c r="K234" s="8">
        <v>144</v>
      </c>
      <c r="L234" s="8"/>
      <c r="M234" s="20" t="s">
        <v>836</v>
      </c>
      <c r="N234" s="20" t="s">
        <v>444</v>
      </c>
      <c r="O234" s="23" t="s">
        <v>444</v>
      </c>
      <c r="P234" s="20" t="s">
        <v>85</v>
      </c>
      <c r="Q234" s="21" t="s">
        <v>837</v>
      </c>
      <c r="R234" s="5">
        <f t="shared" ref="R234:R236" si="48">T234/0.2729</f>
        <v>11.13961157933309</v>
      </c>
      <c r="S234" s="5"/>
      <c r="T234" s="17">
        <v>3.04</v>
      </c>
      <c r="U234" s="17" t="s">
        <v>589</v>
      </c>
      <c r="V234" s="5"/>
      <c r="W234" s="5">
        <f t="shared" si="45"/>
        <v>211.43275925247346</v>
      </c>
      <c r="X234" s="17">
        <v>57.7</v>
      </c>
      <c r="Y234" s="17" t="s">
        <v>577</v>
      </c>
      <c r="Z234" s="25" t="s">
        <v>572</v>
      </c>
      <c r="AA234" s="25"/>
      <c r="AB234" s="25"/>
      <c r="AC234" s="25"/>
      <c r="AD234" s="8"/>
      <c r="AE234" s="8"/>
      <c r="AF234" s="8"/>
      <c r="AG234" s="8"/>
      <c r="AH234" s="8"/>
      <c r="AI234" s="8"/>
      <c r="AJ234" s="8" t="s">
        <v>883</v>
      </c>
      <c r="AK234" s="3"/>
      <c r="AL234" s="8"/>
      <c r="AM234" s="8"/>
      <c r="AN234" s="8"/>
      <c r="AO234" s="8"/>
      <c r="AP234" s="8"/>
      <c r="AQ234" s="8"/>
      <c r="AR234" s="8"/>
      <c r="AS234" s="8"/>
      <c r="AT234" s="8"/>
      <c r="AU234" s="8"/>
      <c r="AV234" s="8"/>
      <c r="AW234" s="8"/>
      <c r="AX234" s="8"/>
      <c r="AY234" s="8"/>
      <c r="AZ234" s="8"/>
      <c r="BA234" s="8"/>
      <c r="BB234" s="8"/>
      <c r="BC234" s="8"/>
      <c r="BD234" s="8"/>
      <c r="BE234" s="8"/>
      <c r="BF234" s="8"/>
      <c r="BG234" s="8"/>
      <c r="BH234" s="8"/>
      <c r="BI234" s="8"/>
      <c r="BJ234" s="8"/>
    </row>
    <row r="235" spans="1:62" s="1" customFormat="1" x14ac:dyDescent="0.3">
      <c r="A235" s="20" t="s">
        <v>834</v>
      </c>
      <c r="B235" s="20" t="s">
        <v>301</v>
      </c>
      <c r="C235" s="3" t="s">
        <v>391</v>
      </c>
      <c r="D235" s="20" t="s">
        <v>164</v>
      </c>
      <c r="E235" s="20" t="s">
        <v>226</v>
      </c>
      <c r="F235" s="20" t="s">
        <v>200</v>
      </c>
      <c r="G235" s="23">
        <v>1994</v>
      </c>
      <c r="H235" s="61" t="s">
        <v>839</v>
      </c>
      <c r="I235" s="59">
        <v>56.516666000000001</v>
      </c>
      <c r="J235" s="59">
        <v>-98.7</v>
      </c>
      <c r="K235" s="8">
        <v>144</v>
      </c>
      <c r="L235" s="8"/>
      <c r="M235" s="20" t="s">
        <v>836</v>
      </c>
      <c r="N235" s="20" t="s">
        <v>444</v>
      </c>
      <c r="O235" s="23" t="s">
        <v>444</v>
      </c>
      <c r="P235" s="20" t="s">
        <v>85</v>
      </c>
      <c r="Q235" s="21" t="s">
        <v>837</v>
      </c>
      <c r="R235" s="5">
        <f t="shared" si="48"/>
        <v>-2.9681201905459882</v>
      </c>
      <c r="S235" s="5"/>
      <c r="T235" s="17">
        <v>-0.81</v>
      </c>
      <c r="U235" s="17" t="s">
        <v>589</v>
      </c>
      <c r="V235" s="5"/>
      <c r="W235" s="5">
        <f t="shared" si="45"/>
        <v>-254.67204104067426</v>
      </c>
      <c r="X235" s="17">
        <v>-69.5</v>
      </c>
      <c r="Y235" s="17" t="s">
        <v>577</v>
      </c>
      <c r="Z235" s="25" t="s">
        <v>572</v>
      </c>
      <c r="AA235" s="25"/>
      <c r="AB235" s="25"/>
      <c r="AC235" s="25"/>
      <c r="AD235" s="8"/>
      <c r="AE235" s="8"/>
      <c r="AF235" s="8"/>
      <c r="AG235" s="8"/>
      <c r="AH235" s="8"/>
      <c r="AI235" s="8"/>
      <c r="AJ235" s="8" t="s">
        <v>883</v>
      </c>
      <c r="AK235" s="3"/>
      <c r="AL235" s="8"/>
      <c r="AM235" s="8"/>
      <c r="AN235" s="8"/>
      <c r="AO235" s="8"/>
      <c r="AP235" s="8"/>
      <c r="AQ235" s="8"/>
      <c r="AR235" s="8"/>
      <c r="AS235" s="8"/>
      <c r="AT235" s="8"/>
      <c r="AU235" s="8"/>
      <c r="AV235" s="8"/>
      <c r="AW235" s="8"/>
      <c r="AX235" s="8"/>
      <c r="AY235" s="8"/>
      <c r="AZ235" s="8"/>
      <c r="BA235" s="8"/>
      <c r="BB235" s="8"/>
      <c r="BC235" s="8"/>
      <c r="BD235" s="8"/>
      <c r="BE235" s="8"/>
      <c r="BF235" s="8"/>
      <c r="BG235" s="8"/>
      <c r="BH235" s="8"/>
      <c r="BI235" s="8"/>
      <c r="BJ235" s="8"/>
    </row>
    <row r="236" spans="1:62" s="1" customFormat="1" x14ac:dyDescent="0.3">
      <c r="A236" s="20" t="s">
        <v>834</v>
      </c>
      <c r="B236" s="20" t="s">
        <v>301</v>
      </c>
      <c r="C236" s="3" t="s">
        <v>391</v>
      </c>
      <c r="D236" s="20" t="s">
        <v>164</v>
      </c>
      <c r="E236" s="20" t="s">
        <v>226</v>
      </c>
      <c r="F236" s="20" t="s">
        <v>200</v>
      </c>
      <c r="G236" s="23">
        <v>1994</v>
      </c>
      <c r="H236" s="61" t="s">
        <v>840</v>
      </c>
      <c r="I236" s="59">
        <v>56.516666000000001</v>
      </c>
      <c r="J236" s="59">
        <v>-98.7</v>
      </c>
      <c r="K236" s="8">
        <v>144</v>
      </c>
      <c r="L236" s="8"/>
      <c r="M236" s="20" t="s">
        <v>836</v>
      </c>
      <c r="N236" s="20" t="s">
        <v>444</v>
      </c>
      <c r="O236" s="23" t="s">
        <v>444</v>
      </c>
      <c r="P236" s="20" t="s">
        <v>85</v>
      </c>
      <c r="Q236" s="21" t="s">
        <v>837</v>
      </c>
      <c r="R236" s="5">
        <f t="shared" si="48"/>
        <v>8.2081348479296459</v>
      </c>
      <c r="S236" s="5"/>
      <c r="T236" s="17">
        <v>2.2400000000000002</v>
      </c>
      <c r="U236" s="17" t="s">
        <v>589</v>
      </c>
      <c r="V236" s="5"/>
      <c r="W236" s="5">
        <f t="shared" si="45"/>
        <v>156.10113594723344</v>
      </c>
      <c r="X236" s="17">
        <v>42.6</v>
      </c>
      <c r="Y236" s="17" t="s">
        <v>577</v>
      </c>
      <c r="Z236" s="25" t="s">
        <v>572</v>
      </c>
      <c r="AA236" s="25"/>
      <c r="AB236" s="25"/>
      <c r="AC236" s="25"/>
      <c r="AD236" s="8"/>
      <c r="AE236" s="8"/>
      <c r="AF236" s="8"/>
      <c r="AG236" s="8"/>
      <c r="AH236" s="8"/>
      <c r="AI236" s="8"/>
      <c r="AJ236" s="8" t="s">
        <v>883</v>
      </c>
      <c r="AK236" s="3"/>
      <c r="AL236" s="8"/>
      <c r="AM236" s="8"/>
      <c r="AN236" s="8"/>
      <c r="AO236" s="8"/>
      <c r="AP236" s="8"/>
      <c r="AQ236" s="8"/>
      <c r="AR236" s="8"/>
      <c r="AS236" s="8"/>
      <c r="AT236" s="8"/>
      <c r="AU236" s="8"/>
      <c r="AV236" s="8"/>
      <c r="AW236" s="8"/>
      <c r="AX236" s="8"/>
      <c r="AY236" s="8"/>
      <c r="AZ236" s="8"/>
      <c r="BA236" s="8"/>
      <c r="BB236" s="8"/>
      <c r="BC236" s="8"/>
      <c r="BD236" s="8"/>
      <c r="BE236" s="8"/>
      <c r="BF236" s="8"/>
      <c r="BG236" s="8"/>
      <c r="BH236" s="8"/>
      <c r="BI236" s="8"/>
      <c r="BJ236" s="8"/>
    </row>
    <row r="237" spans="1:62" s="1" customFormat="1" x14ac:dyDescent="0.3">
      <c r="A237" s="8" t="s">
        <v>841</v>
      </c>
      <c r="B237" s="8" t="s">
        <v>301</v>
      </c>
      <c r="C237" s="3" t="s">
        <v>391</v>
      </c>
      <c r="D237" s="8" t="s">
        <v>164</v>
      </c>
      <c r="E237" s="8" t="s">
        <v>226</v>
      </c>
      <c r="F237" s="8" t="s">
        <v>200</v>
      </c>
      <c r="G237" s="14" t="s">
        <v>346</v>
      </c>
      <c r="H237" s="61" t="s">
        <v>842</v>
      </c>
      <c r="I237" s="59">
        <v>56.516666000000001</v>
      </c>
      <c r="J237" s="59">
        <v>-98.7</v>
      </c>
      <c r="K237" s="8">
        <v>144</v>
      </c>
      <c r="L237" s="8"/>
      <c r="M237" s="20" t="s">
        <v>843</v>
      </c>
      <c r="N237" s="20" t="s">
        <v>844</v>
      </c>
      <c r="O237" s="23" t="s">
        <v>444</v>
      </c>
      <c r="P237" s="20" t="s">
        <v>85</v>
      </c>
      <c r="Q237" s="21" t="s">
        <v>845</v>
      </c>
      <c r="R237" s="5"/>
      <c r="S237" s="24">
        <f>W237/K237*5</f>
        <v>-3.8679206872684331</v>
      </c>
      <c r="T237" s="17"/>
      <c r="U237" s="17"/>
      <c r="V237" s="5"/>
      <c r="W237" s="5">
        <f>AVERAGE(W238:W239)</f>
        <v>-111.39611579333086</v>
      </c>
      <c r="X237" s="17"/>
      <c r="Y237" s="17"/>
      <c r="Z237" s="25" t="s">
        <v>572</v>
      </c>
      <c r="AA237" s="25">
        <f>0.9*(365-K237)</f>
        <v>198.9</v>
      </c>
      <c r="AB237" s="25">
        <f>W237</f>
        <v>-111.39611579333086</v>
      </c>
      <c r="AC237" s="25">
        <f>W237+AA237</f>
        <v>87.503884206669142</v>
      </c>
      <c r="AD237" s="8"/>
      <c r="AE237" s="8"/>
      <c r="AF237" s="8"/>
      <c r="AG237" s="8"/>
      <c r="AH237" s="8"/>
      <c r="AI237" s="8"/>
      <c r="AJ237" s="8" t="s">
        <v>881</v>
      </c>
      <c r="AK237" s="3"/>
      <c r="AL237" s="8"/>
      <c r="AM237" s="8"/>
      <c r="AN237" s="8"/>
      <c r="AO237" s="8"/>
      <c r="AP237" s="8"/>
      <c r="AQ237" s="8"/>
      <c r="AR237" s="8"/>
      <c r="AS237" s="8"/>
      <c r="AT237" s="8"/>
      <c r="AU237" s="8"/>
      <c r="AV237" s="8"/>
      <c r="AW237" s="8"/>
      <c r="AX237" s="8"/>
      <c r="AY237" s="8"/>
      <c r="AZ237" s="8"/>
      <c r="BA237" s="8"/>
      <c r="BB237" s="8"/>
      <c r="BC237" s="8"/>
      <c r="BD237" s="8"/>
      <c r="BE237" s="8"/>
      <c r="BF237" s="8"/>
      <c r="BG237" s="8"/>
      <c r="BH237" s="8"/>
      <c r="BI237" s="8"/>
      <c r="BJ237" s="8"/>
    </row>
    <row r="238" spans="1:62" s="1" customFormat="1" x14ac:dyDescent="0.3">
      <c r="A238" s="8" t="s">
        <v>841</v>
      </c>
      <c r="B238" s="8" t="s">
        <v>301</v>
      </c>
      <c r="C238" s="3" t="s">
        <v>391</v>
      </c>
      <c r="D238" s="8" t="s">
        <v>164</v>
      </c>
      <c r="E238" s="8" t="s">
        <v>226</v>
      </c>
      <c r="F238" s="8" t="s">
        <v>200</v>
      </c>
      <c r="G238" s="14">
        <v>1994</v>
      </c>
      <c r="H238" s="34" t="s">
        <v>842</v>
      </c>
      <c r="I238" s="59">
        <v>56.516666000000001</v>
      </c>
      <c r="J238" s="59">
        <v>-98.7</v>
      </c>
      <c r="K238" s="8">
        <v>144</v>
      </c>
      <c r="L238" s="8"/>
      <c r="M238" s="8" t="s">
        <v>843</v>
      </c>
      <c r="N238" s="8" t="s">
        <v>844</v>
      </c>
      <c r="O238" s="14" t="s">
        <v>444</v>
      </c>
      <c r="P238" s="8" t="s">
        <v>85</v>
      </c>
      <c r="Q238" s="15" t="s">
        <v>845</v>
      </c>
      <c r="R238" s="15"/>
      <c r="S238" s="15"/>
      <c r="T238" s="17"/>
      <c r="U238" s="8"/>
      <c r="V238" s="5"/>
      <c r="W238" s="5">
        <f>X238/0.2729</f>
        <v>112.86185415903263</v>
      </c>
      <c r="X238" s="17">
        <v>30.8</v>
      </c>
      <c r="Y238" s="17" t="s">
        <v>590</v>
      </c>
      <c r="Z238" s="25" t="s">
        <v>572</v>
      </c>
      <c r="AA238" s="25"/>
      <c r="AB238" s="25"/>
      <c r="AC238" s="25"/>
      <c r="AD238" s="8"/>
      <c r="AE238" s="8"/>
      <c r="AF238" s="8"/>
      <c r="AG238" s="8"/>
      <c r="AH238" s="8"/>
      <c r="AI238" s="8"/>
      <c r="AJ238" s="8" t="s">
        <v>884</v>
      </c>
      <c r="AK238" s="3"/>
      <c r="AL238" s="8"/>
      <c r="AM238" s="8"/>
      <c r="AN238" s="8"/>
      <c r="AO238" s="8"/>
      <c r="AP238" s="8"/>
      <c r="AQ238" s="8"/>
      <c r="AR238" s="8"/>
      <c r="AS238" s="8"/>
      <c r="AT238" s="8"/>
      <c r="AU238" s="8"/>
      <c r="AV238" s="8"/>
      <c r="AW238" s="8"/>
      <c r="AX238" s="8"/>
      <c r="AY238" s="8"/>
      <c r="AZ238" s="8"/>
      <c r="BA238" s="8"/>
      <c r="BB238" s="8"/>
      <c r="BC238" s="8"/>
      <c r="BD238" s="8"/>
      <c r="BE238" s="8"/>
      <c r="BF238" s="8"/>
      <c r="BG238" s="8"/>
      <c r="BH238" s="8"/>
      <c r="BI238" s="8"/>
      <c r="BJ238" s="8"/>
    </row>
    <row r="239" spans="1:62" s="1" customFormat="1" x14ac:dyDescent="0.3">
      <c r="A239" s="8" t="s">
        <v>841</v>
      </c>
      <c r="B239" s="8" t="s">
        <v>301</v>
      </c>
      <c r="C239" s="3" t="s">
        <v>391</v>
      </c>
      <c r="D239" s="8" t="s">
        <v>164</v>
      </c>
      <c r="E239" s="8" t="s">
        <v>226</v>
      </c>
      <c r="F239" s="8" t="s">
        <v>200</v>
      </c>
      <c r="G239" s="14">
        <v>1996</v>
      </c>
      <c r="H239" s="34" t="s">
        <v>842</v>
      </c>
      <c r="I239" s="59">
        <v>56.516666000000001</v>
      </c>
      <c r="J239" s="59">
        <v>-98.7</v>
      </c>
      <c r="K239" s="8">
        <v>144</v>
      </c>
      <c r="L239" s="8"/>
      <c r="M239" s="8" t="s">
        <v>843</v>
      </c>
      <c r="N239" s="8" t="s">
        <v>844</v>
      </c>
      <c r="O239" s="14" t="s">
        <v>444</v>
      </c>
      <c r="P239" s="8" t="s">
        <v>85</v>
      </c>
      <c r="Q239" s="15" t="s">
        <v>845</v>
      </c>
      <c r="R239" s="15"/>
      <c r="S239" s="15"/>
      <c r="T239" s="17"/>
      <c r="U239" s="8"/>
      <c r="V239" s="5"/>
      <c r="W239" s="5">
        <f>X239/0.2729</f>
        <v>-335.65408574569437</v>
      </c>
      <c r="X239" s="17">
        <v>-91.6</v>
      </c>
      <c r="Y239" s="17" t="s">
        <v>590</v>
      </c>
      <c r="Z239" s="25" t="s">
        <v>572</v>
      </c>
      <c r="AA239" s="25"/>
      <c r="AB239" s="25"/>
      <c r="AC239" s="25"/>
      <c r="AD239" s="8"/>
      <c r="AE239" s="8"/>
      <c r="AF239" s="8"/>
      <c r="AG239" s="8"/>
      <c r="AH239" s="8"/>
      <c r="AI239" s="8"/>
      <c r="AJ239" s="8" t="s">
        <v>884</v>
      </c>
      <c r="AK239" s="3"/>
      <c r="AL239" s="8"/>
      <c r="AM239" s="8"/>
      <c r="AN239" s="8"/>
      <c r="AO239" s="8"/>
      <c r="AP239" s="8"/>
      <c r="AQ239" s="8"/>
      <c r="AR239" s="8"/>
      <c r="AS239" s="8"/>
      <c r="AT239" s="8"/>
      <c r="AU239" s="8"/>
      <c r="AV239" s="8"/>
      <c r="AW239" s="8"/>
      <c r="AX239" s="8"/>
      <c r="AY239" s="8"/>
      <c r="AZ239" s="8"/>
      <c r="BA239" s="8"/>
      <c r="BB239" s="8"/>
      <c r="BC239" s="8"/>
      <c r="BD239" s="8"/>
      <c r="BE239" s="8"/>
      <c r="BF239" s="8"/>
      <c r="BG239" s="8"/>
      <c r="BH239" s="8"/>
      <c r="BI239" s="8"/>
      <c r="BJ239" s="8"/>
    </row>
    <row r="240" spans="1:62" s="1" customFormat="1" x14ac:dyDescent="0.3">
      <c r="A240" s="8" t="s">
        <v>841</v>
      </c>
      <c r="B240" s="8" t="s">
        <v>301</v>
      </c>
      <c r="C240" s="3" t="s">
        <v>391</v>
      </c>
      <c r="D240" s="8" t="s">
        <v>164</v>
      </c>
      <c r="E240" s="8" t="s">
        <v>226</v>
      </c>
      <c r="F240" s="8" t="s">
        <v>200</v>
      </c>
      <c r="G240" s="14">
        <v>1996</v>
      </c>
      <c r="H240" s="34" t="s">
        <v>842</v>
      </c>
      <c r="I240" s="59">
        <v>56.516666000000001</v>
      </c>
      <c r="J240" s="59">
        <v>-98.7</v>
      </c>
      <c r="K240" s="8">
        <v>144</v>
      </c>
      <c r="L240" s="8"/>
      <c r="M240" s="8" t="s">
        <v>843</v>
      </c>
      <c r="N240" s="8" t="s">
        <v>844</v>
      </c>
      <c r="O240" s="14" t="s">
        <v>444</v>
      </c>
      <c r="P240" s="8" t="s">
        <v>85</v>
      </c>
      <c r="Q240" s="15" t="s">
        <v>845</v>
      </c>
      <c r="R240" s="5">
        <f t="shared" ref="R240:R242" si="49">T240/0.2729</f>
        <v>1.2458776108464642</v>
      </c>
      <c r="S240" s="5"/>
      <c r="T240" s="17">
        <v>0.34</v>
      </c>
      <c r="U240" s="17" t="s">
        <v>589</v>
      </c>
      <c r="V240" s="5"/>
      <c r="W240" s="5">
        <f>X240/0.2729</f>
        <v>23.818248442652987</v>
      </c>
      <c r="X240" s="17">
        <v>6.5</v>
      </c>
      <c r="Y240" s="17" t="s">
        <v>590</v>
      </c>
      <c r="Z240" s="25" t="s">
        <v>572</v>
      </c>
      <c r="AA240" s="25"/>
      <c r="AB240" s="25"/>
      <c r="AC240" s="25"/>
      <c r="AD240" s="8"/>
      <c r="AE240" s="8"/>
      <c r="AF240" s="8"/>
      <c r="AG240" s="8"/>
      <c r="AH240" s="8"/>
      <c r="AI240" s="8"/>
      <c r="AJ240" s="8" t="s">
        <v>883</v>
      </c>
      <c r="AK240" s="3"/>
      <c r="AL240" s="8"/>
      <c r="AM240" s="8"/>
      <c r="AN240" s="8"/>
      <c r="AO240" s="8"/>
      <c r="AP240" s="8"/>
      <c r="AQ240" s="8"/>
      <c r="AR240" s="8"/>
      <c r="AS240" s="8"/>
      <c r="AT240" s="8"/>
      <c r="AU240" s="8"/>
      <c r="AV240" s="8"/>
      <c r="AW240" s="8"/>
      <c r="AX240" s="8"/>
      <c r="AY240" s="8"/>
      <c r="AZ240" s="8"/>
      <c r="BA240" s="8"/>
      <c r="BB240" s="8"/>
      <c r="BC240" s="8"/>
      <c r="BD240" s="8"/>
      <c r="BE240" s="8"/>
      <c r="BF240" s="8"/>
      <c r="BG240" s="8"/>
      <c r="BH240" s="8"/>
      <c r="BI240" s="8"/>
      <c r="BJ240" s="8"/>
    </row>
    <row r="241" spans="1:62" s="1" customFormat="1" x14ac:dyDescent="0.3">
      <c r="A241" s="8" t="s">
        <v>841</v>
      </c>
      <c r="B241" s="8" t="s">
        <v>301</v>
      </c>
      <c r="C241" s="3" t="s">
        <v>391</v>
      </c>
      <c r="D241" s="8" t="s">
        <v>164</v>
      </c>
      <c r="E241" s="8" t="s">
        <v>226</v>
      </c>
      <c r="F241" s="8" t="s">
        <v>200</v>
      </c>
      <c r="G241" s="14">
        <v>1996</v>
      </c>
      <c r="H241" s="34" t="s">
        <v>842</v>
      </c>
      <c r="I241" s="59">
        <v>56.516666000000001</v>
      </c>
      <c r="J241" s="59">
        <v>-98.7</v>
      </c>
      <c r="K241" s="8">
        <v>144</v>
      </c>
      <c r="L241" s="8"/>
      <c r="M241" s="8" t="s">
        <v>843</v>
      </c>
      <c r="N241" s="8" t="s">
        <v>844</v>
      </c>
      <c r="O241" s="14" t="s">
        <v>444</v>
      </c>
      <c r="P241" s="8" t="s">
        <v>85</v>
      </c>
      <c r="Q241" s="15" t="s">
        <v>845</v>
      </c>
      <c r="R241" s="5">
        <f t="shared" si="49"/>
        <v>-4.5071454745327966</v>
      </c>
      <c r="S241" s="5"/>
      <c r="T241" s="17">
        <v>-1.23</v>
      </c>
      <c r="U241" s="17" t="s">
        <v>589</v>
      </c>
      <c r="V241" s="5"/>
      <c r="W241" s="5">
        <f>X241/0.2729</f>
        <v>-387.32136313668013</v>
      </c>
      <c r="X241" s="17">
        <v>-105.7</v>
      </c>
      <c r="Y241" s="17" t="s">
        <v>590</v>
      </c>
      <c r="Z241" s="25" t="s">
        <v>572</v>
      </c>
      <c r="AA241" s="25"/>
      <c r="AB241" s="25"/>
      <c r="AC241" s="25"/>
      <c r="AD241" s="8"/>
      <c r="AE241" s="8"/>
      <c r="AF241" s="8"/>
      <c r="AG241" s="8"/>
      <c r="AH241" s="8"/>
      <c r="AI241" s="8"/>
      <c r="AJ241" s="8" t="s">
        <v>883</v>
      </c>
      <c r="AK241" s="3"/>
      <c r="AL241" s="8"/>
      <c r="AM241" s="8"/>
      <c r="AN241" s="8"/>
      <c r="AO241" s="8"/>
      <c r="AP241" s="8"/>
      <c r="AQ241" s="8"/>
      <c r="AR241" s="8"/>
      <c r="AS241" s="8"/>
      <c r="AT241" s="8"/>
      <c r="AU241" s="8"/>
      <c r="AV241" s="8"/>
      <c r="AW241" s="8"/>
      <c r="AX241" s="8"/>
      <c r="AY241" s="8"/>
      <c r="AZ241" s="8"/>
      <c r="BA241" s="8"/>
      <c r="BB241" s="8"/>
      <c r="BC241" s="8"/>
      <c r="BD241" s="8"/>
      <c r="BE241" s="8"/>
      <c r="BF241" s="8"/>
      <c r="BG241" s="8"/>
      <c r="BH241" s="8"/>
      <c r="BI241" s="8"/>
      <c r="BJ241" s="8"/>
    </row>
    <row r="242" spans="1:62" s="1" customFormat="1" x14ac:dyDescent="0.3">
      <c r="A242" s="8" t="s">
        <v>841</v>
      </c>
      <c r="B242" s="8" t="s">
        <v>301</v>
      </c>
      <c r="C242" s="3" t="s">
        <v>391</v>
      </c>
      <c r="D242" s="8" t="s">
        <v>164</v>
      </c>
      <c r="E242" s="8" t="s">
        <v>226</v>
      </c>
      <c r="F242" s="8" t="s">
        <v>200</v>
      </c>
      <c r="G242" s="14">
        <v>1996</v>
      </c>
      <c r="H242" s="34" t="s">
        <v>842</v>
      </c>
      <c r="I242" s="59">
        <v>56.516666000000001</v>
      </c>
      <c r="J242" s="59">
        <v>-98.7</v>
      </c>
      <c r="K242" s="8">
        <v>144</v>
      </c>
      <c r="L242" s="8"/>
      <c r="M242" s="8" t="s">
        <v>843</v>
      </c>
      <c r="N242" s="8" t="s">
        <v>844</v>
      </c>
      <c r="O242" s="14" t="s">
        <v>444</v>
      </c>
      <c r="P242" s="8" t="s">
        <v>85</v>
      </c>
      <c r="Q242" s="15" t="s">
        <v>845</v>
      </c>
      <c r="R242" s="5">
        <f t="shared" si="49"/>
        <v>1.4657383657017224</v>
      </c>
      <c r="S242" s="5"/>
      <c r="T242" s="17">
        <v>0.4</v>
      </c>
      <c r="U242" s="17" t="s">
        <v>589</v>
      </c>
      <c r="V242" s="5"/>
      <c r="W242" s="5">
        <f>X242/0.2729</f>
        <v>27.849028948332723</v>
      </c>
      <c r="X242" s="17">
        <v>7.6</v>
      </c>
      <c r="Y242" s="17" t="s">
        <v>590</v>
      </c>
      <c r="Z242" s="25" t="s">
        <v>572</v>
      </c>
      <c r="AA242" s="25"/>
      <c r="AB242" s="25"/>
      <c r="AC242" s="25"/>
      <c r="AD242" s="8"/>
      <c r="AE242" s="8"/>
      <c r="AF242" s="8"/>
      <c r="AG242" s="8"/>
      <c r="AH242" s="8"/>
      <c r="AI242" s="8"/>
      <c r="AJ242" s="8" t="s">
        <v>883</v>
      </c>
      <c r="AK242" s="3"/>
      <c r="AL242" s="8"/>
      <c r="AM242" s="8"/>
      <c r="AN242" s="8"/>
      <c r="AO242" s="8"/>
      <c r="AP242" s="8"/>
      <c r="AQ242" s="8"/>
      <c r="AR242" s="8"/>
      <c r="AS242" s="8"/>
      <c r="AT242" s="8"/>
      <c r="AU242" s="8"/>
      <c r="AV242" s="8"/>
      <c r="AW242" s="8"/>
      <c r="AX242" s="8"/>
      <c r="AY242" s="8"/>
      <c r="AZ242" s="8"/>
      <c r="BA242" s="8"/>
      <c r="BB242" s="8"/>
      <c r="BC242" s="8"/>
      <c r="BD242" s="8"/>
      <c r="BE242" s="8"/>
      <c r="BF242" s="8"/>
      <c r="BG242" s="8"/>
      <c r="BH242" s="8"/>
      <c r="BI242" s="8"/>
      <c r="BJ242" s="8"/>
    </row>
    <row r="243" spans="1:62" s="1" customFormat="1" x14ac:dyDescent="0.3">
      <c r="A243" s="3" t="s">
        <v>371</v>
      </c>
      <c r="B243" s="3" t="s">
        <v>301</v>
      </c>
      <c r="C243" s="3" t="s">
        <v>391</v>
      </c>
      <c r="D243" s="3" t="s">
        <v>74</v>
      </c>
      <c r="E243" s="3" t="s">
        <v>372</v>
      </c>
      <c r="F243" s="3" t="s">
        <v>200</v>
      </c>
      <c r="G243" s="2" t="s">
        <v>373</v>
      </c>
      <c r="H243" s="41" t="s">
        <v>374</v>
      </c>
      <c r="I243" s="58">
        <v>48.35</v>
      </c>
      <c r="J243" s="58">
        <v>85.35</v>
      </c>
      <c r="K243" s="8">
        <v>168</v>
      </c>
      <c r="L243" s="8"/>
      <c r="M243" s="3" t="s">
        <v>478</v>
      </c>
      <c r="N243" s="8"/>
      <c r="O243" s="2"/>
      <c r="P243" s="3" t="s">
        <v>36</v>
      </c>
      <c r="Q243" s="5"/>
      <c r="R243" s="5">
        <f>T243</f>
        <v>-1.7842442274950749</v>
      </c>
      <c r="S243" s="5"/>
      <c r="T243" s="5">
        <v>-1.7842442274950749</v>
      </c>
      <c r="U243" s="20" t="s">
        <v>609</v>
      </c>
      <c r="V243" s="9">
        <f>R243*K243/5</f>
        <v>-59.950606043834526</v>
      </c>
      <c r="W243" s="8"/>
      <c r="X243" s="3"/>
      <c r="Y243" s="3"/>
      <c r="Z243" s="9" t="s">
        <v>572</v>
      </c>
      <c r="AA243" s="9">
        <f t="shared" ref="AA243:AA244" si="50">0.9*(365-K243)</f>
        <v>177.3</v>
      </c>
      <c r="AB243" s="9">
        <f>V243</f>
        <v>-59.950606043834526</v>
      </c>
      <c r="AC243" s="9">
        <f>V243+AA243</f>
        <v>117.34939395616549</v>
      </c>
      <c r="AD243" s="8"/>
      <c r="AE243" s="8"/>
      <c r="AF243" s="8"/>
      <c r="AG243" s="8"/>
      <c r="AH243" s="8"/>
      <c r="AI243" s="8"/>
      <c r="AJ243" s="8" t="s">
        <v>881</v>
      </c>
      <c r="AK243" s="3"/>
      <c r="AL243" s="8"/>
      <c r="AM243" s="8"/>
      <c r="AN243" s="8"/>
      <c r="AO243" s="8"/>
      <c r="AP243" s="8"/>
      <c r="AQ243" s="8"/>
      <c r="AR243" s="8"/>
      <c r="AS243" s="8"/>
      <c r="AT243" s="8"/>
      <c r="AU243" s="8"/>
      <c r="AV243" s="8"/>
      <c r="AW243" s="8"/>
      <c r="AX243" s="8"/>
      <c r="AY243" s="8"/>
      <c r="AZ243" s="8"/>
      <c r="BA243" s="8"/>
      <c r="BB243" s="8"/>
      <c r="BC243" s="8"/>
      <c r="BD243" s="8"/>
      <c r="BE243" s="8"/>
      <c r="BF243" s="8"/>
      <c r="BG243" s="8"/>
      <c r="BH243" s="8"/>
      <c r="BI243" s="8"/>
      <c r="BJ243" s="8"/>
    </row>
    <row r="244" spans="1:62" s="1" customFormat="1" x14ac:dyDescent="0.3">
      <c r="A244" s="3" t="s">
        <v>371</v>
      </c>
      <c r="B244" s="3" t="s">
        <v>301</v>
      </c>
      <c r="C244" s="3" t="s">
        <v>391</v>
      </c>
      <c r="D244" s="3" t="s">
        <v>74</v>
      </c>
      <c r="E244" s="3" t="s">
        <v>372</v>
      </c>
      <c r="F244" s="3" t="s">
        <v>200</v>
      </c>
      <c r="G244" s="2" t="s">
        <v>373</v>
      </c>
      <c r="H244" s="41" t="s">
        <v>374</v>
      </c>
      <c r="I244" s="58">
        <v>48.35</v>
      </c>
      <c r="J244" s="58">
        <v>85.35</v>
      </c>
      <c r="K244" s="8">
        <v>168</v>
      </c>
      <c r="L244" s="8"/>
      <c r="M244" s="3" t="s">
        <v>477</v>
      </c>
      <c r="N244" s="8"/>
      <c r="O244" s="2"/>
      <c r="P244" s="3" t="s">
        <v>36</v>
      </c>
      <c r="Q244" s="5"/>
      <c r="R244" s="5">
        <f>T244</f>
        <v>-0.34619168102409942</v>
      </c>
      <c r="S244" s="5"/>
      <c r="T244" s="5">
        <v>-0.34619168102409942</v>
      </c>
      <c r="U244" s="20" t="s">
        <v>609</v>
      </c>
      <c r="V244" s="9">
        <f>R244*K244/5</f>
        <v>-11.632040482409741</v>
      </c>
      <c r="W244" s="8"/>
      <c r="X244" s="3"/>
      <c r="Y244" s="3"/>
      <c r="Z244" s="9" t="s">
        <v>572</v>
      </c>
      <c r="AA244" s="9">
        <f t="shared" si="50"/>
        <v>177.3</v>
      </c>
      <c r="AB244" s="9">
        <f>V244</f>
        <v>-11.632040482409741</v>
      </c>
      <c r="AC244" s="9">
        <f>V244+AA244</f>
        <v>165.66795951759028</v>
      </c>
      <c r="AD244" s="8"/>
      <c r="AE244" s="8"/>
      <c r="AF244" s="8"/>
      <c r="AG244" s="8"/>
      <c r="AH244" s="8"/>
      <c r="AI244" s="8"/>
      <c r="AJ244" s="8" t="s">
        <v>881</v>
      </c>
      <c r="AK244" s="3"/>
      <c r="AL244" s="8"/>
      <c r="AM244" s="8"/>
      <c r="AN244" s="8"/>
      <c r="AO244" s="8"/>
      <c r="AP244" s="8"/>
      <c r="AQ244" s="8"/>
      <c r="AR244" s="8"/>
      <c r="AS244" s="8"/>
      <c r="AT244" s="8"/>
      <c r="AU244" s="8"/>
      <c r="AV244" s="8"/>
      <c r="AW244" s="8"/>
      <c r="AX244" s="8"/>
      <c r="AY244" s="8"/>
      <c r="AZ244" s="8"/>
      <c r="BA244" s="8"/>
      <c r="BB244" s="8"/>
      <c r="BC244" s="8"/>
      <c r="BD244" s="8"/>
      <c r="BE244" s="8"/>
      <c r="BF244" s="8"/>
      <c r="BG244" s="8"/>
      <c r="BH244" s="8"/>
      <c r="BI244" s="8"/>
      <c r="BJ244" s="8"/>
    </row>
    <row r="245" spans="1:62" s="13" customFormat="1" x14ac:dyDescent="0.3">
      <c r="A245" s="32" t="s">
        <v>712</v>
      </c>
      <c r="B245" s="8" t="s">
        <v>301</v>
      </c>
      <c r="C245" s="3" t="s">
        <v>391</v>
      </c>
      <c r="D245" s="8" t="s">
        <v>713</v>
      </c>
      <c r="E245" s="8" t="s">
        <v>714</v>
      </c>
      <c r="F245" s="8" t="s">
        <v>272</v>
      </c>
      <c r="G245" s="14">
        <v>2008</v>
      </c>
      <c r="H245" s="34" t="s">
        <v>715</v>
      </c>
      <c r="I245" s="59">
        <v>61.3</v>
      </c>
      <c r="J245" s="58">
        <v>121.3</v>
      </c>
      <c r="K245" s="8">
        <v>140</v>
      </c>
      <c r="L245" s="8"/>
      <c r="M245" s="8" t="s">
        <v>846</v>
      </c>
      <c r="N245" s="8" t="s">
        <v>717</v>
      </c>
      <c r="O245" s="14" t="s">
        <v>414</v>
      </c>
      <c r="P245" s="8" t="s">
        <v>36</v>
      </c>
      <c r="Q245" s="15" t="s">
        <v>847</v>
      </c>
      <c r="R245" s="15">
        <f>T245/1000*86400</f>
        <v>1.2096</v>
      </c>
      <c r="S245" s="15"/>
      <c r="T245" s="17">
        <v>1.4E-2</v>
      </c>
      <c r="U245" s="17" t="s">
        <v>848</v>
      </c>
      <c r="V245" s="9">
        <f>R245*K245/5</f>
        <v>33.8688</v>
      </c>
      <c r="W245" s="3"/>
      <c r="X245" s="8"/>
      <c r="Y245" s="17"/>
      <c r="Z245" s="9" t="s">
        <v>572</v>
      </c>
      <c r="AA245" s="9">
        <f>0.9*(365-K245)</f>
        <v>202.5</v>
      </c>
      <c r="AB245" s="9">
        <f>V245</f>
        <v>33.8688</v>
      </c>
      <c r="AC245" s="9">
        <f>V245+AA245</f>
        <v>236.36879999999999</v>
      </c>
      <c r="AD245" s="3">
        <v>4.2000000000000003E-2</v>
      </c>
      <c r="AE245" s="3" t="s">
        <v>612</v>
      </c>
      <c r="AF245" s="3"/>
      <c r="AG245" s="3"/>
      <c r="AH245" s="3"/>
      <c r="AI245" s="3"/>
      <c r="AJ245" s="8" t="s">
        <v>881</v>
      </c>
      <c r="AK245" s="3" t="s">
        <v>882</v>
      </c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</row>
    <row r="246" spans="1:62" s="1" customFormat="1" x14ac:dyDescent="0.3">
      <c r="A246" s="8"/>
      <c r="B246" s="8"/>
      <c r="C246" s="8"/>
      <c r="D246" s="8"/>
      <c r="E246" s="8"/>
      <c r="F246" s="8"/>
      <c r="G246" s="14"/>
      <c r="H246" s="34"/>
      <c r="I246" s="59"/>
      <c r="J246" s="59"/>
      <c r="K246" s="8"/>
      <c r="L246" s="8"/>
      <c r="M246" s="8"/>
      <c r="N246" s="8"/>
      <c r="O246" s="14"/>
      <c r="P246" s="8"/>
      <c r="Q246" s="15"/>
      <c r="R246" s="15"/>
      <c r="S246" s="15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3"/>
      <c r="AL246" s="8"/>
      <c r="AM246" s="8"/>
      <c r="AN246" s="8"/>
      <c r="AO246" s="8"/>
      <c r="AP246" s="8"/>
      <c r="AQ246" s="8"/>
      <c r="AR246" s="8"/>
      <c r="AS246" s="8"/>
      <c r="AT246" s="8"/>
      <c r="AU246" s="8"/>
      <c r="AV246" s="8"/>
      <c r="AW246" s="8"/>
      <c r="AX246" s="8"/>
      <c r="AY246" s="8"/>
      <c r="AZ246" s="8"/>
      <c r="BA246" s="8"/>
      <c r="BB246" s="8"/>
      <c r="BC246" s="8"/>
      <c r="BD246" s="8"/>
      <c r="BE246" s="8"/>
      <c r="BF246" s="8"/>
      <c r="BG246" s="8"/>
      <c r="BH246" s="8"/>
      <c r="BI246" s="8"/>
      <c r="BJ246" s="8"/>
    </row>
    <row r="247" spans="1:62" s="1" customFormat="1" x14ac:dyDescent="0.3">
      <c r="A247" s="8"/>
      <c r="B247" s="8"/>
      <c r="C247" s="8"/>
      <c r="D247" s="8"/>
      <c r="E247" s="8"/>
      <c r="F247" s="8"/>
      <c r="G247" s="14"/>
      <c r="H247" s="34"/>
      <c r="I247" s="59"/>
      <c r="J247" s="59"/>
      <c r="K247" s="8"/>
      <c r="L247" s="8"/>
      <c r="M247" s="8"/>
      <c r="N247" s="8"/>
      <c r="O247" s="14"/>
      <c r="P247" s="8"/>
      <c r="Q247" s="15"/>
      <c r="R247" s="15"/>
      <c r="S247" s="15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3"/>
      <c r="AL247" s="8"/>
      <c r="AM247" s="8"/>
      <c r="AN247" s="8"/>
      <c r="AO247" s="8"/>
      <c r="AP247" s="8"/>
      <c r="AQ247" s="8"/>
      <c r="AR247" s="8"/>
      <c r="AS247" s="8"/>
      <c r="AT247" s="8"/>
      <c r="AU247" s="8"/>
      <c r="AV247" s="8"/>
      <c r="AW247" s="8"/>
      <c r="AX247" s="8"/>
      <c r="AY247" s="8"/>
      <c r="AZ247" s="8"/>
      <c r="BA247" s="8"/>
      <c r="BB247" s="8"/>
      <c r="BC247" s="8"/>
      <c r="BD247" s="8"/>
      <c r="BE247" s="8"/>
      <c r="BF247" s="8"/>
      <c r="BG247" s="8"/>
      <c r="BH247" s="8"/>
      <c r="BI247" s="8"/>
      <c r="BJ247" s="8"/>
    </row>
    <row r="248" spans="1:62" s="1" customFormat="1" x14ac:dyDescent="0.3">
      <c r="A248" s="8"/>
      <c r="B248" s="8"/>
      <c r="C248" s="8"/>
      <c r="D248" s="8"/>
      <c r="E248" s="8"/>
      <c r="F248" s="8"/>
      <c r="G248" s="14"/>
      <c r="H248" s="34"/>
      <c r="I248" s="59"/>
      <c r="J248" s="59"/>
      <c r="K248" s="8"/>
      <c r="L248" s="8"/>
      <c r="M248" s="8"/>
      <c r="N248" s="8"/>
      <c r="O248" s="14"/>
      <c r="P248" s="8"/>
      <c r="Q248" s="15"/>
      <c r="R248" s="15"/>
      <c r="S248" s="15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3"/>
      <c r="AL248" s="8"/>
      <c r="AM248" s="8"/>
      <c r="AN248" s="8"/>
      <c r="AO248" s="8"/>
      <c r="AP248" s="8"/>
      <c r="AQ248" s="8"/>
      <c r="AR248" s="8"/>
      <c r="AS248" s="8"/>
      <c r="AT248" s="8"/>
      <c r="AU248" s="8"/>
      <c r="AV248" s="8"/>
      <c r="AW248" s="8"/>
      <c r="AX248" s="8"/>
      <c r="AY248" s="8"/>
      <c r="AZ248" s="8"/>
      <c r="BA248" s="8"/>
      <c r="BB248" s="8"/>
      <c r="BC248" s="8"/>
      <c r="BD248" s="8"/>
      <c r="BE248" s="8"/>
      <c r="BF248" s="8"/>
      <c r="BG248" s="8"/>
      <c r="BH248" s="8"/>
      <c r="BI248" s="8"/>
      <c r="BJ248" s="8"/>
    </row>
    <row r="249" spans="1:62" x14ac:dyDescent="0.3">
      <c r="AK249" s="3"/>
    </row>
    <row r="250" spans="1:62" x14ac:dyDescent="0.3">
      <c r="AK250" s="3"/>
    </row>
    <row r="251" spans="1:62" x14ac:dyDescent="0.3">
      <c r="AK251" s="3"/>
    </row>
    <row r="252" spans="1:62" x14ac:dyDescent="0.3">
      <c r="AK252" s="3"/>
    </row>
    <row r="253" spans="1:62" x14ac:dyDescent="0.3">
      <c r="AK253" s="3"/>
    </row>
    <row r="254" spans="1:62" x14ac:dyDescent="0.3">
      <c r="AK254" s="3"/>
    </row>
    <row r="255" spans="1:62" x14ac:dyDescent="0.3">
      <c r="AK255" s="3"/>
    </row>
    <row r="256" spans="1:62" x14ac:dyDescent="0.3">
      <c r="AK256" s="3"/>
    </row>
    <row r="257" spans="37:37" x14ac:dyDescent="0.3">
      <c r="AK257" s="3"/>
    </row>
    <row r="258" spans="37:37" x14ac:dyDescent="0.3">
      <c r="AK258" s="3"/>
    </row>
    <row r="259" spans="37:37" x14ac:dyDescent="0.3">
      <c r="AK259" s="3"/>
    </row>
    <row r="260" spans="37:37" x14ac:dyDescent="0.3">
      <c r="AK260" s="3"/>
    </row>
    <row r="261" spans="37:37" x14ac:dyDescent="0.3">
      <c r="AK261" s="3"/>
    </row>
    <row r="262" spans="37:37" x14ac:dyDescent="0.3">
      <c r="AK262" s="3"/>
    </row>
    <row r="263" spans="37:37" x14ac:dyDescent="0.3">
      <c r="AK263" s="3"/>
    </row>
    <row r="264" spans="37:37" x14ac:dyDescent="0.3">
      <c r="AK264" s="3"/>
    </row>
    <row r="265" spans="37:37" x14ac:dyDescent="0.3">
      <c r="AK265" s="3"/>
    </row>
    <row r="266" spans="37:37" x14ac:dyDescent="0.3">
      <c r="AK266" s="3"/>
    </row>
    <row r="267" spans="37:37" x14ac:dyDescent="0.3">
      <c r="AK267" s="3"/>
    </row>
  </sheetData>
  <conditionalFormatting sqref="G1:H1 M1:O1">
    <cfRule type="expression" dxfId="1" priority="3" stopIfTrue="1">
      <formula>$I$211:$I$845&amp;"*bog"</formula>
    </cfRule>
  </conditionalFormatting>
  <pageMargins left="0.23622047244094491" right="0.23622047244094491" top="0.74803149606299213" bottom="0.74803149606299213" header="0.31496062992125984" footer="0.31496062992125984"/>
  <pageSetup paperSize="17" scale="71" fitToWidth="2" fitToHeight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1"/>
  <sheetViews>
    <sheetView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ColWidth="8.88671875" defaultRowHeight="14.4" x14ac:dyDescent="0.3"/>
  <cols>
    <col min="1" max="1" width="31.33203125" style="33" customWidth="1"/>
    <col min="2" max="2" width="8.88671875" style="33" customWidth="1"/>
    <col min="3" max="3" width="16.6640625" style="33" customWidth="1"/>
    <col min="4" max="4" width="19.44140625" style="33" customWidth="1"/>
    <col min="5" max="5" width="34.33203125" style="33" customWidth="1"/>
    <col min="6" max="6" width="23" style="33" customWidth="1"/>
    <col min="7" max="7" width="20" style="35" customWidth="1"/>
    <col min="8" max="8" width="23.33203125" style="33" customWidth="1"/>
    <col min="9" max="9" width="16.44140625" style="33" customWidth="1"/>
    <col min="10" max="10" width="15.33203125" style="33" customWidth="1"/>
    <col min="11" max="11" width="15.33203125" style="35" customWidth="1"/>
    <col min="12" max="12" width="35.6640625" style="33" customWidth="1"/>
    <col min="13" max="13" width="35" style="33" customWidth="1"/>
    <col min="14" max="14" width="11.109375" style="35" customWidth="1"/>
    <col min="15" max="15" width="8.88671875" style="33" customWidth="1"/>
    <col min="16" max="16" width="35" style="36" hidden="1" customWidth="1"/>
    <col min="17" max="19" width="11.88671875" style="6" customWidth="1"/>
    <col min="20" max="20" width="17.44140625" style="6" customWidth="1"/>
    <col min="21" max="21" width="14.6640625" style="6" customWidth="1"/>
    <col min="22" max="23" width="11.109375" style="8" customWidth="1"/>
    <col min="24" max="24" width="24.109375" style="8" bestFit="1" customWidth="1"/>
    <col min="25" max="28" width="11.33203125" style="8" customWidth="1"/>
    <col min="29" max="29" width="12.77734375" style="8" customWidth="1"/>
    <col min="30" max="30" width="23.6640625" style="8" customWidth="1"/>
    <col min="31" max="31" width="20.6640625" style="33" customWidth="1"/>
    <col min="32" max="32" width="20" style="33" customWidth="1"/>
    <col min="33" max="33" width="8.88671875" style="33"/>
  </cols>
  <sheetData>
    <row r="1" spans="1:33" s="1" customFormat="1" ht="40.799999999999997" x14ac:dyDescent="0.3">
      <c r="A1" s="45" t="s">
        <v>0</v>
      </c>
      <c r="B1" s="28" t="s">
        <v>1</v>
      </c>
      <c r="C1" s="28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7</v>
      </c>
      <c r="I1" s="44" t="s">
        <v>8</v>
      </c>
      <c r="J1" s="44" t="s">
        <v>9</v>
      </c>
      <c r="K1" s="44" t="s">
        <v>10</v>
      </c>
      <c r="L1" s="28" t="s">
        <v>11</v>
      </c>
      <c r="M1" s="28" t="s">
        <v>12</v>
      </c>
      <c r="N1" s="28" t="s">
        <v>13</v>
      </c>
      <c r="O1" s="28" t="s">
        <v>14</v>
      </c>
      <c r="P1" s="28" t="s">
        <v>15</v>
      </c>
      <c r="Q1" s="28" t="s">
        <v>16</v>
      </c>
      <c r="R1" s="28" t="s">
        <v>17</v>
      </c>
      <c r="S1" s="28" t="s">
        <v>18</v>
      </c>
      <c r="T1" s="28" t="s">
        <v>19</v>
      </c>
      <c r="U1" s="28" t="s">
        <v>20</v>
      </c>
      <c r="V1" s="28" t="s">
        <v>21</v>
      </c>
      <c r="W1" s="28" t="s">
        <v>18</v>
      </c>
      <c r="X1" s="28" t="s">
        <v>19</v>
      </c>
      <c r="Y1" s="28"/>
      <c r="Z1" s="28" t="s">
        <v>22</v>
      </c>
      <c r="AA1" s="28" t="s">
        <v>23</v>
      </c>
      <c r="AB1" s="28" t="s">
        <v>24</v>
      </c>
      <c r="AC1" s="28" t="s">
        <v>880</v>
      </c>
      <c r="AD1" s="49" t="s">
        <v>25</v>
      </c>
      <c r="AE1" s="46"/>
      <c r="AF1" s="46"/>
      <c r="AG1" s="8"/>
    </row>
    <row r="2" spans="1:33" s="1" customFormat="1" ht="15" customHeight="1" x14ac:dyDescent="0.3">
      <c r="A2" s="8" t="s">
        <v>26</v>
      </c>
      <c r="B2" s="8" t="s">
        <v>27</v>
      </c>
      <c r="C2" s="8" t="s">
        <v>27</v>
      </c>
      <c r="D2" s="8" t="s">
        <v>28</v>
      </c>
      <c r="E2" s="8" t="s">
        <v>29</v>
      </c>
      <c r="F2" s="8" t="s">
        <v>30</v>
      </c>
      <c r="G2" s="2" t="s">
        <v>31</v>
      </c>
      <c r="H2" s="3" t="s">
        <v>32</v>
      </c>
      <c r="I2" s="3">
        <v>46.1</v>
      </c>
      <c r="J2" s="3">
        <v>-71.366666666666703</v>
      </c>
      <c r="K2" s="14">
        <v>189</v>
      </c>
      <c r="L2" s="3" t="s">
        <v>33</v>
      </c>
      <c r="M2" s="3" t="s">
        <v>34</v>
      </c>
      <c r="N2" s="14" t="s">
        <v>35</v>
      </c>
      <c r="O2" s="3" t="s">
        <v>36</v>
      </c>
      <c r="P2" s="5" t="s">
        <v>37</v>
      </c>
      <c r="Q2" s="6">
        <v>29.03</v>
      </c>
      <c r="R2" s="6"/>
      <c r="S2" s="6"/>
      <c r="T2" s="6" t="s">
        <v>38</v>
      </c>
      <c r="U2" s="7">
        <f>Q2*K2/1000</f>
        <v>5.4866700000000002</v>
      </c>
      <c r="V2" s="20"/>
      <c r="W2" s="8"/>
      <c r="X2" s="8"/>
      <c r="Y2" s="9" t="s">
        <v>39</v>
      </c>
      <c r="Z2" s="9">
        <f>6.8/1000*(365-K2)</f>
        <v>1.1967999999999999</v>
      </c>
      <c r="AA2" s="9">
        <f>U2</f>
        <v>5.4866700000000002</v>
      </c>
      <c r="AB2" s="9">
        <f>U2+Z2</f>
        <v>6.6834699999999998</v>
      </c>
      <c r="AC2" s="3" t="s">
        <v>881</v>
      </c>
      <c r="AD2" s="8"/>
      <c r="AE2" s="8"/>
      <c r="AF2" s="8"/>
      <c r="AG2" s="8"/>
    </row>
    <row r="3" spans="1:33" s="1" customFormat="1" ht="15" customHeight="1" x14ac:dyDescent="0.3">
      <c r="A3" s="8" t="s">
        <v>26</v>
      </c>
      <c r="B3" s="8" t="s">
        <v>27</v>
      </c>
      <c r="C3" s="8" t="s">
        <v>27</v>
      </c>
      <c r="D3" s="8" t="s">
        <v>28</v>
      </c>
      <c r="E3" s="8" t="s">
        <v>29</v>
      </c>
      <c r="F3" s="8" t="s">
        <v>30</v>
      </c>
      <c r="G3" s="2" t="s">
        <v>31</v>
      </c>
      <c r="H3" s="3" t="s">
        <v>32</v>
      </c>
      <c r="I3" s="3">
        <v>46.1</v>
      </c>
      <c r="J3" s="3">
        <v>-71.366666666666703</v>
      </c>
      <c r="K3" s="14">
        <v>189</v>
      </c>
      <c r="L3" s="3" t="s">
        <v>40</v>
      </c>
      <c r="M3" s="3" t="s">
        <v>41</v>
      </c>
      <c r="N3" s="14" t="s">
        <v>35</v>
      </c>
      <c r="O3" s="3" t="s">
        <v>36</v>
      </c>
      <c r="P3" s="5" t="s">
        <v>42</v>
      </c>
      <c r="Q3" s="6">
        <v>37.19</v>
      </c>
      <c r="R3" s="6"/>
      <c r="S3" s="6"/>
      <c r="T3" s="6" t="s">
        <v>38</v>
      </c>
      <c r="U3" s="7">
        <f>Q3*K3/1000</f>
        <v>7.0289099999999998</v>
      </c>
      <c r="V3" s="20"/>
      <c r="W3" s="8"/>
      <c r="X3" s="8"/>
      <c r="Y3" s="9" t="s">
        <v>39</v>
      </c>
      <c r="Z3" s="9">
        <f t="shared" ref="Z3:Z5" si="0">6.8/1000*(365-K3)</f>
        <v>1.1967999999999999</v>
      </c>
      <c r="AA3" s="9">
        <f>U3</f>
        <v>7.0289099999999998</v>
      </c>
      <c r="AB3" s="9">
        <f>U3+Z3</f>
        <v>8.2257099999999994</v>
      </c>
      <c r="AC3" s="3" t="s">
        <v>881</v>
      </c>
      <c r="AD3" s="8"/>
      <c r="AE3" s="8"/>
      <c r="AF3" s="8"/>
      <c r="AG3" s="8"/>
    </row>
    <row r="4" spans="1:33" s="1" customFormat="1" ht="15" customHeight="1" x14ac:dyDescent="0.3">
      <c r="A4" s="8" t="s">
        <v>26</v>
      </c>
      <c r="B4" s="8" t="s">
        <v>27</v>
      </c>
      <c r="C4" s="8" t="s">
        <v>27</v>
      </c>
      <c r="D4" s="8" t="s">
        <v>28</v>
      </c>
      <c r="E4" s="8" t="s">
        <v>29</v>
      </c>
      <c r="F4" s="8" t="s">
        <v>30</v>
      </c>
      <c r="G4" s="2" t="s">
        <v>31</v>
      </c>
      <c r="H4" s="3" t="s">
        <v>32</v>
      </c>
      <c r="I4" s="3">
        <v>46.1</v>
      </c>
      <c r="J4" s="3">
        <v>-71.366666666666703</v>
      </c>
      <c r="K4" s="14">
        <v>189</v>
      </c>
      <c r="L4" s="3" t="s">
        <v>43</v>
      </c>
      <c r="M4" s="3" t="s">
        <v>44</v>
      </c>
      <c r="N4" s="14" t="s">
        <v>35</v>
      </c>
      <c r="O4" s="3" t="s">
        <v>36</v>
      </c>
      <c r="P4" s="5" t="s">
        <v>45</v>
      </c>
      <c r="Q4" s="6">
        <v>71.88</v>
      </c>
      <c r="R4" s="6"/>
      <c r="S4" s="6"/>
      <c r="T4" s="6" t="s">
        <v>38</v>
      </c>
      <c r="U4" s="7">
        <f>Q4*K4/1000</f>
        <v>13.585319999999999</v>
      </c>
      <c r="V4" s="20"/>
      <c r="W4" s="8"/>
      <c r="X4" s="8"/>
      <c r="Y4" s="9" t="s">
        <v>39</v>
      </c>
      <c r="Z4" s="9">
        <f t="shared" si="0"/>
        <v>1.1967999999999999</v>
      </c>
      <c r="AA4" s="9">
        <f>U4</f>
        <v>13.585319999999999</v>
      </c>
      <c r="AB4" s="9">
        <f>U4+Z4</f>
        <v>14.782119999999999</v>
      </c>
      <c r="AC4" s="3" t="s">
        <v>881</v>
      </c>
      <c r="AD4" s="8"/>
      <c r="AE4" s="8"/>
      <c r="AF4" s="8"/>
      <c r="AG4" s="8"/>
    </row>
    <row r="5" spans="1:33" s="1" customFormat="1" ht="15" customHeight="1" x14ac:dyDescent="0.3">
      <c r="A5" s="8" t="s">
        <v>26</v>
      </c>
      <c r="B5" s="8" t="s">
        <v>27</v>
      </c>
      <c r="C5" s="8" t="s">
        <v>27</v>
      </c>
      <c r="D5" s="8" t="s">
        <v>28</v>
      </c>
      <c r="E5" s="8" t="s">
        <v>29</v>
      </c>
      <c r="F5" s="8" t="s">
        <v>30</v>
      </c>
      <c r="G5" s="2" t="s">
        <v>31</v>
      </c>
      <c r="H5" s="3" t="s">
        <v>32</v>
      </c>
      <c r="I5" s="3">
        <v>46.1</v>
      </c>
      <c r="J5" s="3">
        <v>-71.366666666666703</v>
      </c>
      <c r="K5" s="14">
        <v>189</v>
      </c>
      <c r="L5" s="3" t="s">
        <v>46</v>
      </c>
      <c r="M5" s="3" t="s">
        <v>47</v>
      </c>
      <c r="N5" s="14" t="s">
        <v>35</v>
      </c>
      <c r="O5" s="3" t="s">
        <v>36</v>
      </c>
      <c r="P5" s="5" t="s">
        <v>48</v>
      </c>
      <c r="Q5" s="5">
        <v>50.95</v>
      </c>
      <c r="R5" s="5"/>
      <c r="S5" s="8"/>
      <c r="T5" s="6" t="s">
        <v>38</v>
      </c>
      <c r="U5" s="7">
        <f>Q5*K5/1000</f>
        <v>9.6295500000000018</v>
      </c>
      <c r="V5" s="5"/>
      <c r="W5" s="17"/>
      <c r="X5" s="17"/>
      <c r="Y5" s="9" t="s">
        <v>39</v>
      </c>
      <c r="Z5" s="9">
        <f t="shared" si="0"/>
        <v>1.1967999999999999</v>
      </c>
      <c r="AA5" s="9">
        <f>U5</f>
        <v>9.6295500000000018</v>
      </c>
      <c r="AB5" s="9">
        <f>U5+Z5</f>
        <v>10.826350000000001</v>
      </c>
      <c r="AC5" s="3" t="s">
        <v>881</v>
      </c>
      <c r="AD5" s="8"/>
      <c r="AE5" s="8"/>
      <c r="AF5" s="8"/>
      <c r="AG5" s="8"/>
    </row>
    <row r="6" spans="1:33" s="1" customFormat="1" ht="15" customHeight="1" x14ac:dyDescent="0.3">
      <c r="A6" s="8" t="s">
        <v>878</v>
      </c>
      <c r="B6" s="8" t="s">
        <v>27</v>
      </c>
      <c r="C6" s="8" t="s">
        <v>27</v>
      </c>
      <c r="D6" s="8" t="s">
        <v>28</v>
      </c>
      <c r="E6" s="8" t="s">
        <v>49</v>
      </c>
      <c r="F6" s="8" t="s">
        <v>30</v>
      </c>
      <c r="G6" s="14">
        <v>2010</v>
      </c>
      <c r="H6" s="8" t="s">
        <v>50</v>
      </c>
      <c r="I6" s="8">
        <v>47.967100000000002</v>
      </c>
      <c r="J6" s="8">
        <v>-69.4285</v>
      </c>
      <c r="K6" s="14">
        <v>193</v>
      </c>
      <c r="L6" s="8" t="s">
        <v>51</v>
      </c>
      <c r="M6" s="8" t="s">
        <v>52</v>
      </c>
      <c r="N6" s="8"/>
      <c r="O6" s="8" t="s">
        <v>36</v>
      </c>
      <c r="P6" s="8"/>
      <c r="Q6" s="8"/>
      <c r="R6" s="8"/>
      <c r="S6" s="8"/>
      <c r="T6" s="8"/>
      <c r="U6" s="8"/>
      <c r="V6" s="20">
        <f>SUM(V7:V8)</f>
        <v>8.8141025641025639</v>
      </c>
      <c r="W6" s="17">
        <f>SUM(W7:W8)</f>
        <v>6.6</v>
      </c>
      <c r="X6" s="17" t="s">
        <v>53</v>
      </c>
      <c r="Y6" s="26" t="s">
        <v>54</v>
      </c>
      <c r="Z6" s="26"/>
      <c r="AA6" s="26">
        <f>V7</f>
        <v>7.3450854700854702</v>
      </c>
      <c r="AB6" s="26">
        <f>V6</f>
        <v>8.8141025641025639</v>
      </c>
      <c r="AC6" s="3" t="s">
        <v>881</v>
      </c>
      <c r="AD6" s="8" t="s">
        <v>55</v>
      </c>
      <c r="AE6" s="8"/>
      <c r="AF6" s="8"/>
      <c r="AG6" s="8"/>
    </row>
    <row r="7" spans="1:33" s="1" customFormat="1" ht="15" customHeight="1" x14ac:dyDescent="0.3">
      <c r="A7" s="8" t="s">
        <v>878</v>
      </c>
      <c r="B7" s="8" t="s">
        <v>27</v>
      </c>
      <c r="C7" s="8" t="s">
        <v>27</v>
      </c>
      <c r="D7" s="8" t="s">
        <v>28</v>
      </c>
      <c r="E7" s="8" t="s">
        <v>49</v>
      </c>
      <c r="F7" s="8" t="s">
        <v>30</v>
      </c>
      <c r="G7" s="14">
        <v>2010</v>
      </c>
      <c r="H7" s="8" t="s">
        <v>50</v>
      </c>
      <c r="I7" s="8">
        <v>47.967100000000002</v>
      </c>
      <c r="J7" s="8">
        <v>-69.4285</v>
      </c>
      <c r="K7" s="14">
        <v>193</v>
      </c>
      <c r="L7" s="8" t="s">
        <v>51</v>
      </c>
      <c r="M7" s="8" t="s">
        <v>52</v>
      </c>
      <c r="N7" s="8"/>
      <c r="O7" s="8" t="s">
        <v>36</v>
      </c>
      <c r="P7" s="8"/>
      <c r="Q7" s="8"/>
      <c r="R7" s="30">
        <f>V7/K7*1000</f>
        <v>38.057437668836634</v>
      </c>
      <c r="S7" s="8"/>
      <c r="T7" s="8"/>
      <c r="U7" s="8"/>
      <c r="V7" s="20">
        <f>W7/0.7488</f>
        <v>7.3450854700854702</v>
      </c>
      <c r="W7" s="17">
        <v>5.5</v>
      </c>
      <c r="X7" s="17" t="s">
        <v>56</v>
      </c>
      <c r="Y7" s="17"/>
      <c r="Z7" s="17"/>
      <c r="AA7" s="17"/>
      <c r="AB7" s="17"/>
      <c r="AC7" s="8" t="s">
        <v>884</v>
      </c>
      <c r="AD7" s="8" t="s">
        <v>57</v>
      </c>
      <c r="AE7" s="8"/>
      <c r="AF7" s="8"/>
      <c r="AG7" s="8"/>
    </row>
    <row r="8" spans="1:33" s="1" customFormat="1" ht="15" customHeight="1" x14ac:dyDescent="0.3">
      <c r="A8" s="8" t="s">
        <v>878</v>
      </c>
      <c r="B8" s="8" t="s">
        <v>27</v>
      </c>
      <c r="C8" s="8" t="s">
        <v>27</v>
      </c>
      <c r="D8" s="8" t="s">
        <v>28</v>
      </c>
      <c r="E8" s="8" t="s">
        <v>49</v>
      </c>
      <c r="F8" s="8" t="s">
        <v>30</v>
      </c>
      <c r="G8" s="14">
        <v>2010</v>
      </c>
      <c r="H8" s="8" t="s">
        <v>58</v>
      </c>
      <c r="I8" s="8">
        <v>47.967100000000002</v>
      </c>
      <c r="J8" s="8">
        <v>-69.4285</v>
      </c>
      <c r="K8" s="14">
        <v>193</v>
      </c>
      <c r="L8" s="8" t="s">
        <v>51</v>
      </c>
      <c r="M8" s="8" t="s">
        <v>52</v>
      </c>
      <c r="N8" s="8"/>
      <c r="O8" s="8" t="s">
        <v>36</v>
      </c>
      <c r="P8" s="8"/>
      <c r="Q8" s="8"/>
      <c r="R8" s="8"/>
      <c r="S8" s="8"/>
      <c r="T8" s="8"/>
      <c r="U8" s="8"/>
      <c r="V8" s="20">
        <f>W8/0.7488</f>
        <v>1.4690170940170941</v>
      </c>
      <c r="W8" s="17">
        <v>1.1000000000000001</v>
      </c>
      <c r="X8" s="17" t="s">
        <v>56</v>
      </c>
      <c r="Y8" s="17"/>
      <c r="Z8" s="17"/>
      <c r="AA8" s="17"/>
      <c r="AB8" s="17"/>
      <c r="AC8" s="8" t="s">
        <v>884</v>
      </c>
      <c r="AD8" s="8" t="s">
        <v>59</v>
      </c>
      <c r="AE8" s="8"/>
      <c r="AF8" s="8"/>
      <c r="AG8" s="8"/>
    </row>
    <row r="9" spans="1:33" s="1" customFormat="1" ht="15" customHeight="1" x14ac:dyDescent="0.3">
      <c r="A9" s="8" t="s">
        <v>60</v>
      </c>
      <c r="B9" s="8" t="s">
        <v>27</v>
      </c>
      <c r="C9" s="8" t="s">
        <v>27</v>
      </c>
      <c r="D9" s="8" t="s">
        <v>61</v>
      </c>
      <c r="E9" s="8" t="s">
        <v>62</v>
      </c>
      <c r="F9" s="8" t="s">
        <v>63</v>
      </c>
      <c r="G9" s="14">
        <v>1995</v>
      </c>
      <c r="H9" s="8" t="s">
        <v>64</v>
      </c>
      <c r="I9" s="8">
        <v>44.424999999999997</v>
      </c>
      <c r="J9" s="8">
        <v>-65.216666669999995</v>
      </c>
      <c r="K9" s="14">
        <v>218</v>
      </c>
      <c r="L9" s="8" t="s">
        <v>65</v>
      </c>
      <c r="M9" s="8" t="s">
        <v>66</v>
      </c>
      <c r="N9" s="8"/>
      <c r="O9" s="8" t="s">
        <v>36</v>
      </c>
      <c r="P9" s="8" t="s">
        <v>67</v>
      </c>
      <c r="Q9" s="8">
        <v>18.5</v>
      </c>
      <c r="R9" s="8"/>
      <c r="S9" s="8"/>
      <c r="T9" s="8" t="s">
        <v>68</v>
      </c>
      <c r="U9" s="8"/>
      <c r="V9" s="8"/>
      <c r="W9" s="8"/>
      <c r="X9" s="8"/>
      <c r="Y9" s="8"/>
      <c r="Z9" s="8"/>
      <c r="AA9" s="8"/>
      <c r="AB9" s="8"/>
      <c r="AC9" s="3" t="s">
        <v>883</v>
      </c>
      <c r="AD9" s="8"/>
      <c r="AE9" s="8"/>
      <c r="AF9" s="8"/>
      <c r="AG9" s="8"/>
    </row>
    <row r="10" spans="1:33" s="1" customFormat="1" ht="15" customHeight="1" x14ac:dyDescent="0.3">
      <c r="A10" s="8" t="s">
        <v>60</v>
      </c>
      <c r="B10" s="8" t="s">
        <v>27</v>
      </c>
      <c r="C10" s="8" t="s">
        <v>27</v>
      </c>
      <c r="D10" s="8" t="s">
        <v>61</v>
      </c>
      <c r="E10" s="8" t="s">
        <v>62</v>
      </c>
      <c r="F10" s="8" t="s">
        <v>63</v>
      </c>
      <c r="G10" s="14">
        <v>1996</v>
      </c>
      <c r="H10" s="8" t="s">
        <v>69</v>
      </c>
      <c r="I10" s="8">
        <v>44.424999999999997</v>
      </c>
      <c r="J10" s="8">
        <v>-65.216666669999995</v>
      </c>
      <c r="K10" s="14">
        <v>218</v>
      </c>
      <c r="L10" s="8" t="s">
        <v>65</v>
      </c>
      <c r="M10" s="8" t="s">
        <v>66</v>
      </c>
      <c r="N10" s="8"/>
      <c r="O10" s="8" t="s">
        <v>36</v>
      </c>
      <c r="P10" s="8" t="s">
        <v>67</v>
      </c>
      <c r="Q10" s="8">
        <v>63.7</v>
      </c>
      <c r="R10" s="8"/>
      <c r="S10" s="8"/>
      <c r="T10" s="8" t="s">
        <v>68</v>
      </c>
      <c r="U10" s="8"/>
      <c r="V10" s="8"/>
      <c r="W10" s="8"/>
      <c r="X10" s="8"/>
      <c r="Y10" s="8"/>
      <c r="Z10" s="8"/>
      <c r="AA10" s="8"/>
      <c r="AB10" s="8"/>
      <c r="AC10" s="3" t="s">
        <v>883</v>
      </c>
      <c r="AD10" s="8"/>
      <c r="AE10" s="8"/>
      <c r="AF10" s="8"/>
      <c r="AG10" s="8"/>
    </row>
    <row r="11" spans="1:33" s="1" customFormat="1" ht="15" customHeight="1" x14ac:dyDescent="0.3">
      <c r="A11" s="8" t="s">
        <v>60</v>
      </c>
      <c r="B11" s="8" t="s">
        <v>27</v>
      </c>
      <c r="C11" s="8" t="s">
        <v>27</v>
      </c>
      <c r="D11" s="8" t="s">
        <v>61</v>
      </c>
      <c r="E11" s="8" t="s">
        <v>62</v>
      </c>
      <c r="F11" s="8" t="s">
        <v>63</v>
      </c>
      <c r="G11" s="14" t="s">
        <v>70</v>
      </c>
      <c r="H11" s="8" t="s">
        <v>64</v>
      </c>
      <c r="I11" s="8">
        <v>44.424999999999997</v>
      </c>
      <c r="J11" s="8">
        <v>-65.216666669999995</v>
      </c>
      <c r="K11" s="14">
        <v>218</v>
      </c>
      <c r="L11" s="8" t="s">
        <v>65</v>
      </c>
      <c r="M11" s="8" t="s">
        <v>71</v>
      </c>
      <c r="N11" s="8"/>
      <c r="O11" s="8" t="s">
        <v>36</v>
      </c>
      <c r="P11" s="8" t="s">
        <v>67</v>
      </c>
      <c r="Q11" s="8">
        <f>AVERAGE(Q12:Q13)</f>
        <v>12.55</v>
      </c>
      <c r="R11" s="8"/>
      <c r="S11" s="8"/>
      <c r="T11" s="8" t="s">
        <v>68</v>
      </c>
      <c r="U11" s="7">
        <f>Q11*K11/1000</f>
        <v>2.7359</v>
      </c>
      <c r="V11" s="8"/>
      <c r="W11" s="8"/>
      <c r="X11" s="8"/>
      <c r="Y11" s="9" t="s">
        <v>39</v>
      </c>
      <c r="Z11" s="9">
        <f>6.8/1000*(365-K11)</f>
        <v>0.99959999999999993</v>
      </c>
      <c r="AA11" s="9">
        <f>U11</f>
        <v>2.7359</v>
      </c>
      <c r="AB11" s="9">
        <f>U11+Z11</f>
        <v>3.7355</v>
      </c>
      <c r="AC11" s="3" t="s">
        <v>881</v>
      </c>
      <c r="AD11" s="8"/>
      <c r="AE11" s="8"/>
      <c r="AF11" s="8"/>
      <c r="AG11" s="8"/>
    </row>
    <row r="12" spans="1:33" s="1" customFormat="1" ht="15" customHeight="1" x14ac:dyDescent="0.3">
      <c r="A12" s="8" t="s">
        <v>60</v>
      </c>
      <c r="B12" s="8" t="s">
        <v>27</v>
      </c>
      <c r="C12" s="8" t="s">
        <v>27</v>
      </c>
      <c r="D12" s="8" t="s">
        <v>61</v>
      </c>
      <c r="E12" s="8" t="s">
        <v>62</v>
      </c>
      <c r="F12" s="8" t="s">
        <v>63</v>
      </c>
      <c r="G12" s="14">
        <v>1995</v>
      </c>
      <c r="H12" s="8" t="s">
        <v>64</v>
      </c>
      <c r="I12" s="8">
        <v>44.424999999999997</v>
      </c>
      <c r="J12" s="8">
        <v>-65.216666669999995</v>
      </c>
      <c r="K12" s="14">
        <v>218</v>
      </c>
      <c r="L12" s="8" t="s">
        <v>65</v>
      </c>
      <c r="M12" s="8" t="s">
        <v>71</v>
      </c>
      <c r="N12" s="8"/>
      <c r="O12" s="8" t="s">
        <v>36</v>
      </c>
      <c r="P12" s="8" t="s">
        <v>67</v>
      </c>
      <c r="Q12" s="8">
        <v>18.5</v>
      </c>
      <c r="R12" s="8"/>
      <c r="S12" s="8"/>
      <c r="T12" s="8" t="s">
        <v>68</v>
      </c>
      <c r="U12" s="7"/>
      <c r="V12" s="8"/>
      <c r="W12" s="8"/>
      <c r="X12" s="8"/>
      <c r="Y12" s="8"/>
      <c r="Z12" s="8"/>
      <c r="AA12" s="8"/>
      <c r="AB12" s="8"/>
      <c r="AC12" s="8" t="s">
        <v>884</v>
      </c>
      <c r="AD12" s="8"/>
      <c r="AE12" s="8"/>
      <c r="AF12" s="8"/>
      <c r="AG12" s="8"/>
    </row>
    <row r="13" spans="1:33" s="1" customFormat="1" ht="15" customHeight="1" x14ac:dyDescent="0.3">
      <c r="A13" s="8" t="s">
        <v>60</v>
      </c>
      <c r="B13" s="8" t="s">
        <v>27</v>
      </c>
      <c r="C13" s="8" t="s">
        <v>27</v>
      </c>
      <c r="D13" s="8" t="s">
        <v>61</v>
      </c>
      <c r="E13" s="8" t="s">
        <v>62</v>
      </c>
      <c r="F13" s="8" t="s">
        <v>63</v>
      </c>
      <c r="G13" s="14">
        <v>1996</v>
      </c>
      <c r="H13" s="8" t="s">
        <v>69</v>
      </c>
      <c r="I13" s="8">
        <v>44.424999999999997</v>
      </c>
      <c r="J13" s="8">
        <v>-65.216666669999995</v>
      </c>
      <c r="K13" s="14">
        <v>218</v>
      </c>
      <c r="L13" s="8" t="s">
        <v>65</v>
      </c>
      <c r="M13" s="8" t="s">
        <v>71</v>
      </c>
      <c r="N13" s="8"/>
      <c r="O13" s="8" t="s">
        <v>36</v>
      </c>
      <c r="P13" s="8" t="s">
        <v>67</v>
      </c>
      <c r="Q13" s="8">
        <v>6.6</v>
      </c>
      <c r="R13" s="8"/>
      <c r="S13" s="8"/>
      <c r="T13" s="8" t="s">
        <v>68</v>
      </c>
      <c r="U13" s="7"/>
      <c r="V13" s="8"/>
      <c r="W13" s="8"/>
      <c r="X13" s="8"/>
      <c r="Y13" s="8"/>
      <c r="Z13" s="8"/>
      <c r="AA13" s="8"/>
      <c r="AB13" s="8"/>
      <c r="AC13" s="8" t="s">
        <v>884</v>
      </c>
      <c r="AD13" s="8"/>
      <c r="AE13" s="8"/>
      <c r="AF13" s="8"/>
      <c r="AG13" s="8"/>
    </row>
    <row r="14" spans="1:33" s="1" customFormat="1" ht="15" customHeight="1" x14ac:dyDescent="0.3">
      <c r="A14" s="8" t="s">
        <v>60</v>
      </c>
      <c r="B14" s="8" t="s">
        <v>27</v>
      </c>
      <c r="C14" s="8" t="s">
        <v>27</v>
      </c>
      <c r="D14" s="8" t="s">
        <v>61</v>
      </c>
      <c r="E14" s="8" t="s">
        <v>62</v>
      </c>
      <c r="F14" s="8" t="s">
        <v>63</v>
      </c>
      <c r="G14" s="14" t="s">
        <v>70</v>
      </c>
      <c r="H14" s="8" t="s">
        <v>64</v>
      </c>
      <c r="I14" s="8">
        <v>44.424999999999997</v>
      </c>
      <c r="J14" s="8">
        <v>-65.216666669999995</v>
      </c>
      <c r="K14" s="14">
        <v>218</v>
      </c>
      <c r="L14" s="8" t="s">
        <v>65</v>
      </c>
      <c r="M14" s="8" t="s">
        <v>41</v>
      </c>
      <c r="N14" s="8"/>
      <c r="O14" s="8" t="s">
        <v>36</v>
      </c>
      <c r="P14" s="8" t="s">
        <v>67</v>
      </c>
      <c r="Q14" s="8">
        <f>AVERAGE(Q15:Q16)</f>
        <v>45.85</v>
      </c>
      <c r="R14" s="8"/>
      <c r="S14" s="8"/>
      <c r="T14" s="8" t="s">
        <v>68</v>
      </c>
      <c r="U14" s="7">
        <f>Q14*K14/1000</f>
        <v>9.9953000000000003</v>
      </c>
      <c r="V14" s="8"/>
      <c r="W14" s="8"/>
      <c r="X14" s="8"/>
      <c r="Y14" s="9" t="s">
        <v>39</v>
      </c>
      <c r="Z14" s="9">
        <f>6.8/1000*(365-K14)</f>
        <v>0.99959999999999993</v>
      </c>
      <c r="AA14" s="9">
        <f>U14</f>
        <v>9.9953000000000003</v>
      </c>
      <c r="AB14" s="9">
        <f>U14+Z14</f>
        <v>10.994899999999999</v>
      </c>
      <c r="AC14" s="3" t="s">
        <v>881</v>
      </c>
      <c r="AD14" s="8"/>
      <c r="AE14" s="8"/>
      <c r="AF14" s="8"/>
      <c r="AG14" s="8"/>
    </row>
    <row r="15" spans="1:33" s="1" customFormat="1" ht="15" customHeight="1" x14ac:dyDescent="0.3">
      <c r="A15" s="8" t="s">
        <v>60</v>
      </c>
      <c r="B15" s="8" t="s">
        <v>27</v>
      </c>
      <c r="C15" s="8" t="s">
        <v>27</v>
      </c>
      <c r="D15" s="8" t="s">
        <v>61</v>
      </c>
      <c r="E15" s="8" t="s">
        <v>62</v>
      </c>
      <c r="F15" s="8" t="s">
        <v>63</v>
      </c>
      <c r="G15" s="14">
        <v>1995</v>
      </c>
      <c r="H15" s="8" t="s">
        <v>64</v>
      </c>
      <c r="I15" s="8">
        <v>44.424999999999997</v>
      </c>
      <c r="J15" s="8">
        <v>-65.216666669999995</v>
      </c>
      <c r="K15" s="14">
        <v>218</v>
      </c>
      <c r="L15" s="8" t="s">
        <v>65</v>
      </c>
      <c r="M15" s="8" t="s">
        <v>41</v>
      </c>
      <c r="N15" s="8"/>
      <c r="O15" s="8" t="s">
        <v>36</v>
      </c>
      <c r="P15" s="8" t="s">
        <v>67</v>
      </c>
      <c r="Q15" s="8">
        <v>63.7</v>
      </c>
      <c r="R15" s="8"/>
      <c r="S15" s="8"/>
      <c r="T15" s="8" t="s">
        <v>68</v>
      </c>
      <c r="U15" s="7"/>
      <c r="V15" s="8"/>
      <c r="W15" s="8"/>
      <c r="X15" s="8"/>
      <c r="Y15" s="8"/>
      <c r="Z15" s="8"/>
      <c r="AA15" s="8"/>
      <c r="AB15" s="8"/>
      <c r="AC15" s="8" t="s">
        <v>884</v>
      </c>
      <c r="AD15" s="8"/>
      <c r="AE15" s="8"/>
      <c r="AF15" s="8"/>
      <c r="AG15" s="8"/>
    </row>
    <row r="16" spans="1:33" s="1" customFormat="1" ht="15" customHeight="1" x14ac:dyDescent="0.3">
      <c r="A16" s="8" t="s">
        <v>60</v>
      </c>
      <c r="B16" s="8" t="s">
        <v>27</v>
      </c>
      <c r="C16" s="8" t="s">
        <v>27</v>
      </c>
      <c r="D16" s="8" t="s">
        <v>61</v>
      </c>
      <c r="E16" s="8" t="s">
        <v>62</v>
      </c>
      <c r="F16" s="8" t="s">
        <v>63</v>
      </c>
      <c r="G16" s="14">
        <v>1996</v>
      </c>
      <c r="H16" s="8" t="s">
        <v>69</v>
      </c>
      <c r="I16" s="8">
        <v>44.424999999999997</v>
      </c>
      <c r="J16" s="8">
        <v>-65.216666669999995</v>
      </c>
      <c r="K16" s="14">
        <v>218</v>
      </c>
      <c r="L16" s="8" t="s">
        <v>65</v>
      </c>
      <c r="M16" s="8" t="s">
        <v>41</v>
      </c>
      <c r="N16" s="8"/>
      <c r="O16" s="8" t="s">
        <v>36</v>
      </c>
      <c r="P16" s="8" t="s">
        <v>67</v>
      </c>
      <c r="Q16" s="8">
        <v>28</v>
      </c>
      <c r="R16" s="8"/>
      <c r="S16" s="8"/>
      <c r="T16" s="8" t="s">
        <v>68</v>
      </c>
      <c r="U16" s="8"/>
      <c r="V16" s="8"/>
      <c r="W16" s="8"/>
      <c r="X16" s="8"/>
      <c r="Y16" s="8"/>
      <c r="Z16" s="8"/>
      <c r="AA16" s="8"/>
      <c r="AB16" s="8"/>
      <c r="AC16" s="8" t="s">
        <v>884</v>
      </c>
      <c r="AD16" s="8"/>
      <c r="AE16" s="8"/>
      <c r="AF16" s="8"/>
      <c r="AG16" s="8"/>
    </row>
    <row r="17" spans="1:33" s="1" customFormat="1" ht="15" customHeight="1" x14ac:dyDescent="0.3">
      <c r="A17" s="8" t="s">
        <v>72</v>
      </c>
      <c r="B17" s="8" t="s">
        <v>73</v>
      </c>
      <c r="C17" s="8" t="s">
        <v>27</v>
      </c>
      <c r="D17" s="8" t="s">
        <v>74</v>
      </c>
      <c r="E17" s="8" t="s">
        <v>75</v>
      </c>
      <c r="F17" s="8" t="s">
        <v>76</v>
      </c>
      <c r="G17" s="14" t="s">
        <v>77</v>
      </c>
      <c r="H17" s="8" t="s">
        <v>78</v>
      </c>
      <c r="I17" s="8">
        <v>45.1</v>
      </c>
      <c r="J17" s="8">
        <v>-75.48</v>
      </c>
      <c r="K17" s="14">
        <v>212</v>
      </c>
      <c r="L17" s="8" t="s">
        <v>79</v>
      </c>
      <c r="M17" s="8" t="s">
        <v>80</v>
      </c>
      <c r="N17" s="14"/>
      <c r="O17" s="8" t="s">
        <v>36</v>
      </c>
      <c r="P17" s="15"/>
      <c r="Q17" s="6"/>
      <c r="R17" s="30"/>
      <c r="S17" s="6"/>
      <c r="T17" s="10"/>
      <c r="U17" s="10"/>
      <c r="V17" s="38">
        <f>AVERAGE(V18:V22)</f>
        <v>29.339999999999996</v>
      </c>
      <c r="W17" s="8"/>
      <c r="X17" s="8" t="s">
        <v>81</v>
      </c>
      <c r="Y17" s="11" t="s">
        <v>39</v>
      </c>
      <c r="Z17" s="12">
        <f t="shared" ref="Z17" si="1">6.8/1000*(365-K17)</f>
        <v>1.0404</v>
      </c>
      <c r="AA17" s="12">
        <f>V17</f>
        <v>29.339999999999996</v>
      </c>
      <c r="AB17" s="12">
        <f>V17+Z17</f>
        <v>30.380399999999995</v>
      </c>
      <c r="AC17" s="3" t="s">
        <v>881</v>
      </c>
      <c r="AD17" s="8" t="s">
        <v>82</v>
      </c>
      <c r="AE17" s="8"/>
      <c r="AF17" s="8"/>
      <c r="AG17" s="8"/>
    </row>
    <row r="18" spans="1:33" s="1" customFormat="1" ht="15" customHeight="1" x14ac:dyDescent="0.3">
      <c r="A18" s="8" t="s">
        <v>72</v>
      </c>
      <c r="B18" s="8" t="s">
        <v>73</v>
      </c>
      <c r="C18" s="8" t="s">
        <v>27</v>
      </c>
      <c r="D18" s="8" t="s">
        <v>74</v>
      </c>
      <c r="E18" s="8" t="s">
        <v>75</v>
      </c>
      <c r="F18" s="8" t="s">
        <v>76</v>
      </c>
      <c r="G18" s="14">
        <v>2004</v>
      </c>
      <c r="H18" s="8" t="s">
        <v>78</v>
      </c>
      <c r="I18" s="8">
        <v>45.1</v>
      </c>
      <c r="J18" s="8">
        <v>-75.48</v>
      </c>
      <c r="K18" s="14">
        <v>212</v>
      </c>
      <c r="L18" s="8" t="s">
        <v>79</v>
      </c>
      <c r="M18" s="8" t="s">
        <v>80</v>
      </c>
      <c r="N18" s="14"/>
      <c r="O18" s="8" t="s">
        <v>36</v>
      </c>
      <c r="P18" s="15" t="s">
        <v>83</v>
      </c>
      <c r="Q18" s="6"/>
      <c r="R18" s="6"/>
      <c r="S18" s="6"/>
      <c r="T18" s="6"/>
      <c r="U18" s="6"/>
      <c r="V18" s="20">
        <v>6.3</v>
      </c>
      <c r="W18" s="8"/>
      <c r="X18" s="8" t="s">
        <v>81</v>
      </c>
      <c r="Y18" s="8"/>
      <c r="Z18" s="8"/>
      <c r="AA18" s="8"/>
      <c r="AB18" s="8"/>
      <c r="AC18" s="8" t="s">
        <v>884</v>
      </c>
      <c r="AD18" s="8" t="s">
        <v>82</v>
      </c>
      <c r="AE18" s="8"/>
      <c r="AF18" s="8"/>
      <c r="AG18" s="8"/>
    </row>
    <row r="19" spans="1:33" s="1" customFormat="1" ht="15" customHeight="1" x14ac:dyDescent="0.3">
      <c r="A19" s="8" t="s">
        <v>72</v>
      </c>
      <c r="B19" s="8" t="s">
        <v>73</v>
      </c>
      <c r="C19" s="8" t="s">
        <v>27</v>
      </c>
      <c r="D19" s="8" t="s">
        <v>74</v>
      </c>
      <c r="E19" s="8" t="s">
        <v>75</v>
      </c>
      <c r="F19" s="8" t="s">
        <v>76</v>
      </c>
      <c r="G19" s="14">
        <v>2005</v>
      </c>
      <c r="H19" s="8" t="s">
        <v>78</v>
      </c>
      <c r="I19" s="8">
        <v>45.1</v>
      </c>
      <c r="J19" s="8">
        <v>-75.48</v>
      </c>
      <c r="K19" s="14">
        <v>212</v>
      </c>
      <c r="L19" s="8" t="s">
        <v>79</v>
      </c>
      <c r="M19" s="8" t="s">
        <v>80</v>
      </c>
      <c r="N19" s="14"/>
      <c r="O19" s="8" t="s">
        <v>36</v>
      </c>
      <c r="P19" s="15" t="s">
        <v>83</v>
      </c>
      <c r="Q19" s="6"/>
      <c r="R19" s="6"/>
      <c r="S19" s="6"/>
      <c r="T19" s="6"/>
      <c r="U19" s="6"/>
      <c r="V19" s="20">
        <v>11.3</v>
      </c>
      <c r="W19" s="8"/>
      <c r="X19" s="8" t="s">
        <v>81</v>
      </c>
      <c r="Y19" s="8"/>
      <c r="Z19" s="8"/>
      <c r="AA19" s="8"/>
      <c r="AB19" s="8"/>
      <c r="AC19" s="8" t="s">
        <v>884</v>
      </c>
      <c r="AD19" s="8" t="s">
        <v>82</v>
      </c>
      <c r="AE19" s="8"/>
      <c r="AF19" s="8"/>
      <c r="AG19" s="8"/>
    </row>
    <row r="20" spans="1:33" s="1" customFormat="1" ht="15" customHeight="1" x14ac:dyDescent="0.3">
      <c r="A20" s="8" t="s">
        <v>72</v>
      </c>
      <c r="B20" s="8" t="s">
        <v>73</v>
      </c>
      <c r="C20" s="8" t="s">
        <v>27</v>
      </c>
      <c r="D20" s="8" t="s">
        <v>74</v>
      </c>
      <c r="E20" s="8" t="s">
        <v>75</v>
      </c>
      <c r="F20" s="8" t="s">
        <v>76</v>
      </c>
      <c r="G20" s="14">
        <v>2006</v>
      </c>
      <c r="H20" s="8" t="s">
        <v>78</v>
      </c>
      <c r="I20" s="8">
        <v>45.1</v>
      </c>
      <c r="J20" s="8">
        <v>-75.48</v>
      </c>
      <c r="K20" s="14">
        <v>212</v>
      </c>
      <c r="L20" s="8" t="s">
        <v>79</v>
      </c>
      <c r="M20" s="8" t="s">
        <v>80</v>
      </c>
      <c r="N20" s="14"/>
      <c r="O20" s="8" t="s">
        <v>36</v>
      </c>
      <c r="P20" s="15" t="s">
        <v>83</v>
      </c>
      <c r="Q20" s="6"/>
      <c r="R20" s="6"/>
      <c r="S20" s="6"/>
      <c r="T20" s="6"/>
      <c r="U20" s="6"/>
      <c r="V20" s="20">
        <v>46.7</v>
      </c>
      <c r="W20" s="8"/>
      <c r="X20" s="8" t="s">
        <v>81</v>
      </c>
      <c r="Y20" s="8"/>
      <c r="Z20" s="8"/>
      <c r="AA20" s="8"/>
      <c r="AB20" s="8"/>
      <c r="AC20" s="8" t="s">
        <v>884</v>
      </c>
      <c r="AD20" s="8" t="s">
        <v>82</v>
      </c>
      <c r="AE20" s="8"/>
      <c r="AF20" s="8"/>
      <c r="AG20" s="8"/>
    </row>
    <row r="21" spans="1:33" s="1" customFormat="1" ht="15" customHeight="1" x14ac:dyDescent="0.3">
      <c r="A21" s="8" t="s">
        <v>72</v>
      </c>
      <c r="B21" s="8" t="s">
        <v>73</v>
      </c>
      <c r="C21" s="8" t="s">
        <v>27</v>
      </c>
      <c r="D21" s="8" t="s">
        <v>74</v>
      </c>
      <c r="E21" s="8" t="s">
        <v>75</v>
      </c>
      <c r="F21" s="8" t="s">
        <v>76</v>
      </c>
      <c r="G21" s="14">
        <v>2007</v>
      </c>
      <c r="H21" s="8" t="s">
        <v>78</v>
      </c>
      <c r="I21" s="8">
        <v>45.1</v>
      </c>
      <c r="J21" s="8">
        <v>-75.48</v>
      </c>
      <c r="K21" s="14">
        <v>212</v>
      </c>
      <c r="L21" s="8" t="s">
        <v>79</v>
      </c>
      <c r="M21" s="8" t="s">
        <v>80</v>
      </c>
      <c r="N21" s="14"/>
      <c r="O21" s="8" t="s">
        <v>36</v>
      </c>
      <c r="P21" s="15" t="s">
        <v>83</v>
      </c>
      <c r="Q21" s="6"/>
      <c r="R21" s="6"/>
      <c r="S21" s="6"/>
      <c r="T21" s="6"/>
      <c r="U21" s="6"/>
      <c r="V21" s="20">
        <v>18.3</v>
      </c>
      <c r="W21" s="8"/>
      <c r="X21" s="8" t="s">
        <v>81</v>
      </c>
      <c r="Y21" s="8"/>
      <c r="Z21" s="8"/>
      <c r="AA21" s="8"/>
      <c r="AB21" s="8"/>
      <c r="AC21" s="8" t="s">
        <v>884</v>
      </c>
      <c r="AD21" s="8" t="s">
        <v>82</v>
      </c>
      <c r="AE21" s="8"/>
      <c r="AF21" s="8"/>
      <c r="AG21" s="8"/>
    </row>
    <row r="22" spans="1:33" s="1" customFormat="1" ht="15" customHeight="1" x14ac:dyDescent="0.3">
      <c r="A22" s="8" t="s">
        <v>72</v>
      </c>
      <c r="B22" s="8" t="s">
        <v>73</v>
      </c>
      <c r="C22" s="8" t="s">
        <v>27</v>
      </c>
      <c r="D22" s="8" t="s">
        <v>74</v>
      </c>
      <c r="E22" s="8" t="s">
        <v>75</v>
      </c>
      <c r="F22" s="8" t="s">
        <v>76</v>
      </c>
      <c r="G22" s="14">
        <v>2008</v>
      </c>
      <c r="H22" s="8" t="s">
        <v>78</v>
      </c>
      <c r="I22" s="8">
        <v>45.1</v>
      </c>
      <c r="J22" s="8">
        <v>-75.48</v>
      </c>
      <c r="K22" s="14">
        <v>212</v>
      </c>
      <c r="L22" s="8" t="s">
        <v>79</v>
      </c>
      <c r="M22" s="8" t="s">
        <v>80</v>
      </c>
      <c r="N22" s="14"/>
      <c r="O22" s="8" t="s">
        <v>36</v>
      </c>
      <c r="P22" s="15" t="s">
        <v>83</v>
      </c>
      <c r="Q22" s="6"/>
      <c r="R22" s="6"/>
      <c r="S22" s="6"/>
      <c r="T22" s="6"/>
      <c r="U22" s="6"/>
      <c r="V22" s="20">
        <v>64.099999999999994</v>
      </c>
      <c r="W22" s="8"/>
      <c r="X22" s="8" t="s">
        <v>81</v>
      </c>
      <c r="Y22" s="8"/>
      <c r="Z22" s="8"/>
      <c r="AA22" s="8"/>
      <c r="AB22" s="8"/>
      <c r="AC22" s="8" t="s">
        <v>884</v>
      </c>
      <c r="AD22" s="8" t="s">
        <v>82</v>
      </c>
      <c r="AE22" s="8"/>
      <c r="AF22" s="8"/>
      <c r="AG22" s="8"/>
    </row>
    <row r="23" spans="1:33" s="1" customFormat="1" ht="15" customHeight="1" x14ac:dyDescent="0.3">
      <c r="A23" s="8" t="s">
        <v>84</v>
      </c>
      <c r="B23" s="8" t="s">
        <v>73</v>
      </c>
      <c r="C23" s="8" t="s">
        <v>27</v>
      </c>
      <c r="D23" s="8" t="s">
        <v>74</v>
      </c>
      <c r="E23" s="8" t="s">
        <v>75</v>
      </c>
      <c r="F23" s="8" t="s">
        <v>76</v>
      </c>
      <c r="G23" s="14"/>
      <c r="H23" s="8"/>
      <c r="I23" s="8">
        <v>45.1</v>
      </c>
      <c r="J23" s="8">
        <v>-75.48</v>
      </c>
      <c r="K23" s="14">
        <v>210</v>
      </c>
      <c r="L23" s="8" t="s">
        <v>79</v>
      </c>
      <c r="M23" s="8" t="s">
        <v>80</v>
      </c>
      <c r="N23" s="14"/>
      <c r="O23" s="8" t="s">
        <v>85</v>
      </c>
      <c r="P23" s="15"/>
      <c r="Q23" s="6">
        <v>20</v>
      </c>
      <c r="R23" s="6"/>
      <c r="S23" s="6"/>
      <c r="T23" s="6" t="s">
        <v>86</v>
      </c>
      <c r="U23" s="6"/>
      <c r="V23" s="20">
        <v>3</v>
      </c>
      <c r="W23" s="8"/>
      <c r="X23" s="8" t="s">
        <v>81</v>
      </c>
      <c r="Y23" s="11" t="s">
        <v>39</v>
      </c>
      <c r="Z23" s="12">
        <f t="shared" ref="Z23" si="2">6.8/1000*(365-K23)</f>
        <v>1.054</v>
      </c>
      <c r="AA23" s="12">
        <f>V23</f>
        <v>3</v>
      </c>
      <c r="AB23" s="12">
        <f>V23+Z23</f>
        <v>4.0540000000000003</v>
      </c>
      <c r="AC23" s="3" t="s">
        <v>881</v>
      </c>
      <c r="AD23" s="8" t="s">
        <v>87</v>
      </c>
      <c r="AE23" s="8"/>
      <c r="AF23" s="8"/>
      <c r="AG23" s="8"/>
    </row>
    <row r="24" spans="1:33" s="1" customFormat="1" ht="15" customHeight="1" x14ac:dyDescent="0.3">
      <c r="A24" s="8" t="s">
        <v>88</v>
      </c>
      <c r="B24" s="8" t="s">
        <v>27</v>
      </c>
      <c r="C24" s="8" t="s">
        <v>27</v>
      </c>
      <c r="D24" s="8" t="s">
        <v>74</v>
      </c>
      <c r="E24" s="8" t="s">
        <v>75</v>
      </c>
      <c r="F24" s="8" t="s">
        <v>76</v>
      </c>
      <c r="G24" s="14" t="s">
        <v>89</v>
      </c>
      <c r="H24" s="8"/>
      <c r="I24" s="8">
        <v>45.4</v>
      </c>
      <c r="J24" s="8">
        <v>-75.5</v>
      </c>
      <c r="K24" s="14">
        <v>210</v>
      </c>
      <c r="L24" s="8" t="s">
        <v>90</v>
      </c>
      <c r="M24" s="8" t="s">
        <v>91</v>
      </c>
      <c r="N24" s="14"/>
      <c r="O24" s="8" t="s">
        <v>85</v>
      </c>
      <c r="P24" s="15" t="s">
        <v>92</v>
      </c>
      <c r="Q24" s="6"/>
      <c r="R24" s="6"/>
      <c r="S24" s="6"/>
      <c r="T24" s="6"/>
      <c r="U24" s="6"/>
      <c r="V24" s="20">
        <f>W24/0.7488</f>
        <v>4.941239316239316</v>
      </c>
      <c r="W24" s="17">
        <v>3.7</v>
      </c>
      <c r="X24" s="17" t="s">
        <v>93</v>
      </c>
      <c r="Y24" s="17"/>
      <c r="Z24" s="17"/>
      <c r="AA24" s="17"/>
      <c r="AB24" s="17"/>
      <c r="AC24" s="8" t="s">
        <v>884</v>
      </c>
      <c r="AD24" s="8"/>
      <c r="AE24" s="8"/>
      <c r="AF24" s="8"/>
      <c r="AG24" s="8"/>
    </row>
    <row r="25" spans="1:33" s="1" customFormat="1" ht="15" customHeight="1" x14ac:dyDescent="0.3">
      <c r="A25" s="8" t="s">
        <v>950</v>
      </c>
      <c r="B25" s="8" t="s">
        <v>73</v>
      </c>
      <c r="C25" s="8" t="s">
        <v>27</v>
      </c>
      <c r="D25" s="8" t="s">
        <v>74</v>
      </c>
      <c r="E25" s="8" t="s">
        <v>75</v>
      </c>
      <c r="F25" s="8" t="s">
        <v>76</v>
      </c>
      <c r="G25" s="14" t="s">
        <v>94</v>
      </c>
      <c r="H25" s="8" t="s">
        <v>95</v>
      </c>
      <c r="I25" s="8">
        <v>45.24</v>
      </c>
      <c r="J25" s="8">
        <v>-75.3</v>
      </c>
      <c r="K25" s="14">
        <v>210</v>
      </c>
      <c r="L25" s="29" t="s">
        <v>96</v>
      </c>
      <c r="M25" s="8" t="s">
        <v>91</v>
      </c>
      <c r="N25" s="14"/>
      <c r="O25" s="8" t="s">
        <v>85</v>
      </c>
      <c r="P25" s="15" t="s">
        <v>97</v>
      </c>
      <c r="Q25" s="15"/>
      <c r="R25" s="15"/>
      <c r="S25" s="6"/>
      <c r="T25" s="20"/>
      <c r="U25" s="20"/>
      <c r="V25" s="20">
        <f t="shared" ref="V25:V31" si="3">W25/0.7488</f>
        <v>5.7425213675213671</v>
      </c>
      <c r="W25" s="17">
        <v>4.3</v>
      </c>
      <c r="X25" s="17" t="s">
        <v>98</v>
      </c>
      <c r="Y25" s="17"/>
      <c r="Z25" s="17"/>
      <c r="AA25" s="17"/>
      <c r="AB25" s="17"/>
      <c r="AC25" s="8" t="s">
        <v>884</v>
      </c>
      <c r="AD25" s="8"/>
      <c r="AE25" s="8"/>
      <c r="AF25" s="8"/>
      <c r="AG25" s="8"/>
    </row>
    <row r="26" spans="1:33" s="1" customFormat="1" ht="15" customHeight="1" x14ac:dyDescent="0.3">
      <c r="A26" s="8" t="s">
        <v>950</v>
      </c>
      <c r="B26" s="8" t="s">
        <v>73</v>
      </c>
      <c r="C26" s="8" t="s">
        <v>27</v>
      </c>
      <c r="D26" s="8" t="s">
        <v>74</v>
      </c>
      <c r="E26" s="8" t="s">
        <v>75</v>
      </c>
      <c r="F26" s="8" t="s">
        <v>76</v>
      </c>
      <c r="G26" s="14" t="s">
        <v>99</v>
      </c>
      <c r="H26" s="8" t="s">
        <v>95</v>
      </c>
      <c r="I26" s="8">
        <v>45.24</v>
      </c>
      <c r="J26" s="8">
        <v>-75.3</v>
      </c>
      <c r="K26" s="14">
        <v>210</v>
      </c>
      <c r="L26" s="29" t="s">
        <v>96</v>
      </c>
      <c r="M26" s="8" t="s">
        <v>91</v>
      </c>
      <c r="N26" s="14"/>
      <c r="O26" s="8" t="s">
        <v>85</v>
      </c>
      <c r="P26" s="15" t="s">
        <v>97</v>
      </c>
      <c r="Q26" s="15"/>
      <c r="R26" s="15"/>
      <c r="S26" s="6"/>
      <c r="T26" s="20"/>
      <c r="U26" s="20"/>
      <c r="V26" s="20">
        <f t="shared" si="3"/>
        <v>2.9380341880341883</v>
      </c>
      <c r="W26" s="17">
        <v>2.2000000000000002</v>
      </c>
      <c r="X26" s="17" t="s">
        <v>98</v>
      </c>
      <c r="Y26" s="17"/>
      <c r="Z26" s="17"/>
      <c r="AA26" s="17"/>
      <c r="AB26" s="17"/>
      <c r="AC26" s="8" t="s">
        <v>884</v>
      </c>
      <c r="AD26" s="8"/>
      <c r="AE26" s="8"/>
      <c r="AF26" s="8"/>
      <c r="AG26" s="8"/>
    </row>
    <row r="27" spans="1:33" s="1" customFormat="1" ht="15" customHeight="1" x14ac:dyDescent="0.3">
      <c r="A27" s="8" t="s">
        <v>950</v>
      </c>
      <c r="B27" s="8" t="s">
        <v>73</v>
      </c>
      <c r="C27" s="8" t="s">
        <v>27</v>
      </c>
      <c r="D27" s="8" t="s">
        <v>74</v>
      </c>
      <c r="E27" s="8" t="s">
        <v>75</v>
      </c>
      <c r="F27" s="8" t="s">
        <v>76</v>
      </c>
      <c r="G27" s="14" t="s">
        <v>100</v>
      </c>
      <c r="H27" s="8" t="s">
        <v>95</v>
      </c>
      <c r="I27" s="8">
        <v>45.24</v>
      </c>
      <c r="J27" s="8">
        <v>-75.3</v>
      </c>
      <c r="K27" s="14">
        <v>210</v>
      </c>
      <c r="L27" s="29" t="s">
        <v>96</v>
      </c>
      <c r="M27" s="8" t="s">
        <v>91</v>
      </c>
      <c r="N27" s="14"/>
      <c r="O27" s="8" t="s">
        <v>85</v>
      </c>
      <c r="P27" s="15" t="s">
        <v>97</v>
      </c>
      <c r="Q27" s="15"/>
      <c r="R27" s="15"/>
      <c r="S27" s="6"/>
      <c r="T27" s="20"/>
      <c r="U27" s="20"/>
      <c r="V27" s="20">
        <f t="shared" si="3"/>
        <v>3.7393162393162389</v>
      </c>
      <c r="W27" s="17">
        <v>2.8</v>
      </c>
      <c r="X27" s="17" t="s">
        <v>98</v>
      </c>
      <c r="Y27" s="17"/>
      <c r="Z27" s="17"/>
      <c r="AA27" s="17"/>
      <c r="AB27" s="17"/>
      <c r="AC27" s="8" t="s">
        <v>884</v>
      </c>
      <c r="AD27" s="8"/>
      <c r="AE27" s="8"/>
      <c r="AF27" s="8"/>
      <c r="AG27" s="8"/>
    </row>
    <row r="28" spans="1:33" s="1" customFormat="1" ht="15" customHeight="1" x14ac:dyDescent="0.3">
      <c r="A28" s="8" t="s">
        <v>950</v>
      </c>
      <c r="B28" s="8" t="s">
        <v>73</v>
      </c>
      <c r="C28" s="8" t="s">
        <v>27</v>
      </c>
      <c r="D28" s="8" t="s">
        <v>74</v>
      </c>
      <c r="E28" s="8" t="s">
        <v>75</v>
      </c>
      <c r="F28" s="8" t="s">
        <v>76</v>
      </c>
      <c r="G28" s="14" t="s">
        <v>101</v>
      </c>
      <c r="H28" s="8" t="s">
        <v>95</v>
      </c>
      <c r="I28" s="8">
        <v>45.24</v>
      </c>
      <c r="J28" s="8">
        <v>-75.3</v>
      </c>
      <c r="K28" s="14">
        <v>210</v>
      </c>
      <c r="L28" s="29" t="s">
        <v>96</v>
      </c>
      <c r="M28" s="8" t="s">
        <v>91</v>
      </c>
      <c r="N28" s="14"/>
      <c r="O28" s="8" t="s">
        <v>85</v>
      </c>
      <c r="P28" s="15" t="s">
        <v>97</v>
      </c>
      <c r="Q28" s="15"/>
      <c r="R28" s="15"/>
      <c r="S28" s="6"/>
      <c r="T28" s="20"/>
      <c r="U28" s="20"/>
      <c r="V28" s="20">
        <f t="shared" si="3"/>
        <v>6.5438034188034191</v>
      </c>
      <c r="W28" s="17">
        <v>4.9000000000000004</v>
      </c>
      <c r="X28" s="17" t="s">
        <v>98</v>
      </c>
      <c r="Y28" s="17"/>
      <c r="Z28" s="17"/>
      <c r="AA28" s="17"/>
      <c r="AB28" s="17"/>
      <c r="AC28" s="8" t="s">
        <v>884</v>
      </c>
      <c r="AD28" s="8"/>
      <c r="AE28" s="8"/>
      <c r="AF28" s="8"/>
      <c r="AG28" s="8"/>
    </row>
    <row r="29" spans="1:33" s="1" customFormat="1" ht="15" customHeight="1" x14ac:dyDescent="0.3">
      <c r="A29" s="8" t="s">
        <v>950</v>
      </c>
      <c r="B29" s="8" t="s">
        <v>73</v>
      </c>
      <c r="C29" s="8" t="s">
        <v>27</v>
      </c>
      <c r="D29" s="8" t="s">
        <v>74</v>
      </c>
      <c r="E29" s="8" t="s">
        <v>75</v>
      </c>
      <c r="F29" s="8" t="s">
        <v>76</v>
      </c>
      <c r="G29" s="14">
        <v>2015</v>
      </c>
      <c r="H29" s="8" t="s">
        <v>95</v>
      </c>
      <c r="I29" s="8">
        <v>45.24</v>
      </c>
      <c r="J29" s="8">
        <v>-75.3</v>
      </c>
      <c r="K29" s="14">
        <v>210</v>
      </c>
      <c r="L29" s="29" t="s">
        <v>96</v>
      </c>
      <c r="M29" s="8" t="s">
        <v>91</v>
      </c>
      <c r="N29" s="14"/>
      <c r="O29" s="8" t="s">
        <v>85</v>
      </c>
      <c r="P29" s="15" t="s">
        <v>97</v>
      </c>
      <c r="Q29" s="15"/>
      <c r="R29" s="15"/>
      <c r="S29" s="6"/>
      <c r="T29" s="20"/>
      <c r="U29" s="20"/>
      <c r="V29" s="20">
        <f t="shared" si="3"/>
        <v>4.941239316239316</v>
      </c>
      <c r="W29" s="17">
        <v>3.7</v>
      </c>
      <c r="X29" s="17" t="s">
        <v>98</v>
      </c>
      <c r="Y29" s="17"/>
      <c r="Z29" s="17"/>
      <c r="AA29" s="17"/>
      <c r="AB29" s="17"/>
      <c r="AC29" s="8" t="s">
        <v>884</v>
      </c>
      <c r="AD29" s="8"/>
      <c r="AE29" s="8"/>
      <c r="AF29" s="8"/>
      <c r="AG29" s="8"/>
    </row>
    <row r="30" spans="1:33" s="1" customFormat="1" ht="15" customHeight="1" x14ac:dyDescent="0.3">
      <c r="A30" s="8" t="s">
        <v>950</v>
      </c>
      <c r="B30" s="8" t="s">
        <v>73</v>
      </c>
      <c r="C30" s="8" t="s">
        <v>27</v>
      </c>
      <c r="D30" s="8" t="s">
        <v>74</v>
      </c>
      <c r="E30" s="8" t="s">
        <v>75</v>
      </c>
      <c r="F30" s="8" t="s">
        <v>76</v>
      </c>
      <c r="G30" s="14">
        <v>2016</v>
      </c>
      <c r="H30" s="8" t="s">
        <v>95</v>
      </c>
      <c r="I30" s="8">
        <v>45.24</v>
      </c>
      <c r="J30" s="8">
        <v>-75.3</v>
      </c>
      <c r="K30" s="14">
        <v>210</v>
      </c>
      <c r="L30" s="29" t="s">
        <v>96</v>
      </c>
      <c r="M30" s="8" t="s">
        <v>91</v>
      </c>
      <c r="N30" s="14"/>
      <c r="O30" s="8" t="s">
        <v>85</v>
      </c>
      <c r="P30" s="15" t="s">
        <v>97</v>
      </c>
      <c r="Q30" s="15"/>
      <c r="R30" s="15"/>
      <c r="S30" s="6"/>
      <c r="T30" s="20"/>
      <c r="U30" s="20"/>
      <c r="V30" s="20">
        <f t="shared" si="3"/>
        <v>2.6709401709401708</v>
      </c>
      <c r="W30" s="17">
        <v>2</v>
      </c>
      <c r="X30" s="17" t="s">
        <v>98</v>
      </c>
      <c r="Y30" s="17"/>
      <c r="Z30" s="17"/>
      <c r="AA30" s="17"/>
      <c r="AB30" s="17"/>
      <c r="AC30" s="8" t="s">
        <v>884</v>
      </c>
      <c r="AD30" s="8"/>
      <c r="AE30" s="8"/>
      <c r="AF30" s="8"/>
      <c r="AG30" s="8"/>
    </row>
    <row r="31" spans="1:33" s="1" customFormat="1" ht="15" customHeight="1" x14ac:dyDescent="0.3">
      <c r="A31" s="8" t="s">
        <v>102</v>
      </c>
      <c r="B31" s="8" t="s">
        <v>73</v>
      </c>
      <c r="C31" s="8" t="s">
        <v>27</v>
      </c>
      <c r="D31" s="8" t="s">
        <v>74</v>
      </c>
      <c r="E31" s="8" t="s">
        <v>75</v>
      </c>
      <c r="F31" s="8" t="s">
        <v>76</v>
      </c>
      <c r="G31" s="14">
        <v>2011</v>
      </c>
      <c r="H31" s="8" t="s">
        <v>103</v>
      </c>
      <c r="I31" s="8">
        <v>45.41</v>
      </c>
      <c r="J31" s="8">
        <v>-75.52</v>
      </c>
      <c r="K31" s="14">
        <v>210</v>
      </c>
      <c r="L31" s="8" t="s">
        <v>79</v>
      </c>
      <c r="M31" s="8" t="s">
        <v>91</v>
      </c>
      <c r="N31" s="14"/>
      <c r="O31" s="8" t="s">
        <v>85</v>
      </c>
      <c r="P31" s="15" t="s">
        <v>97</v>
      </c>
      <c r="Q31" s="20">
        <f t="shared" ref="Q31:Q32" si="4">S31/0.7488</f>
        <v>29.513888888888889</v>
      </c>
      <c r="R31" s="20"/>
      <c r="S31" s="17">
        <v>22.1</v>
      </c>
      <c r="T31" s="17" t="s">
        <v>104</v>
      </c>
      <c r="U31" s="17"/>
      <c r="V31" s="20">
        <f t="shared" si="3"/>
        <v>4.1399572649572649</v>
      </c>
      <c r="W31" s="17">
        <v>3.1</v>
      </c>
      <c r="X31" s="17" t="s">
        <v>105</v>
      </c>
      <c r="Y31" s="17"/>
      <c r="Z31" s="17"/>
      <c r="AA31" s="17"/>
      <c r="AB31" s="17"/>
      <c r="AC31" s="3" t="s">
        <v>883</v>
      </c>
      <c r="AD31" s="8" t="s">
        <v>106</v>
      </c>
      <c r="AE31" s="8"/>
      <c r="AF31" s="8"/>
      <c r="AG31" s="8"/>
    </row>
    <row r="32" spans="1:33" s="1" customFormat="1" ht="15" customHeight="1" x14ac:dyDescent="0.3">
      <c r="A32" s="8" t="s">
        <v>102</v>
      </c>
      <c r="B32" s="8" t="s">
        <v>73</v>
      </c>
      <c r="C32" s="8" t="s">
        <v>27</v>
      </c>
      <c r="D32" s="8" t="s">
        <v>74</v>
      </c>
      <c r="E32" s="8" t="s">
        <v>75</v>
      </c>
      <c r="F32" s="8" t="s">
        <v>76</v>
      </c>
      <c r="G32" s="14">
        <v>2012</v>
      </c>
      <c r="H32" s="8" t="s">
        <v>103</v>
      </c>
      <c r="I32" s="8">
        <v>45.41</v>
      </c>
      <c r="J32" s="8">
        <v>-75.52</v>
      </c>
      <c r="K32" s="14">
        <v>210</v>
      </c>
      <c r="L32" s="8" t="s">
        <v>79</v>
      </c>
      <c r="M32" s="8" t="s">
        <v>91</v>
      </c>
      <c r="N32" s="14"/>
      <c r="O32" s="8" t="s">
        <v>85</v>
      </c>
      <c r="P32" s="15" t="s">
        <v>97</v>
      </c>
      <c r="Q32" s="20">
        <f t="shared" si="4"/>
        <v>15.49145299145299</v>
      </c>
      <c r="R32" s="20"/>
      <c r="S32" s="17">
        <v>11.6</v>
      </c>
      <c r="T32" s="17" t="s">
        <v>104</v>
      </c>
      <c r="U32" s="17"/>
      <c r="V32" s="20">
        <f>W32/0.7488</f>
        <v>2.1768162393162389</v>
      </c>
      <c r="W32" s="17">
        <v>1.63</v>
      </c>
      <c r="X32" s="17" t="s">
        <v>105</v>
      </c>
      <c r="Y32" s="17"/>
      <c r="Z32" s="17"/>
      <c r="AA32" s="17"/>
      <c r="AB32" s="17"/>
      <c r="AC32" s="3" t="s">
        <v>883</v>
      </c>
      <c r="AD32" s="8" t="s">
        <v>106</v>
      </c>
      <c r="AE32" s="8"/>
      <c r="AF32" s="8"/>
      <c r="AG32" s="8"/>
    </row>
    <row r="33" spans="1:33" s="1" customFormat="1" ht="15" customHeight="1" x14ac:dyDescent="0.3">
      <c r="A33" s="8" t="s">
        <v>107</v>
      </c>
      <c r="B33" s="8" t="s">
        <v>27</v>
      </c>
      <c r="C33" s="8" t="s">
        <v>27</v>
      </c>
      <c r="D33" s="8" t="s">
        <v>28</v>
      </c>
      <c r="E33" s="8" t="s">
        <v>108</v>
      </c>
      <c r="F33" s="8" t="s">
        <v>76</v>
      </c>
      <c r="G33" s="14" t="s">
        <v>109</v>
      </c>
      <c r="H33" s="8" t="s">
        <v>110</v>
      </c>
      <c r="I33" s="3">
        <v>45.533333333333331</v>
      </c>
      <c r="J33" s="3">
        <v>-73.133333333333297</v>
      </c>
      <c r="K33" s="14">
        <v>214</v>
      </c>
      <c r="L33" s="8" t="s">
        <v>111</v>
      </c>
      <c r="M33" s="8" t="s">
        <v>112</v>
      </c>
      <c r="N33" s="14"/>
      <c r="O33" s="8" t="s">
        <v>36</v>
      </c>
      <c r="P33" s="15" t="s">
        <v>113</v>
      </c>
      <c r="Q33" s="6"/>
      <c r="R33" s="30">
        <f t="shared" ref="R33:R34" si="5">V33/K33*1000</f>
        <v>0.46728971962616822</v>
      </c>
      <c r="S33" s="6"/>
      <c r="T33" s="6"/>
      <c r="U33" s="6"/>
      <c r="V33" s="20">
        <v>0.1</v>
      </c>
      <c r="W33" s="8"/>
      <c r="X33" s="8" t="s">
        <v>114</v>
      </c>
      <c r="Y33" s="12" t="s">
        <v>115</v>
      </c>
      <c r="Z33" s="12">
        <f t="shared" ref="Z33:Z36" si="6">6.8/1000*(365-K33)</f>
        <v>1.0267999999999999</v>
      </c>
      <c r="AA33" s="12">
        <f>V33</f>
        <v>0.1</v>
      </c>
      <c r="AB33" s="12">
        <f>V33+Z33</f>
        <v>1.1268</v>
      </c>
      <c r="AC33" s="3" t="s">
        <v>881</v>
      </c>
      <c r="AD33" s="8"/>
      <c r="AE33" s="8"/>
      <c r="AF33" s="8"/>
      <c r="AG33" s="8"/>
    </row>
    <row r="34" spans="1:33" s="1" customFormat="1" ht="15" customHeight="1" x14ac:dyDescent="0.3">
      <c r="A34" s="8" t="s">
        <v>107</v>
      </c>
      <c r="B34" s="8" t="s">
        <v>27</v>
      </c>
      <c r="C34" s="8" t="s">
        <v>27</v>
      </c>
      <c r="D34" s="8" t="s">
        <v>28</v>
      </c>
      <c r="E34" s="8" t="s">
        <v>108</v>
      </c>
      <c r="F34" s="8" t="s">
        <v>76</v>
      </c>
      <c r="G34" s="14" t="s">
        <v>109</v>
      </c>
      <c r="H34" s="8" t="s">
        <v>110</v>
      </c>
      <c r="I34" s="3">
        <v>45.533333333333303</v>
      </c>
      <c r="J34" s="3">
        <v>-73.133333333333297</v>
      </c>
      <c r="K34" s="14">
        <v>214</v>
      </c>
      <c r="L34" s="8" t="s">
        <v>111</v>
      </c>
      <c r="M34" s="8" t="s">
        <v>116</v>
      </c>
      <c r="N34" s="14"/>
      <c r="O34" s="8" t="s">
        <v>36</v>
      </c>
      <c r="P34" s="15" t="s">
        <v>113</v>
      </c>
      <c r="Q34" s="6"/>
      <c r="R34" s="30">
        <f t="shared" si="5"/>
        <v>0.46728971962616822</v>
      </c>
      <c r="S34" s="6"/>
      <c r="T34" s="6"/>
      <c r="U34" s="6"/>
      <c r="V34" s="20">
        <v>0.1</v>
      </c>
      <c r="W34" s="8"/>
      <c r="X34" s="8" t="s">
        <v>114</v>
      </c>
      <c r="Y34" s="12" t="s">
        <v>115</v>
      </c>
      <c r="Z34" s="12">
        <f t="shared" si="6"/>
        <v>1.0267999999999999</v>
      </c>
      <c r="AA34" s="12">
        <f>V34</f>
        <v>0.1</v>
      </c>
      <c r="AB34" s="12">
        <f>V34+Z34</f>
        <v>1.1268</v>
      </c>
      <c r="AC34" s="3" t="s">
        <v>881</v>
      </c>
      <c r="AD34" s="8"/>
      <c r="AE34" s="8"/>
      <c r="AF34" s="8"/>
      <c r="AG34" s="8"/>
    </row>
    <row r="35" spans="1:33" s="13" customFormat="1" ht="15" customHeight="1" x14ac:dyDescent="0.3">
      <c r="A35" s="8" t="s">
        <v>84</v>
      </c>
      <c r="B35" s="8" t="s">
        <v>27</v>
      </c>
      <c r="C35" s="8" t="s">
        <v>27</v>
      </c>
      <c r="D35" s="8" t="s">
        <v>74</v>
      </c>
      <c r="E35" s="8" t="s">
        <v>117</v>
      </c>
      <c r="F35" s="8" t="s">
        <v>118</v>
      </c>
      <c r="G35" s="14" t="s">
        <v>119</v>
      </c>
      <c r="H35" s="8" t="s">
        <v>120</v>
      </c>
      <c r="I35" s="3">
        <v>52.7</v>
      </c>
      <c r="J35" s="3">
        <v>-83.9</v>
      </c>
      <c r="K35" s="14">
        <v>151</v>
      </c>
      <c r="L35" s="8" t="s">
        <v>121</v>
      </c>
      <c r="M35" s="8"/>
      <c r="N35" s="14"/>
      <c r="O35" s="8" t="s">
        <v>85</v>
      </c>
      <c r="P35" s="15"/>
      <c r="Q35" s="6">
        <v>16</v>
      </c>
      <c r="R35" s="6"/>
      <c r="S35" s="6"/>
      <c r="T35" s="6" t="s">
        <v>86</v>
      </c>
      <c r="U35" s="6"/>
      <c r="V35" s="20">
        <v>1.4</v>
      </c>
      <c r="W35" s="8"/>
      <c r="X35" s="8" t="s">
        <v>81</v>
      </c>
      <c r="Y35" s="11" t="s">
        <v>39</v>
      </c>
      <c r="Z35" s="12">
        <f t="shared" si="6"/>
        <v>1.4551999999999998</v>
      </c>
      <c r="AA35" s="12">
        <f>V35</f>
        <v>1.4</v>
      </c>
      <c r="AB35" s="12">
        <f>V35+Z35</f>
        <v>2.8552</v>
      </c>
      <c r="AC35" s="3" t="s">
        <v>881</v>
      </c>
      <c r="AD35" s="3"/>
      <c r="AE35" s="3"/>
      <c r="AF35" s="3"/>
      <c r="AG35" s="3"/>
    </row>
    <row r="36" spans="1:33" s="13" customFormat="1" ht="15" customHeight="1" x14ac:dyDescent="0.3">
      <c r="A36" s="8" t="s">
        <v>122</v>
      </c>
      <c r="B36" s="8" t="s">
        <v>27</v>
      </c>
      <c r="C36" s="8" t="s">
        <v>27</v>
      </c>
      <c r="D36" s="8" t="s">
        <v>74</v>
      </c>
      <c r="E36" s="8" t="s">
        <v>123</v>
      </c>
      <c r="F36" s="8" t="s">
        <v>118</v>
      </c>
      <c r="G36" s="14">
        <v>2012</v>
      </c>
      <c r="H36" s="8" t="s">
        <v>124</v>
      </c>
      <c r="I36" s="3">
        <v>53.674399999999999</v>
      </c>
      <c r="J36" s="3">
        <v>-78.170599999999993</v>
      </c>
      <c r="K36" s="14">
        <v>153</v>
      </c>
      <c r="L36" s="8"/>
      <c r="M36" s="8"/>
      <c r="N36" s="14"/>
      <c r="O36" s="8" t="s">
        <v>85</v>
      </c>
      <c r="P36" s="15"/>
      <c r="Q36" s="6">
        <v>49</v>
      </c>
      <c r="R36" s="6"/>
      <c r="S36" s="6"/>
      <c r="T36" s="6" t="s">
        <v>86</v>
      </c>
      <c r="U36" s="6"/>
      <c r="V36" s="20">
        <v>4.4000000000000004</v>
      </c>
      <c r="W36" s="8"/>
      <c r="X36" s="8" t="s">
        <v>81</v>
      </c>
      <c r="Y36" s="11" t="s">
        <v>39</v>
      </c>
      <c r="Z36" s="12">
        <f t="shared" si="6"/>
        <v>1.4416</v>
      </c>
      <c r="AA36" s="12">
        <f>V36</f>
        <v>4.4000000000000004</v>
      </c>
      <c r="AB36" s="12">
        <f>V36+Z36</f>
        <v>5.8416000000000006</v>
      </c>
      <c r="AC36" s="3" t="s">
        <v>881</v>
      </c>
      <c r="AD36" s="3"/>
      <c r="AE36" s="3"/>
      <c r="AF36" s="3"/>
      <c r="AG36" s="3"/>
    </row>
    <row r="37" spans="1:33" s="1" customFormat="1" ht="15" customHeight="1" x14ac:dyDescent="0.3">
      <c r="A37" s="3" t="s">
        <v>125</v>
      </c>
      <c r="B37" s="3" t="s">
        <v>27</v>
      </c>
      <c r="C37" s="8" t="s">
        <v>27</v>
      </c>
      <c r="D37" s="3" t="s">
        <v>74</v>
      </c>
      <c r="E37" s="3" t="s">
        <v>126</v>
      </c>
      <c r="F37" s="3" t="s">
        <v>118</v>
      </c>
      <c r="G37" s="2">
        <v>1990</v>
      </c>
      <c r="H37" s="3" t="s">
        <v>127</v>
      </c>
      <c r="I37" s="3">
        <v>51.49666666666667</v>
      </c>
      <c r="J37" s="3">
        <v>-81.6666666666667</v>
      </c>
      <c r="K37" s="14">
        <v>156</v>
      </c>
      <c r="L37" s="3" t="s">
        <v>128</v>
      </c>
      <c r="M37" s="3" t="s">
        <v>129</v>
      </c>
      <c r="N37" s="2"/>
      <c r="O37" s="3" t="s">
        <v>36</v>
      </c>
      <c r="P37" s="5" t="s">
        <v>130</v>
      </c>
      <c r="Q37" s="10">
        <f>AVERAGE(Q38:Q39)</f>
        <v>34.270000000000003</v>
      </c>
      <c r="R37" s="10"/>
      <c r="S37" s="10"/>
      <c r="T37" s="6" t="s">
        <v>86</v>
      </c>
      <c r="U37" s="7">
        <f>Q37*K37/1000</f>
        <v>5.3461200000000009</v>
      </c>
      <c r="V37" s="20"/>
      <c r="W37" s="3"/>
      <c r="X37" s="3"/>
      <c r="Y37" s="9" t="s">
        <v>39</v>
      </c>
      <c r="Z37" s="9">
        <f>6.8/1000*(365-K37)</f>
        <v>1.4212</v>
      </c>
      <c r="AA37" s="9">
        <f>U37</f>
        <v>5.3461200000000009</v>
      </c>
      <c r="AB37" s="9">
        <f>U37+Z37</f>
        <v>6.7673200000000007</v>
      </c>
      <c r="AC37" s="3" t="s">
        <v>881</v>
      </c>
      <c r="AD37" s="8" t="s">
        <v>131</v>
      </c>
      <c r="AE37" s="8"/>
      <c r="AF37" s="8"/>
      <c r="AG37" s="8"/>
    </row>
    <row r="38" spans="1:33" s="1" customFormat="1" ht="15" customHeight="1" x14ac:dyDescent="0.3">
      <c r="A38" s="3" t="s">
        <v>125</v>
      </c>
      <c r="B38" s="3" t="s">
        <v>27</v>
      </c>
      <c r="C38" s="8" t="s">
        <v>27</v>
      </c>
      <c r="D38" s="3" t="s">
        <v>74</v>
      </c>
      <c r="E38" s="3" t="s">
        <v>132</v>
      </c>
      <c r="F38" s="3" t="s">
        <v>118</v>
      </c>
      <c r="G38" s="2">
        <v>1990</v>
      </c>
      <c r="H38" s="3" t="s">
        <v>127</v>
      </c>
      <c r="I38" s="3">
        <v>51.49666666666667</v>
      </c>
      <c r="J38" s="3">
        <v>-81.6666666666667</v>
      </c>
      <c r="K38" s="14">
        <v>156</v>
      </c>
      <c r="L38" s="3" t="s">
        <v>128</v>
      </c>
      <c r="M38" s="3" t="s">
        <v>129</v>
      </c>
      <c r="N38" s="2"/>
      <c r="O38" s="3" t="s">
        <v>36</v>
      </c>
      <c r="P38" s="5" t="s">
        <v>130</v>
      </c>
      <c r="Q38" s="10">
        <v>13.180000000000001</v>
      </c>
      <c r="R38" s="10"/>
      <c r="S38" s="10"/>
      <c r="T38" s="6" t="s">
        <v>86</v>
      </c>
      <c r="U38" s="7"/>
      <c r="V38" s="20"/>
      <c r="W38" s="3"/>
      <c r="X38" s="3"/>
      <c r="Y38" s="3"/>
      <c r="Z38" s="3"/>
      <c r="AA38" s="3"/>
      <c r="AB38" s="3"/>
      <c r="AC38" s="8" t="s">
        <v>884</v>
      </c>
      <c r="AD38" s="8" t="s">
        <v>131</v>
      </c>
      <c r="AE38" s="8"/>
      <c r="AF38" s="8"/>
      <c r="AG38" s="8"/>
    </row>
    <row r="39" spans="1:33" s="1" customFormat="1" ht="15" customHeight="1" x14ac:dyDescent="0.3">
      <c r="A39" s="3" t="s">
        <v>125</v>
      </c>
      <c r="B39" s="3" t="s">
        <v>27</v>
      </c>
      <c r="C39" s="8" t="s">
        <v>27</v>
      </c>
      <c r="D39" s="3" t="s">
        <v>74</v>
      </c>
      <c r="E39" s="3" t="s">
        <v>133</v>
      </c>
      <c r="F39" s="3" t="s">
        <v>118</v>
      </c>
      <c r="G39" s="2">
        <v>1990</v>
      </c>
      <c r="H39" s="3" t="s">
        <v>127</v>
      </c>
      <c r="I39" s="3">
        <v>51.49666666666667</v>
      </c>
      <c r="J39" s="3">
        <v>-81.6666666666667</v>
      </c>
      <c r="K39" s="14">
        <v>156</v>
      </c>
      <c r="L39" s="3" t="s">
        <v>128</v>
      </c>
      <c r="M39" s="3" t="s">
        <v>129</v>
      </c>
      <c r="N39" s="2"/>
      <c r="O39" s="3" t="s">
        <v>36</v>
      </c>
      <c r="P39" s="5" t="s">
        <v>130</v>
      </c>
      <c r="Q39" s="10">
        <v>55.36</v>
      </c>
      <c r="R39" s="10"/>
      <c r="S39" s="10"/>
      <c r="T39" s="6" t="s">
        <v>86</v>
      </c>
      <c r="U39" s="7"/>
      <c r="V39" s="20"/>
      <c r="W39" s="3"/>
      <c r="X39" s="3"/>
      <c r="Y39" s="3"/>
      <c r="Z39" s="3"/>
      <c r="AA39" s="3"/>
      <c r="AB39" s="3"/>
      <c r="AC39" s="8" t="s">
        <v>884</v>
      </c>
      <c r="AD39" s="8" t="s">
        <v>131</v>
      </c>
      <c r="AE39" s="8"/>
      <c r="AF39" s="8"/>
      <c r="AG39" s="8"/>
    </row>
    <row r="40" spans="1:33" s="8" customFormat="1" ht="15" customHeight="1" x14ac:dyDescent="0.3">
      <c r="A40" s="3" t="s">
        <v>125</v>
      </c>
      <c r="B40" s="3" t="s">
        <v>27</v>
      </c>
      <c r="C40" s="8" t="s">
        <v>27</v>
      </c>
      <c r="D40" s="3" t="s">
        <v>74</v>
      </c>
      <c r="E40" s="3" t="s">
        <v>134</v>
      </c>
      <c r="F40" s="3" t="s">
        <v>118</v>
      </c>
      <c r="G40" s="2">
        <v>1990</v>
      </c>
      <c r="H40" s="3" t="s">
        <v>127</v>
      </c>
      <c r="I40" s="3">
        <v>51.55</v>
      </c>
      <c r="J40" s="3">
        <v>-81.825000000000003</v>
      </c>
      <c r="K40" s="14">
        <v>156</v>
      </c>
      <c r="L40" s="3" t="s">
        <v>135</v>
      </c>
      <c r="M40" s="3" t="s">
        <v>136</v>
      </c>
      <c r="N40" s="2"/>
      <c r="O40" s="3" t="s">
        <v>36</v>
      </c>
      <c r="P40" s="5" t="s">
        <v>137</v>
      </c>
      <c r="Q40" s="10">
        <v>87.83</v>
      </c>
      <c r="R40" s="10"/>
      <c r="S40" s="10"/>
      <c r="T40" s="6" t="s">
        <v>86</v>
      </c>
      <c r="U40" s="7">
        <f>Q40*K40/1000</f>
        <v>13.70148</v>
      </c>
      <c r="V40" s="20"/>
      <c r="W40" s="3"/>
      <c r="X40" s="3"/>
      <c r="Y40" s="9" t="s">
        <v>39</v>
      </c>
      <c r="Z40" s="9">
        <f>6.8/1000*(365-K40)</f>
        <v>1.4212</v>
      </c>
      <c r="AA40" s="9">
        <f>U40</f>
        <v>13.70148</v>
      </c>
      <c r="AB40" s="9">
        <f>U40+Z40</f>
        <v>15.122680000000001</v>
      </c>
      <c r="AC40" s="3" t="s">
        <v>881</v>
      </c>
      <c r="AD40" s="8" t="s">
        <v>131</v>
      </c>
    </row>
    <row r="41" spans="1:33" s="8" customFormat="1" ht="15" customHeight="1" x14ac:dyDescent="0.3">
      <c r="A41" s="3" t="s">
        <v>138</v>
      </c>
      <c r="B41" s="8" t="s">
        <v>27</v>
      </c>
      <c r="C41" s="8" t="s">
        <v>27</v>
      </c>
      <c r="D41" s="3" t="s">
        <v>74</v>
      </c>
      <c r="E41" s="8" t="s">
        <v>139</v>
      </c>
      <c r="F41" s="3" t="s">
        <v>118</v>
      </c>
      <c r="G41" s="2">
        <v>1990</v>
      </c>
      <c r="H41" s="8" t="s">
        <v>140</v>
      </c>
      <c r="I41" s="3">
        <v>51.56666666666667</v>
      </c>
      <c r="J41" s="3">
        <v>-81.8333333333333</v>
      </c>
      <c r="K41" s="14">
        <v>156</v>
      </c>
      <c r="L41" s="8" t="s">
        <v>141</v>
      </c>
      <c r="M41" s="8" t="s">
        <v>71</v>
      </c>
      <c r="N41" s="14"/>
      <c r="O41" s="3" t="s">
        <v>36</v>
      </c>
      <c r="P41" s="15" t="s">
        <v>142</v>
      </c>
      <c r="Q41" s="6"/>
      <c r="R41" s="30">
        <f t="shared" ref="R41:R48" si="7">V41/K41*1000</f>
        <v>2.9487179487179489</v>
      </c>
      <c r="S41" s="6"/>
      <c r="T41" s="6"/>
      <c r="U41" s="6"/>
      <c r="V41" s="20">
        <v>0.46</v>
      </c>
      <c r="X41" s="8" t="s">
        <v>81</v>
      </c>
      <c r="Y41" s="11" t="s">
        <v>39</v>
      </c>
      <c r="Z41" s="12">
        <f t="shared" ref="Z41:Z51" si="8">6.8/1000*(365-K41)</f>
        <v>1.4212</v>
      </c>
      <c r="AA41" s="12">
        <f t="shared" ref="AA41:AA51" si="9">V41</f>
        <v>0.46</v>
      </c>
      <c r="AB41" s="12">
        <f t="shared" ref="AB41:AB51" si="10">V41+Z41</f>
        <v>1.8812</v>
      </c>
      <c r="AC41" s="3" t="s">
        <v>881</v>
      </c>
    </row>
    <row r="42" spans="1:33" s="8" customFormat="1" ht="15" customHeight="1" x14ac:dyDescent="0.3">
      <c r="A42" s="3" t="s">
        <v>138</v>
      </c>
      <c r="B42" s="8" t="s">
        <v>27</v>
      </c>
      <c r="C42" s="8" t="s">
        <v>27</v>
      </c>
      <c r="D42" s="3" t="s">
        <v>74</v>
      </c>
      <c r="E42" s="8" t="s">
        <v>139</v>
      </c>
      <c r="F42" s="3" t="s">
        <v>118</v>
      </c>
      <c r="G42" s="2">
        <v>1990</v>
      </c>
      <c r="H42" s="8" t="s">
        <v>140</v>
      </c>
      <c r="I42" s="3">
        <v>51.56666666666667</v>
      </c>
      <c r="J42" s="3">
        <v>-81.8333333333333</v>
      </c>
      <c r="K42" s="14">
        <v>156</v>
      </c>
      <c r="L42" s="8" t="s">
        <v>141</v>
      </c>
      <c r="M42" s="8" t="s">
        <v>143</v>
      </c>
      <c r="N42" s="14"/>
      <c r="O42" s="3" t="s">
        <v>36</v>
      </c>
      <c r="P42" s="15" t="s">
        <v>144</v>
      </c>
      <c r="Q42" s="6"/>
      <c r="R42" s="30">
        <f t="shared" si="7"/>
        <v>2.3717948717948718</v>
      </c>
      <c r="S42" s="6"/>
      <c r="T42" s="6"/>
      <c r="U42" s="6"/>
      <c r="V42" s="20">
        <v>0.37</v>
      </c>
      <c r="X42" s="8" t="s">
        <v>81</v>
      </c>
      <c r="Y42" s="11" t="s">
        <v>39</v>
      </c>
      <c r="Z42" s="12">
        <f t="shared" si="8"/>
        <v>1.4212</v>
      </c>
      <c r="AA42" s="12">
        <f t="shared" si="9"/>
        <v>0.37</v>
      </c>
      <c r="AB42" s="12">
        <f t="shared" si="10"/>
        <v>1.7911999999999999</v>
      </c>
      <c r="AC42" s="3" t="s">
        <v>881</v>
      </c>
    </row>
    <row r="43" spans="1:33" s="8" customFormat="1" ht="15" customHeight="1" x14ac:dyDescent="0.3">
      <c r="A43" s="3" t="s">
        <v>138</v>
      </c>
      <c r="B43" s="8" t="s">
        <v>27</v>
      </c>
      <c r="C43" s="8" t="s">
        <v>27</v>
      </c>
      <c r="D43" s="3" t="s">
        <v>74</v>
      </c>
      <c r="E43" s="8" t="s">
        <v>145</v>
      </c>
      <c r="F43" s="3" t="s">
        <v>118</v>
      </c>
      <c r="G43" s="2">
        <v>1990</v>
      </c>
      <c r="H43" s="8" t="s">
        <v>140</v>
      </c>
      <c r="I43" s="3">
        <v>51.55</v>
      </c>
      <c r="J43" s="3">
        <v>-81.825000000000003</v>
      </c>
      <c r="K43" s="14">
        <v>156</v>
      </c>
      <c r="L43" s="8" t="s">
        <v>146</v>
      </c>
      <c r="M43" s="8" t="s">
        <v>147</v>
      </c>
      <c r="N43" s="14"/>
      <c r="O43" s="3" t="s">
        <v>36</v>
      </c>
      <c r="P43" s="15" t="s">
        <v>148</v>
      </c>
      <c r="Q43" s="6"/>
      <c r="R43" s="30">
        <f t="shared" si="7"/>
        <v>5.1923076923076925</v>
      </c>
      <c r="S43" s="6"/>
      <c r="T43" s="6"/>
      <c r="U43" s="6"/>
      <c r="V43" s="20">
        <v>0.81</v>
      </c>
      <c r="X43" s="8" t="s">
        <v>81</v>
      </c>
      <c r="Y43" s="11" t="s">
        <v>39</v>
      </c>
      <c r="Z43" s="12">
        <f t="shared" si="8"/>
        <v>1.4212</v>
      </c>
      <c r="AA43" s="12">
        <f t="shared" si="9"/>
        <v>0.81</v>
      </c>
      <c r="AB43" s="12">
        <f t="shared" si="10"/>
        <v>2.2312000000000003</v>
      </c>
      <c r="AC43" s="3" t="s">
        <v>881</v>
      </c>
    </row>
    <row r="44" spans="1:33" s="8" customFormat="1" ht="15" customHeight="1" x14ac:dyDescent="0.3">
      <c r="A44" s="3" t="s">
        <v>138</v>
      </c>
      <c r="B44" s="8" t="s">
        <v>27</v>
      </c>
      <c r="C44" s="8" t="s">
        <v>27</v>
      </c>
      <c r="D44" s="3" t="s">
        <v>74</v>
      </c>
      <c r="E44" s="8" t="s">
        <v>145</v>
      </c>
      <c r="F44" s="3" t="s">
        <v>118</v>
      </c>
      <c r="G44" s="2">
        <v>1990</v>
      </c>
      <c r="H44" s="8" t="s">
        <v>140</v>
      </c>
      <c r="I44" s="3">
        <v>51.55</v>
      </c>
      <c r="J44" s="3">
        <v>-81.825000000000003</v>
      </c>
      <c r="K44" s="14">
        <v>156</v>
      </c>
      <c r="L44" s="8" t="s">
        <v>141</v>
      </c>
      <c r="M44" s="8" t="s">
        <v>71</v>
      </c>
      <c r="N44" s="14"/>
      <c r="O44" s="3" t="s">
        <v>36</v>
      </c>
      <c r="P44" s="15" t="s">
        <v>149</v>
      </c>
      <c r="Q44" s="6"/>
      <c r="R44" s="30">
        <f t="shared" si="7"/>
        <v>6.7307692307692308</v>
      </c>
      <c r="S44" s="6"/>
      <c r="T44" s="6"/>
      <c r="U44" s="6"/>
      <c r="V44" s="20">
        <v>1.05</v>
      </c>
      <c r="X44" s="8" t="s">
        <v>81</v>
      </c>
      <c r="Y44" s="11" t="s">
        <v>39</v>
      </c>
      <c r="Z44" s="12">
        <f t="shared" si="8"/>
        <v>1.4212</v>
      </c>
      <c r="AA44" s="12">
        <f t="shared" si="9"/>
        <v>1.05</v>
      </c>
      <c r="AB44" s="12">
        <f t="shared" si="10"/>
        <v>2.4712000000000001</v>
      </c>
      <c r="AC44" s="3" t="s">
        <v>881</v>
      </c>
    </row>
    <row r="45" spans="1:33" s="8" customFormat="1" ht="15" customHeight="1" x14ac:dyDescent="0.3">
      <c r="A45" s="3" t="s">
        <v>138</v>
      </c>
      <c r="B45" s="8" t="s">
        <v>27</v>
      </c>
      <c r="C45" s="8" t="s">
        <v>27</v>
      </c>
      <c r="D45" s="3" t="s">
        <v>74</v>
      </c>
      <c r="E45" s="8" t="s">
        <v>145</v>
      </c>
      <c r="F45" s="3" t="s">
        <v>118</v>
      </c>
      <c r="G45" s="2">
        <v>1990</v>
      </c>
      <c r="H45" s="8" t="s">
        <v>140</v>
      </c>
      <c r="I45" s="3">
        <v>51.55</v>
      </c>
      <c r="J45" s="3">
        <v>-81.825000000000003</v>
      </c>
      <c r="K45" s="14">
        <v>156</v>
      </c>
      <c r="L45" s="8" t="s">
        <v>141</v>
      </c>
      <c r="M45" s="8" t="s">
        <v>143</v>
      </c>
      <c r="N45" s="14"/>
      <c r="O45" s="3" t="s">
        <v>36</v>
      </c>
      <c r="P45" s="15" t="s">
        <v>144</v>
      </c>
      <c r="Q45" s="6"/>
      <c r="R45" s="30">
        <f t="shared" si="7"/>
        <v>12.820512820512819</v>
      </c>
      <c r="S45" s="6"/>
      <c r="T45" s="6"/>
      <c r="U45" s="6"/>
      <c r="V45" s="20">
        <v>2</v>
      </c>
      <c r="X45" s="8" t="s">
        <v>81</v>
      </c>
      <c r="Y45" s="11" t="s">
        <v>39</v>
      </c>
      <c r="Z45" s="12">
        <f t="shared" si="8"/>
        <v>1.4212</v>
      </c>
      <c r="AA45" s="12">
        <f t="shared" si="9"/>
        <v>2</v>
      </c>
      <c r="AB45" s="12">
        <f t="shared" si="10"/>
        <v>3.4211999999999998</v>
      </c>
      <c r="AC45" s="3" t="s">
        <v>881</v>
      </c>
    </row>
    <row r="46" spans="1:33" s="8" customFormat="1" ht="15" customHeight="1" x14ac:dyDescent="0.3">
      <c r="A46" s="3" t="s">
        <v>138</v>
      </c>
      <c r="B46" s="8" t="s">
        <v>27</v>
      </c>
      <c r="C46" s="8" t="s">
        <v>27</v>
      </c>
      <c r="D46" s="3" t="s">
        <v>74</v>
      </c>
      <c r="E46" s="8" t="s">
        <v>145</v>
      </c>
      <c r="F46" s="3" t="s">
        <v>118</v>
      </c>
      <c r="G46" s="2">
        <v>1990</v>
      </c>
      <c r="H46" s="8" t="s">
        <v>140</v>
      </c>
      <c r="I46" s="3">
        <v>51.55</v>
      </c>
      <c r="J46" s="3">
        <v>-81.825000000000003</v>
      </c>
      <c r="K46" s="14">
        <v>156</v>
      </c>
      <c r="L46" s="8" t="s">
        <v>150</v>
      </c>
      <c r="M46" s="8" t="s">
        <v>151</v>
      </c>
      <c r="N46" s="14"/>
      <c r="O46" s="3" t="s">
        <v>36</v>
      </c>
      <c r="P46" s="15" t="s">
        <v>152</v>
      </c>
      <c r="Q46" s="6"/>
      <c r="R46" s="30">
        <f t="shared" si="7"/>
        <v>26.410256410256412</v>
      </c>
      <c r="S46" s="6"/>
      <c r="T46" s="6"/>
      <c r="U46" s="6"/>
      <c r="V46" s="20">
        <v>4.12</v>
      </c>
      <c r="X46" s="8" t="s">
        <v>81</v>
      </c>
      <c r="Y46" s="11" t="s">
        <v>39</v>
      </c>
      <c r="Z46" s="12">
        <f t="shared" si="8"/>
        <v>1.4212</v>
      </c>
      <c r="AA46" s="12">
        <f t="shared" si="9"/>
        <v>4.12</v>
      </c>
      <c r="AB46" s="12">
        <f t="shared" si="10"/>
        <v>5.5411999999999999</v>
      </c>
      <c r="AC46" s="3" t="s">
        <v>881</v>
      </c>
    </row>
    <row r="47" spans="1:33" s="1" customFormat="1" ht="15" customHeight="1" x14ac:dyDescent="0.3">
      <c r="A47" s="3" t="s">
        <v>138</v>
      </c>
      <c r="B47" s="8" t="s">
        <v>27</v>
      </c>
      <c r="C47" s="8" t="s">
        <v>27</v>
      </c>
      <c r="D47" s="3" t="s">
        <v>74</v>
      </c>
      <c r="E47" s="8" t="s">
        <v>145</v>
      </c>
      <c r="F47" s="3" t="s">
        <v>118</v>
      </c>
      <c r="G47" s="2">
        <v>1990</v>
      </c>
      <c r="H47" s="8" t="s">
        <v>140</v>
      </c>
      <c r="I47" s="3">
        <v>51.55</v>
      </c>
      <c r="J47" s="3">
        <v>-81.825000000000003</v>
      </c>
      <c r="K47" s="14">
        <v>156</v>
      </c>
      <c r="L47" s="8" t="s">
        <v>153</v>
      </c>
      <c r="M47" s="8" t="s">
        <v>151</v>
      </c>
      <c r="N47" s="14"/>
      <c r="O47" s="3" t="s">
        <v>36</v>
      </c>
      <c r="P47" s="15" t="s">
        <v>154</v>
      </c>
      <c r="Q47" s="6"/>
      <c r="R47" s="30">
        <f t="shared" si="7"/>
        <v>87.307692307692307</v>
      </c>
      <c r="S47" s="6"/>
      <c r="T47" s="6"/>
      <c r="U47" s="6"/>
      <c r="V47" s="20">
        <v>13.62</v>
      </c>
      <c r="W47" s="8"/>
      <c r="X47" s="8" t="s">
        <v>81</v>
      </c>
      <c r="Y47" s="11" t="s">
        <v>39</v>
      </c>
      <c r="Z47" s="12">
        <f t="shared" si="8"/>
        <v>1.4212</v>
      </c>
      <c r="AA47" s="12">
        <f t="shared" si="9"/>
        <v>13.62</v>
      </c>
      <c r="AB47" s="12">
        <f t="shared" si="10"/>
        <v>15.0412</v>
      </c>
      <c r="AC47" s="3" t="s">
        <v>881</v>
      </c>
      <c r="AD47" s="8"/>
      <c r="AE47" s="8"/>
      <c r="AF47" s="8"/>
      <c r="AG47" s="8"/>
    </row>
    <row r="48" spans="1:33" s="1" customFormat="1" ht="15" customHeight="1" x14ac:dyDescent="0.3">
      <c r="A48" s="3" t="s">
        <v>138</v>
      </c>
      <c r="B48" s="8" t="s">
        <v>27</v>
      </c>
      <c r="C48" s="8" t="s">
        <v>27</v>
      </c>
      <c r="D48" s="3" t="s">
        <v>74</v>
      </c>
      <c r="E48" s="8" t="s">
        <v>145</v>
      </c>
      <c r="F48" s="3" t="s">
        <v>118</v>
      </c>
      <c r="G48" s="2">
        <v>1990</v>
      </c>
      <c r="H48" s="8" t="s">
        <v>140</v>
      </c>
      <c r="I48" s="3">
        <v>51.55</v>
      </c>
      <c r="J48" s="3">
        <v>-81.825000000000003</v>
      </c>
      <c r="K48" s="14">
        <v>156</v>
      </c>
      <c r="L48" s="8" t="s">
        <v>155</v>
      </c>
      <c r="M48" s="8" t="s">
        <v>156</v>
      </c>
      <c r="N48" s="14"/>
      <c r="O48" s="3" t="s">
        <v>36</v>
      </c>
      <c r="P48" s="15" t="s">
        <v>157</v>
      </c>
      <c r="Q48" s="6"/>
      <c r="R48" s="30">
        <f t="shared" si="7"/>
        <v>45.705128205128204</v>
      </c>
      <c r="S48" s="6"/>
      <c r="T48" s="6"/>
      <c r="U48" s="6"/>
      <c r="V48" s="20">
        <v>7.13</v>
      </c>
      <c r="W48" s="8"/>
      <c r="X48" s="8" t="s">
        <v>81</v>
      </c>
      <c r="Y48" s="11" t="s">
        <v>39</v>
      </c>
      <c r="Z48" s="12">
        <f t="shared" si="8"/>
        <v>1.4212</v>
      </c>
      <c r="AA48" s="12">
        <f t="shared" si="9"/>
        <v>7.13</v>
      </c>
      <c r="AB48" s="12">
        <f t="shared" si="10"/>
        <v>8.5511999999999997</v>
      </c>
      <c r="AC48" s="3" t="s">
        <v>881</v>
      </c>
      <c r="AD48" s="8"/>
      <c r="AE48" s="8"/>
      <c r="AF48" s="8"/>
      <c r="AG48" s="8"/>
    </row>
    <row r="49" spans="1:33" s="1" customFormat="1" ht="15" customHeight="1" x14ac:dyDescent="0.3">
      <c r="A49" s="32" t="s">
        <v>158</v>
      </c>
      <c r="B49" s="8" t="s">
        <v>27</v>
      </c>
      <c r="C49" s="8" t="s">
        <v>27</v>
      </c>
      <c r="D49" s="8" t="s">
        <v>74</v>
      </c>
      <c r="E49" s="8" t="s">
        <v>159</v>
      </c>
      <c r="F49" s="8" t="s">
        <v>118</v>
      </c>
      <c r="G49" s="14">
        <v>1990</v>
      </c>
      <c r="H49" s="8" t="s">
        <v>140</v>
      </c>
      <c r="I49" s="8">
        <v>51</v>
      </c>
      <c r="J49" s="8">
        <v>-80.5</v>
      </c>
      <c r="K49" s="14">
        <v>163</v>
      </c>
      <c r="L49" s="8" t="s">
        <v>121</v>
      </c>
      <c r="M49" s="8" t="s">
        <v>160</v>
      </c>
      <c r="N49" s="14"/>
      <c r="O49" s="8" t="s">
        <v>36</v>
      </c>
      <c r="P49" s="15" t="s">
        <v>161</v>
      </c>
      <c r="Q49" s="6">
        <v>53.5</v>
      </c>
      <c r="R49" s="6"/>
      <c r="S49" s="6"/>
      <c r="T49" s="10" t="s">
        <v>86</v>
      </c>
      <c r="U49" s="10"/>
      <c r="V49" s="38">
        <v>4.62</v>
      </c>
      <c r="W49" s="16"/>
      <c r="X49" s="8" t="s">
        <v>81</v>
      </c>
      <c r="Y49" s="11" t="s">
        <v>39</v>
      </c>
      <c r="Z49" s="12">
        <f t="shared" si="8"/>
        <v>1.3735999999999999</v>
      </c>
      <c r="AA49" s="12">
        <f t="shared" si="9"/>
        <v>4.62</v>
      </c>
      <c r="AB49" s="12">
        <f t="shared" si="10"/>
        <v>5.9935999999999998</v>
      </c>
      <c r="AC49" s="3" t="s">
        <v>881</v>
      </c>
      <c r="AD49" s="8"/>
      <c r="AE49" s="8"/>
      <c r="AF49" s="8"/>
      <c r="AG49" s="8"/>
    </row>
    <row r="50" spans="1:33" s="1" customFormat="1" ht="15" customHeight="1" x14ac:dyDescent="0.3">
      <c r="A50" s="32" t="s">
        <v>158</v>
      </c>
      <c r="B50" s="8" t="s">
        <v>27</v>
      </c>
      <c r="C50" s="8" t="s">
        <v>27</v>
      </c>
      <c r="D50" s="8" t="s">
        <v>74</v>
      </c>
      <c r="E50" s="8" t="s">
        <v>159</v>
      </c>
      <c r="F50" s="8" t="s">
        <v>118</v>
      </c>
      <c r="G50" s="14">
        <v>1990</v>
      </c>
      <c r="H50" s="8" t="s">
        <v>140</v>
      </c>
      <c r="I50" s="8">
        <v>51</v>
      </c>
      <c r="J50" s="8">
        <v>-80.5</v>
      </c>
      <c r="K50" s="14">
        <v>163</v>
      </c>
      <c r="L50" s="8" t="s">
        <v>162</v>
      </c>
      <c r="M50" s="8"/>
      <c r="N50" s="14"/>
      <c r="O50" s="8" t="s">
        <v>36</v>
      </c>
      <c r="P50" s="15" t="s">
        <v>161</v>
      </c>
      <c r="Q50" s="6">
        <v>1.8</v>
      </c>
      <c r="R50" s="6"/>
      <c r="S50" s="6"/>
      <c r="T50" s="10" t="s">
        <v>86</v>
      </c>
      <c r="U50" s="10"/>
      <c r="V50" s="20">
        <v>0.17</v>
      </c>
      <c r="W50" s="8"/>
      <c r="X50" s="8" t="s">
        <v>81</v>
      </c>
      <c r="Y50" s="11" t="s">
        <v>39</v>
      </c>
      <c r="Z50" s="12">
        <f t="shared" si="8"/>
        <v>1.3735999999999999</v>
      </c>
      <c r="AA50" s="12">
        <f t="shared" si="9"/>
        <v>0.17</v>
      </c>
      <c r="AB50" s="12">
        <f t="shared" si="10"/>
        <v>1.5435999999999999</v>
      </c>
      <c r="AC50" s="3" t="s">
        <v>881</v>
      </c>
      <c r="AD50" s="8"/>
      <c r="AE50" s="8"/>
      <c r="AF50" s="8"/>
      <c r="AG50" s="8"/>
    </row>
    <row r="51" spans="1:33" s="13" customFormat="1" ht="15" customHeight="1" x14ac:dyDescent="0.3">
      <c r="A51" s="39" t="s">
        <v>163</v>
      </c>
      <c r="B51" s="8" t="s">
        <v>27</v>
      </c>
      <c r="C51" s="8" t="s">
        <v>27</v>
      </c>
      <c r="D51" s="3" t="s">
        <v>164</v>
      </c>
      <c r="E51" s="3" t="s">
        <v>165</v>
      </c>
      <c r="F51" s="3" t="s">
        <v>118</v>
      </c>
      <c r="G51" s="2" t="s">
        <v>166</v>
      </c>
      <c r="H51" s="3" t="s">
        <v>167</v>
      </c>
      <c r="I51" s="8">
        <v>58</v>
      </c>
      <c r="J51" s="8">
        <v>-94</v>
      </c>
      <c r="K51" s="14">
        <v>126</v>
      </c>
      <c r="L51" s="3" t="s">
        <v>168</v>
      </c>
      <c r="M51" s="3"/>
      <c r="N51" s="2"/>
      <c r="O51" s="3" t="s">
        <v>36</v>
      </c>
      <c r="P51" s="5" t="s">
        <v>169</v>
      </c>
      <c r="Q51" s="10">
        <f>AVERAGE(Q52:Q53)</f>
        <v>0.1</v>
      </c>
      <c r="R51" s="10"/>
      <c r="S51" s="10"/>
      <c r="T51" s="10" t="s">
        <v>86</v>
      </c>
      <c r="U51" s="10"/>
      <c r="V51" s="20">
        <f>AVERAGE(V52:V53)</f>
        <v>0.01</v>
      </c>
      <c r="W51" s="17"/>
      <c r="X51" s="8" t="s">
        <v>81</v>
      </c>
      <c r="Y51" s="11" t="s">
        <v>39</v>
      </c>
      <c r="Z51" s="12">
        <f t="shared" si="8"/>
        <v>1.6252</v>
      </c>
      <c r="AA51" s="12">
        <f t="shared" si="9"/>
        <v>0.01</v>
      </c>
      <c r="AB51" s="12">
        <f t="shared" si="10"/>
        <v>1.6352</v>
      </c>
      <c r="AC51" s="3" t="s">
        <v>881</v>
      </c>
      <c r="AD51" s="3"/>
      <c r="AE51" s="3"/>
      <c r="AF51" s="3"/>
      <c r="AG51" s="3"/>
    </row>
    <row r="52" spans="1:33" s="13" customFormat="1" ht="15" customHeight="1" x14ac:dyDescent="0.3">
      <c r="A52" s="39" t="s">
        <v>163</v>
      </c>
      <c r="B52" s="8" t="s">
        <v>27</v>
      </c>
      <c r="C52" s="8" t="s">
        <v>27</v>
      </c>
      <c r="D52" s="3" t="s">
        <v>164</v>
      </c>
      <c r="E52" s="3" t="s">
        <v>165</v>
      </c>
      <c r="F52" s="3" t="s">
        <v>118</v>
      </c>
      <c r="G52" s="2">
        <v>1989</v>
      </c>
      <c r="H52" s="3" t="s">
        <v>170</v>
      </c>
      <c r="I52" s="8">
        <v>58</v>
      </c>
      <c r="J52" s="8">
        <v>-94</v>
      </c>
      <c r="K52" s="14">
        <v>126</v>
      </c>
      <c r="L52" s="3" t="s">
        <v>168</v>
      </c>
      <c r="M52" s="3"/>
      <c r="N52" s="2"/>
      <c r="O52" s="3" t="s">
        <v>36</v>
      </c>
      <c r="P52" s="5" t="s">
        <v>169</v>
      </c>
      <c r="Q52" s="10">
        <v>0</v>
      </c>
      <c r="R52" s="10"/>
      <c r="S52" s="10"/>
      <c r="T52" s="10" t="s">
        <v>86</v>
      </c>
      <c r="U52" s="10"/>
      <c r="V52" s="20">
        <v>0</v>
      </c>
      <c r="W52" s="17"/>
      <c r="X52" s="8" t="s">
        <v>81</v>
      </c>
      <c r="Y52" s="17"/>
      <c r="Z52" s="17"/>
      <c r="AA52" s="17"/>
      <c r="AB52" s="17"/>
      <c r="AC52" s="8" t="s">
        <v>884</v>
      </c>
      <c r="AD52" s="3"/>
      <c r="AE52" s="3"/>
      <c r="AF52" s="3"/>
      <c r="AG52" s="3"/>
    </row>
    <row r="53" spans="1:33" s="1" customFormat="1" ht="15" customHeight="1" x14ac:dyDescent="0.3">
      <c r="A53" s="39" t="s">
        <v>163</v>
      </c>
      <c r="B53" s="8" t="s">
        <v>27</v>
      </c>
      <c r="C53" s="8" t="s">
        <v>27</v>
      </c>
      <c r="D53" s="8" t="s">
        <v>164</v>
      </c>
      <c r="E53" s="8" t="s">
        <v>165</v>
      </c>
      <c r="F53" s="8" t="s">
        <v>118</v>
      </c>
      <c r="G53" s="14">
        <v>1990</v>
      </c>
      <c r="H53" s="8" t="s">
        <v>171</v>
      </c>
      <c r="I53" s="8">
        <v>58</v>
      </c>
      <c r="J53" s="8">
        <v>-94</v>
      </c>
      <c r="K53" s="14">
        <v>126</v>
      </c>
      <c r="L53" s="3" t="s">
        <v>168</v>
      </c>
      <c r="M53" s="8"/>
      <c r="N53" s="14"/>
      <c r="O53" s="8" t="s">
        <v>36</v>
      </c>
      <c r="P53" s="15"/>
      <c r="Q53" s="6">
        <v>0.2</v>
      </c>
      <c r="R53" s="6"/>
      <c r="S53" s="6"/>
      <c r="T53" s="10" t="s">
        <v>86</v>
      </c>
      <c r="U53" s="10"/>
      <c r="V53" s="38">
        <v>0.02</v>
      </c>
      <c r="W53" s="16"/>
      <c r="X53" s="8" t="s">
        <v>81</v>
      </c>
      <c r="Y53" s="11"/>
      <c r="Z53" s="12"/>
      <c r="AA53" s="12"/>
      <c r="AB53" s="12"/>
      <c r="AC53" s="8" t="s">
        <v>884</v>
      </c>
      <c r="AD53" s="8"/>
      <c r="AE53" s="8"/>
      <c r="AF53" s="8"/>
      <c r="AG53" s="8"/>
    </row>
    <row r="54" spans="1:33" s="1" customFormat="1" ht="15" customHeight="1" x14ac:dyDescent="0.3">
      <c r="A54" s="32" t="s">
        <v>172</v>
      </c>
      <c r="B54" s="8" t="s">
        <v>27</v>
      </c>
      <c r="C54" s="8" t="s">
        <v>27</v>
      </c>
      <c r="D54" s="20" t="s">
        <v>173</v>
      </c>
      <c r="E54" s="20" t="s">
        <v>174</v>
      </c>
      <c r="F54" s="8" t="s">
        <v>175</v>
      </c>
      <c r="G54" s="23" t="s">
        <v>176</v>
      </c>
      <c r="H54" s="20" t="s">
        <v>177</v>
      </c>
      <c r="I54" s="3">
        <v>55.85</v>
      </c>
      <c r="J54" s="3">
        <v>-107.683333333333</v>
      </c>
      <c r="K54" s="14">
        <v>165</v>
      </c>
      <c r="L54" s="8" t="s">
        <v>178</v>
      </c>
      <c r="M54" s="8"/>
      <c r="N54" s="14"/>
      <c r="O54" s="8" t="s">
        <v>36</v>
      </c>
      <c r="P54" s="15" t="s">
        <v>179</v>
      </c>
      <c r="Q54" s="20">
        <f>S54/1000*16.04</f>
        <v>3.7693999999999998E-2</v>
      </c>
      <c r="R54" s="20"/>
      <c r="S54" s="17">
        <v>2.35</v>
      </c>
      <c r="T54" s="22" t="s">
        <v>180</v>
      </c>
      <c r="U54" s="7">
        <f>Q54*K54/1000</f>
        <v>6.2195099999999993E-3</v>
      </c>
      <c r="V54" s="20"/>
      <c r="W54" s="17"/>
      <c r="X54" s="17"/>
      <c r="Y54" s="9" t="s">
        <v>39</v>
      </c>
      <c r="Z54" s="9">
        <f t="shared" ref="Z54:Z55" si="11">6.8/1000*(365-K54)</f>
        <v>1.3599999999999999</v>
      </c>
      <c r="AA54" s="9">
        <f>U54</f>
        <v>6.2195099999999993E-3</v>
      </c>
      <c r="AB54" s="9">
        <f>U54+Z54</f>
        <v>1.3662195099999999</v>
      </c>
      <c r="AC54" s="3" t="s">
        <v>881</v>
      </c>
      <c r="AD54" s="8"/>
      <c r="AE54" s="8"/>
      <c r="AF54" s="8"/>
      <c r="AG54" s="8"/>
    </row>
    <row r="55" spans="1:33" s="1" customFormat="1" ht="15" customHeight="1" x14ac:dyDescent="0.3">
      <c r="A55" s="32" t="s">
        <v>181</v>
      </c>
      <c r="B55" s="8" t="s">
        <v>27</v>
      </c>
      <c r="C55" s="8" t="s">
        <v>27</v>
      </c>
      <c r="D55" s="8" t="s">
        <v>182</v>
      </c>
      <c r="E55" s="8" t="s">
        <v>174</v>
      </c>
      <c r="F55" s="8" t="s">
        <v>175</v>
      </c>
      <c r="G55" s="14" t="s">
        <v>183</v>
      </c>
      <c r="H55" s="8" t="s">
        <v>184</v>
      </c>
      <c r="I55" s="3">
        <v>54.116666666666667</v>
      </c>
      <c r="J55" s="3">
        <v>-107.683333333333</v>
      </c>
      <c r="K55" s="14">
        <v>165</v>
      </c>
      <c r="L55" s="8" t="s">
        <v>185</v>
      </c>
      <c r="M55" s="8" t="s">
        <v>186</v>
      </c>
      <c r="N55" s="14"/>
      <c r="O55" s="8" t="s">
        <v>36</v>
      </c>
      <c r="P55" s="15" t="s">
        <v>187</v>
      </c>
      <c r="Q55" s="20">
        <f>S55*16.04</f>
        <v>6.4160000000000004</v>
      </c>
      <c r="R55" s="20"/>
      <c r="S55" s="22">
        <v>0.4</v>
      </c>
      <c r="T55" s="22" t="s">
        <v>188</v>
      </c>
      <c r="U55" s="7">
        <f>Q55*K55/1000</f>
        <v>1.05864</v>
      </c>
      <c r="V55" s="20"/>
      <c r="W55" s="17"/>
      <c r="X55" s="8"/>
      <c r="Y55" s="9" t="s">
        <v>39</v>
      </c>
      <c r="Z55" s="9">
        <f t="shared" si="11"/>
        <v>1.3599999999999999</v>
      </c>
      <c r="AA55" s="9">
        <f>U55</f>
        <v>1.05864</v>
      </c>
      <c r="AB55" s="9">
        <f>U55+Z55</f>
        <v>2.4186399999999999</v>
      </c>
      <c r="AC55" s="3" t="s">
        <v>881</v>
      </c>
      <c r="AD55" s="8"/>
      <c r="AE55" s="8"/>
      <c r="AF55" s="8"/>
      <c r="AG55" s="8"/>
    </row>
    <row r="56" spans="1:33" s="1" customFormat="1" ht="15" customHeight="1" x14ac:dyDescent="0.3">
      <c r="A56" s="8" t="s">
        <v>189</v>
      </c>
      <c r="B56" s="8" t="s">
        <v>27</v>
      </c>
      <c r="C56" s="8" t="s">
        <v>27</v>
      </c>
      <c r="D56" s="8" t="s">
        <v>190</v>
      </c>
      <c r="E56" s="8" t="s">
        <v>191</v>
      </c>
      <c r="F56" s="8" t="s">
        <v>175</v>
      </c>
      <c r="G56" s="14">
        <v>1989</v>
      </c>
      <c r="H56" s="8" t="s">
        <v>192</v>
      </c>
      <c r="I56" s="3">
        <v>54.68333333333333</v>
      </c>
      <c r="J56" s="3">
        <v>-113.466666666667</v>
      </c>
      <c r="K56" s="14">
        <v>168</v>
      </c>
      <c r="L56" s="8" t="s">
        <v>193</v>
      </c>
      <c r="M56" s="8" t="s">
        <v>194</v>
      </c>
      <c r="N56" s="14"/>
      <c r="O56" s="8" t="s">
        <v>36</v>
      </c>
      <c r="P56" s="15" t="s">
        <v>195</v>
      </c>
      <c r="Q56" s="6">
        <v>0</v>
      </c>
      <c r="R56" s="6"/>
      <c r="S56" s="6"/>
      <c r="T56" s="6" t="s">
        <v>86</v>
      </c>
      <c r="U56" s="6"/>
      <c r="V56" s="20">
        <f>W56/1000</f>
        <v>0</v>
      </c>
      <c r="W56" s="17">
        <v>0</v>
      </c>
      <c r="X56" s="17" t="s">
        <v>196</v>
      </c>
      <c r="Y56" s="26" t="s">
        <v>54</v>
      </c>
      <c r="Z56" s="26"/>
      <c r="AA56" s="12"/>
      <c r="AB56" s="26">
        <f>V56</f>
        <v>0</v>
      </c>
      <c r="AC56" s="3" t="s">
        <v>881</v>
      </c>
      <c r="AD56" s="8" t="s">
        <v>197</v>
      </c>
      <c r="AE56" s="8"/>
      <c r="AF56" s="8"/>
      <c r="AG56" s="8"/>
    </row>
    <row r="57" spans="1:33" s="1" customFormat="1" ht="15" customHeight="1" x14ac:dyDescent="0.3">
      <c r="A57" s="8" t="s">
        <v>198</v>
      </c>
      <c r="B57" s="8" t="s">
        <v>27</v>
      </c>
      <c r="C57" s="8" t="s">
        <v>27</v>
      </c>
      <c r="D57" s="8" t="s">
        <v>74</v>
      </c>
      <c r="E57" s="8" t="s">
        <v>199</v>
      </c>
      <c r="F57" s="8" t="s">
        <v>200</v>
      </c>
      <c r="G57" s="14">
        <v>1991</v>
      </c>
      <c r="H57" s="8" t="s">
        <v>192</v>
      </c>
      <c r="I57" s="8">
        <v>49</v>
      </c>
      <c r="J57" s="8">
        <v>-80</v>
      </c>
      <c r="K57" s="14">
        <v>165</v>
      </c>
      <c r="L57" s="8" t="s">
        <v>201</v>
      </c>
      <c r="M57" s="8" t="s">
        <v>71</v>
      </c>
      <c r="N57" s="14"/>
      <c r="O57" s="15" t="s">
        <v>36</v>
      </c>
      <c r="P57" s="15" t="s">
        <v>202</v>
      </c>
      <c r="Q57" s="10">
        <v>2.83</v>
      </c>
      <c r="R57" s="10"/>
      <c r="S57" s="10"/>
      <c r="T57" s="6" t="s">
        <v>86</v>
      </c>
      <c r="U57" s="7">
        <f t="shared" ref="U57:U77" si="12">Q57*K57/1000</f>
        <v>0.46694999999999998</v>
      </c>
      <c r="V57" s="20"/>
      <c r="W57" s="8"/>
      <c r="X57" s="8"/>
      <c r="Y57" s="9" t="s">
        <v>39</v>
      </c>
      <c r="Z57" s="9">
        <f t="shared" ref="Z57:Z84" si="13">6.8/1000*(365-K57)</f>
        <v>1.3599999999999999</v>
      </c>
      <c r="AA57" s="9">
        <f t="shared" ref="AA57:AA77" si="14">U57</f>
        <v>0.46694999999999998</v>
      </c>
      <c r="AB57" s="9">
        <f t="shared" ref="AB57:AB77" si="15">U57+Z57</f>
        <v>1.8269499999999999</v>
      </c>
      <c r="AC57" s="3" t="s">
        <v>881</v>
      </c>
      <c r="AD57" s="8" t="s">
        <v>203</v>
      </c>
      <c r="AE57" s="8"/>
      <c r="AF57" s="8"/>
      <c r="AG57" s="8"/>
    </row>
    <row r="58" spans="1:33" s="1" customFormat="1" ht="15" customHeight="1" x14ac:dyDescent="0.3">
      <c r="A58" s="8" t="s">
        <v>198</v>
      </c>
      <c r="B58" s="8" t="s">
        <v>27</v>
      </c>
      <c r="C58" s="8" t="s">
        <v>27</v>
      </c>
      <c r="D58" s="8" t="s">
        <v>74</v>
      </c>
      <c r="E58" s="8" t="s">
        <v>199</v>
      </c>
      <c r="F58" s="8" t="s">
        <v>200</v>
      </c>
      <c r="G58" s="14">
        <v>1991</v>
      </c>
      <c r="H58" s="8" t="s">
        <v>192</v>
      </c>
      <c r="I58" s="8">
        <v>49</v>
      </c>
      <c r="J58" s="8">
        <v>-80</v>
      </c>
      <c r="K58" s="14">
        <v>165</v>
      </c>
      <c r="L58" s="8" t="s">
        <v>201</v>
      </c>
      <c r="M58" s="8" t="s">
        <v>143</v>
      </c>
      <c r="N58" s="14"/>
      <c r="O58" s="15" t="s">
        <v>36</v>
      </c>
      <c r="P58" s="15" t="s">
        <v>204</v>
      </c>
      <c r="Q58" s="19">
        <f>AVERAGE(5.3,11.1)</f>
        <v>8.1999999999999993</v>
      </c>
      <c r="R58" s="19"/>
      <c r="S58" s="19"/>
      <c r="T58" s="6" t="s">
        <v>86</v>
      </c>
      <c r="U58" s="7">
        <f t="shared" si="12"/>
        <v>1.3529999999999998</v>
      </c>
      <c r="V58" s="20"/>
      <c r="W58" s="8"/>
      <c r="X58" s="8"/>
      <c r="Y58" s="9" t="s">
        <v>39</v>
      </c>
      <c r="Z58" s="9">
        <f t="shared" si="13"/>
        <v>1.3599999999999999</v>
      </c>
      <c r="AA58" s="9">
        <f t="shared" si="14"/>
        <v>1.3529999999999998</v>
      </c>
      <c r="AB58" s="9">
        <f t="shared" si="15"/>
        <v>2.7129999999999996</v>
      </c>
      <c r="AC58" s="3" t="s">
        <v>881</v>
      </c>
      <c r="AD58" s="8"/>
      <c r="AE58" s="8"/>
      <c r="AF58" s="8"/>
      <c r="AG58" s="8"/>
    </row>
    <row r="59" spans="1:33" s="1" customFormat="1" ht="15" customHeight="1" x14ac:dyDescent="0.3">
      <c r="A59" s="8" t="s">
        <v>198</v>
      </c>
      <c r="B59" s="8" t="s">
        <v>27</v>
      </c>
      <c r="C59" s="8" t="s">
        <v>27</v>
      </c>
      <c r="D59" s="8" t="s">
        <v>74</v>
      </c>
      <c r="E59" s="8" t="s">
        <v>199</v>
      </c>
      <c r="F59" s="8" t="s">
        <v>200</v>
      </c>
      <c r="G59" s="14">
        <v>1991</v>
      </c>
      <c r="H59" s="8" t="s">
        <v>192</v>
      </c>
      <c r="I59" s="8">
        <v>49</v>
      </c>
      <c r="J59" s="8">
        <v>-80</v>
      </c>
      <c r="K59" s="14">
        <v>165</v>
      </c>
      <c r="L59" s="8" t="s">
        <v>201</v>
      </c>
      <c r="M59" s="8" t="s">
        <v>205</v>
      </c>
      <c r="N59" s="14"/>
      <c r="O59" s="15" t="s">
        <v>36</v>
      </c>
      <c r="P59" s="15" t="s">
        <v>204</v>
      </c>
      <c r="Q59" s="19">
        <v>5.2</v>
      </c>
      <c r="R59" s="19"/>
      <c r="S59" s="6"/>
      <c r="T59" s="6" t="s">
        <v>86</v>
      </c>
      <c r="U59" s="7">
        <f t="shared" si="12"/>
        <v>0.85799999999999998</v>
      </c>
      <c r="V59" s="20"/>
      <c r="W59" s="8"/>
      <c r="X59" s="8"/>
      <c r="Y59" s="9" t="s">
        <v>39</v>
      </c>
      <c r="Z59" s="9">
        <f t="shared" si="13"/>
        <v>1.3599999999999999</v>
      </c>
      <c r="AA59" s="9">
        <f t="shared" si="14"/>
        <v>0.85799999999999998</v>
      </c>
      <c r="AB59" s="9">
        <f t="shared" si="15"/>
        <v>2.218</v>
      </c>
      <c r="AC59" s="3" t="s">
        <v>881</v>
      </c>
      <c r="AD59" s="8"/>
      <c r="AE59" s="8"/>
      <c r="AF59" s="8"/>
      <c r="AG59" s="8"/>
    </row>
    <row r="60" spans="1:33" s="1" customFormat="1" ht="15" customHeight="1" x14ac:dyDescent="0.3">
      <c r="A60" s="8" t="s">
        <v>198</v>
      </c>
      <c r="B60" s="8" t="s">
        <v>27</v>
      </c>
      <c r="C60" s="8" t="s">
        <v>27</v>
      </c>
      <c r="D60" s="8" t="s">
        <v>74</v>
      </c>
      <c r="E60" s="8" t="s">
        <v>199</v>
      </c>
      <c r="F60" s="8" t="s">
        <v>200</v>
      </c>
      <c r="G60" s="14">
        <v>1991</v>
      </c>
      <c r="H60" s="8" t="s">
        <v>192</v>
      </c>
      <c r="I60" s="8">
        <v>49</v>
      </c>
      <c r="J60" s="8">
        <v>-80</v>
      </c>
      <c r="K60" s="14">
        <v>165</v>
      </c>
      <c r="L60" s="8" t="s">
        <v>206</v>
      </c>
      <c r="M60" s="8" t="s">
        <v>71</v>
      </c>
      <c r="N60" s="14"/>
      <c r="O60" s="15" t="s">
        <v>36</v>
      </c>
      <c r="P60" s="15" t="s">
        <v>202</v>
      </c>
      <c r="Q60" s="19">
        <f>AVERAGE(0.2,1.8)</f>
        <v>1</v>
      </c>
      <c r="R60" s="19"/>
      <c r="S60" s="19"/>
      <c r="T60" s="6" t="s">
        <v>86</v>
      </c>
      <c r="U60" s="7">
        <f t="shared" si="12"/>
        <v>0.16500000000000001</v>
      </c>
      <c r="V60" s="20"/>
      <c r="W60" s="8"/>
      <c r="X60" s="8"/>
      <c r="Y60" s="9" t="s">
        <v>39</v>
      </c>
      <c r="Z60" s="9">
        <f t="shared" si="13"/>
        <v>1.3599999999999999</v>
      </c>
      <c r="AA60" s="9">
        <f t="shared" si="14"/>
        <v>0.16500000000000001</v>
      </c>
      <c r="AB60" s="9">
        <f t="shared" si="15"/>
        <v>1.5249999999999999</v>
      </c>
      <c r="AC60" s="3" t="s">
        <v>881</v>
      </c>
      <c r="AD60" s="8"/>
      <c r="AE60" s="8"/>
      <c r="AF60" s="8"/>
      <c r="AG60" s="8"/>
    </row>
    <row r="61" spans="1:33" s="1" customFormat="1" ht="15" customHeight="1" x14ac:dyDescent="0.3">
      <c r="A61" s="8" t="s">
        <v>198</v>
      </c>
      <c r="B61" s="8" t="s">
        <v>27</v>
      </c>
      <c r="C61" s="8" t="s">
        <v>27</v>
      </c>
      <c r="D61" s="8" t="s">
        <v>74</v>
      </c>
      <c r="E61" s="8" t="s">
        <v>199</v>
      </c>
      <c r="F61" s="8" t="s">
        <v>200</v>
      </c>
      <c r="G61" s="14">
        <v>1991</v>
      </c>
      <c r="H61" s="8" t="s">
        <v>192</v>
      </c>
      <c r="I61" s="8">
        <v>49</v>
      </c>
      <c r="J61" s="8">
        <v>-80</v>
      </c>
      <c r="K61" s="14">
        <v>165</v>
      </c>
      <c r="L61" s="8" t="s">
        <v>206</v>
      </c>
      <c r="M61" s="8" t="s">
        <v>143</v>
      </c>
      <c r="N61" s="14"/>
      <c r="O61" s="15" t="s">
        <v>36</v>
      </c>
      <c r="P61" s="15" t="s">
        <v>204</v>
      </c>
      <c r="Q61" s="19">
        <v>11.8</v>
      </c>
      <c r="R61" s="19"/>
      <c r="S61" s="19"/>
      <c r="T61" s="6" t="s">
        <v>86</v>
      </c>
      <c r="U61" s="7">
        <f t="shared" si="12"/>
        <v>1.9470000000000003</v>
      </c>
      <c r="V61" s="20"/>
      <c r="W61" s="8"/>
      <c r="X61" s="8"/>
      <c r="Y61" s="9" t="s">
        <v>39</v>
      </c>
      <c r="Z61" s="9">
        <f t="shared" si="13"/>
        <v>1.3599999999999999</v>
      </c>
      <c r="AA61" s="9">
        <f t="shared" si="14"/>
        <v>1.9470000000000003</v>
      </c>
      <c r="AB61" s="9">
        <f t="shared" si="15"/>
        <v>3.3070000000000004</v>
      </c>
      <c r="AC61" s="3" t="s">
        <v>881</v>
      </c>
      <c r="AD61" s="8"/>
      <c r="AE61" s="8"/>
      <c r="AF61" s="8"/>
      <c r="AG61" s="8"/>
    </row>
    <row r="62" spans="1:33" s="1" customFormat="1" ht="15" customHeight="1" x14ac:dyDescent="0.3">
      <c r="A62" s="8" t="s">
        <v>198</v>
      </c>
      <c r="B62" s="8" t="s">
        <v>27</v>
      </c>
      <c r="C62" s="8" t="s">
        <v>27</v>
      </c>
      <c r="D62" s="8" t="s">
        <v>74</v>
      </c>
      <c r="E62" s="8" t="s">
        <v>199</v>
      </c>
      <c r="F62" s="8" t="s">
        <v>200</v>
      </c>
      <c r="G62" s="14">
        <v>1991</v>
      </c>
      <c r="H62" s="8" t="s">
        <v>192</v>
      </c>
      <c r="I62" s="8">
        <v>49</v>
      </c>
      <c r="J62" s="8">
        <v>-80</v>
      </c>
      <c r="K62" s="14">
        <v>165</v>
      </c>
      <c r="L62" s="8" t="s">
        <v>206</v>
      </c>
      <c r="M62" s="8" t="s">
        <v>41</v>
      </c>
      <c r="N62" s="14"/>
      <c r="O62" s="15" t="s">
        <v>36</v>
      </c>
      <c r="P62" s="15" t="s">
        <v>207</v>
      </c>
      <c r="Q62" s="19">
        <v>5.2</v>
      </c>
      <c r="R62" s="19"/>
      <c r="S62" s="19"/>
      <c r="T62" s="6" t="s">
        <v>86</v>
      </c>
      <c r="U62" s="7">
        <f t="shared" si="12"/>
        <v>0.85799999999999998</v>
      </c>
      <c r="V62" s="20"/>
      <c r="W62" s="8"/>
      <c r="X62" s="8"/>
      <c r="Y62" s="9" t="s">
        <v>39</v>
      </c>
      <c r="Z62" s="9">
        <f t="shared" si="13"/>
        <v>1.3599999999999999</v>
      </c>
      <c r="AA62" s="9">
        <f t="shared" si="14"/>
        <v>0.85799999999999998</v>
      </c>
      <c r="AB62" s="9">
        <f t="shared" si="15"/>
        <v>2.218</v>
      </c>
      <c r="AC62" s="3" t="s">
        <v>881</v>
      </c>
      <c r="AD62" s="8" t="s">
        <v>208</v>
      </c>
      <c r="AE62" s="8"/>
      <c r="AF62" s="8"/>
      <c r="AG62" s="8"/>
    </row>
    <row r="63" spans="1:33" s="1" customFormat="1" ht="15" customHeight="1" x14ac:dyDescent="0.3">
      <c r="A63" s="8" t="s">
        <v>198</v>
      </c>
      <c r="B63" s="8" t="s">
        <v>27</v>
      </c>
      <c r="C63" s="8" t="s">
        <v>27</v>
      </c>
      <c r="D63" s="8" t="s">
        <v>74</v>
      </c>
      <c r="E63" s="8" t="s">
        <v>199</v>
      </c>
      <c r="F63" s="8" t="s">
        <v>200</v>
      </c>
      <c r="G63" s="14">
        <v>1991</v>
      </c>
      <c r="H63" s="8" t="s">
        <v>192</v>
      </c>
      <c r="I63" s="8">
        <v>49</v>
      </c>
      <c r="J63" s="8">
        <v>-80</v>
      </c>
      <c r="K63" s="14">
        <v>165</v>
      </c>
      <c r="L63" s="8" t="s">
        <v>209</v>
      </c>
      <c r="M63" s="8" t="s">
        <v>41</v>
      </c>
      <c r="N63" s="14"/>
      <c r="O63" s="15" t="s">
        <v>36</v>
      </c>
      <c r="P63" s="15" t="s">
        <v>210</v>
      </c>
      <c r="Q63" s="6">
        <v>30.3</v>
      </c>
      <c r="R63" s="6"/>
      <c r="S63" s="6"/>
      <c r="T63" s="6" t="s">
        <v>86</v>
      </c>
      <c r="U63" s="7">
        <f t="shared" si="12"/>
        <v>4.9995000000000003</v>
      </c>
      <c r="V63" s="20"/>
      <c r="W63" s="8"/>
      <c r="X63" s="8"/>
      <c r="Y63" s="9" t="s">
        <v>39</v>
      </c>
      <c r="Z63" s="9">
        <f t="shared" si="13"/>
        <v>1.3599999999999999</v>
      </c>
      <c r="AA63" s="9">
        <f t="shared" si="14"/>
        <v>4.9995000000000003</v>
      </c>
      <c r="AB63" s="9">
        <f t="shared" si="15"/>
        <v>6.3595000000000006</v>
      </c>
      <c r="AC63" s="3" t="s">
        <v>881</v>
      </c>
      <c r="AD63" s="8"/>
      <c r="AE63" s="8"/>
      <c r="AF63" s="8"/>
      <c r="AG63" s="8"/>
    </row>
    <row r="64" spans="1:33" s="1" customFormat="1" ht="15" customHeight="1" x14ac:dyDescent="0.3">
      <c r="A64" s="8" t="s">
        <v>211</v>
      </c>
      <c r="B64" s="8" t="s">
        <v>27</v>
      </c>
      <c r="C64" s="8" t="s">
        <v>27</v>
      </c>
      <c r="D64" s="8" t="s">
        <v>74</v>
      </c>
      <c r="E64" s="8" t="s">
        <v>212</v>
      </c>
      <c r="F64" s="8" t="s">
        <v>200</v>
      </c>
      <c r="G64" s="14">
        <v>1991</v>
      </c>
      <c r="H64" s="8" t="s">
        <v>192</v>
      </c>
      <c r="I64" s="8">
        <v>49.1</v>
      </c>
      <c r="J64" s="8">
        <v>-82.45</v>
      </c>
      <c r="K64" s="14">
        <v>167</v>
      </c>
      <c r="L64" s="8" t="s">
        <v>213</v>
      </c>
      <c r="M64" s="8" t="s">
        <v>71</v>
      </c>
      <c r="N64" s="14"/>
      <c r="O64" s="15" t="s">
        <v>36</v>
      </c>
      <c r="P64" s="15" t="s">
        <v>214</v>
      </c>
      <c r="Q64" s="6">
        <v>5.0999999999999996</v>
      </c>
      <c r="R64" s="6"/>
      <c r="S64" s="6"/>
      <c r="T64" s="6" t="s">
        <v>86</v>
      </c>
      <c r="U64" s="7">
        <f t="shared" si="12"/>
        <v>0.8516999999999999</v>
      </c>
      <c r="V64" s="20"/>
      <c r="W64" s="8"/>
      <c r="X64" s="8"/>
      <c r="Y64" s="9" t="s">
        <v>39</v>
      </c>
      <c r="Z64" s="9">
        <f t="shared" si="13"/>
        <v>1.3463999999999998</v>
      </c>
      <c r="AA64" s="9">
        <f t="shared" si="14"/>
        <v>0.8516999999999999</v>
      </c>
      <c r="AB64" s="9">
        <f t="shared" si="15"/>
        <v>2.1980999999999997</v>
      </c>
      <c r="AC64" s="3" t="s">
        <v>881</v>
      </c>
      <c r="AD64" s="8"/>
      <c r="AE64" s="8"/>
      <c r="AF64" s="8"/>
      <c r="AG64" s="8"/>
    </row>
    <row r="65" spans="1:33" s="1" customFormat="1" ht="15" customHeight="1" x14ac:dyDescent="0.3">
      <c r="A65" s="8" t="s">
        <v>211</v>
      </c>
      <c r="B65" s="8" t="s">
        <v>27</v>
      </c>
      <c r="C65" s="8" t="s">
        <v>27</v>
      </c>
      <c r="D65" s="8" t="s">
        <v>74</v>
      </c>
      <c r="E65" s="8" t="s">
        <v>212</v>
      </c>
      <c r="F65" s="8" t="s">
        <v>200</v>
      </c>
      <c r="G65" s="14">
        <v>1991</v>
      </c>
      <c r="H65" s="8" t="s">
        <v>192</v>
      </c>
      <c r="I65" s="8">
        <v>49.1</v>
      </c>
      <c r="J65" s="8">
        <v>-82.45</v>
      </c>
      <c r="K65" s="14">
        <v>167</v>
      </c>
      <c r="L65" s="8" t="s">
        <v>213</v>
      </c>
      <c r="M65" s="8" t="s">
        <v>143</v>
      </c>
      <c r="N65" s="14"/>
      <c r="O65" s="15" t="s">
        <v>36</v>
      </c>
      <c r="P65" s="15" t="s">
        <v>215</v>
      </c>
      <c r="Q65" s="6">
        <v>156.19999999999999</v>
      </c>
      <c r="R65" s="6"/>
      <c r="S65" s="6"/>
      <c r="T65" s="6" t="s">
        <v>86</v>
      </c>
      <c r="U65" s="7">
        <f t="shared" si="12"/>
        <v>26.085399999999996</v>
      </c>
      <c r="V65" s="20"/>
      <c r="W65" s="8"/>
      <c r="X65" s="8"/>
      <c r="Y65" s="9" t="s">
        <v>39</v>
      </c>
      <c r="Z65" s="9">
        <f t="shared" si="13"/>
        <v>1.3463999999999998</v>
      </c>
      <c r="AA65" s="9">
        <f t="shared" si="14"/>
        <v>26.085399999999996</v>
      </c>
      <c r="AB65" s="9">
        <f t="shared" si="15"/>
        <v>27.431799999999996</v>
      </c>
      <c r="AC65" s="3" t="s">
        <v>881</v>
      </c>
      <c r="AD65" s="8"/>
      <c r="AE65" s="8"/>
      <c r="AF65" s="8"/>
      <c r="AG65" s="8"/>
    </row>
    <row r="66" spans="1:33" s="1" customFormat="1" ht="15" customHeight="1" x14ac:dyDescent="0.3">
      <c r="A66" s="8" t="s">
        <v>211</v>
      </c>
      <c r="B66" s="8" t="s">
        <v>27</v>
      </c>
      <c r="C66" s="8" t="s">
        <v>27</v>
      </c>
      <c r="D66" s="8" t="s">
        <v>74</v>
      </c>
      <c r="E66" s="8" t="s">
        <v>212</v>
      </c>
      <c r="F66" s="8" t="s">
        <v>200</v>
      </c>
      <c r="G66" s="14">
        <v>1991</v>
      </c>
      <c r="H66" s="8" t="s">
        <v>192</v>
      </c>
      <c r="I66" s="8">
        <v>49.1</v>
      </c>
      <c r="J66" s="8">
        <v>-82.45</v>
      </c>
      <c r="K66" s="14">
        <v>167</v>
      </c>
      <c r="L66" s="8" t="s">
        <v>213</v>
      </c>
      <c r="M66" s="8" t="s">
        <v>205</v>
      </c>
      <c r="N66" s="14"/>
      <c r="O66" s="15" t="s">
        <v>36</v>
      </c>
      <c r="P66" s="15" t="s">
        <v>216</v>
      </c>
      <c r="Q66" s="6">
        <v>30.3</v>
      </c>
      <c r="R66" s="6"/>
      <c r="S66" s="6"/>
      <c r="T66" s="6" t="s">
        <v>86</v>
      </c>
      <c r="U66" s="7">
        <f t="shared" si="12"/>
        <v>5.0601000000000003</v>
      </c>
      <c r="V66" s="20"/>
      <c r="W66" s="8"/>
      <c r="X66" s="8"/>
      <c r="Y66" s="9" t="s">
        <v>39</v>
      </c>
      <c r="Z66" s="9">
        <f t="shared" si="13"/>
        <v>1.3463999999999998</v>
      </c>
      <c r="AA66" s="9">
        <f t="shared" si="14"/>
        <v>5.0601000000000003</v>
      </c>
      <c r="AB66" s="9">
        <f t="shared" si="15"/>
        <v>6.4065000000000003</v>
      </c>
      <c r="AC66" s="3" t="s">
        <v>881</v>
      </c>
      <c r="AD66" s="8"/>
      <c r="AE66" s="8"/>
      <c r="AF66" s="8"/>
      <c r="AG66" s="8"/>
    </row>
    <row r="67" spans="1:33" s="1" customFormat="1" ht="15" customHeight="1" x14ac:dyDescent="0.3">
      <c r="A67" s="8" t="s">
        <v>211</v>
      </c>
      <c r="B67" s="8" t="s">
        <v>27</v>
      </c>
      <c r="C67" s="8" t="s">
        <v>27</v>
      </c>
      <c r="D67" s="8" t="s">
        <v>74</v>
      </c>
      <c r="E67" s="8" t="s">
        <v>212</v>
      </c>
      <c r="F67" s="8" t="s">
        <v>200</v>
      </c>
      <c r="G67" s="14">
        <v>1991</v>
      </c>
      <c r="H67" s="8" t="s">
        <v>192</v>
      </c>
      <c r="I67" s="8">
        <v>49.1</v>
      </c>
      <c r="J67" s="8">
        <v>-82.45</v>
      </c>
      <c r="K67" s="14">
        <v>167</v>
      </c>
      <c r="L67" s="8" t="s">
        <v>217</v>
      </c>
      <c r="M67" s="8" t="s">
        <v>71</v>
      </c>
      <c r="N67" s="14"/>
      <c r="O67" s="15" t="s">
        <v>36</v>
      </c>
      <c r="P67" s="15" t="s">
        <v>218</v>
      </c>
      <c r="Q67" s="6">
        <v>1.1000000000000001</v>
      </c>
      <c r="R67" s="6"/>
      <c r="S67" s="6"/>
      <c r="T67" s="6" t="s">
        <v>86</v>
      </c>
      <c r="U67" s="7">
        <f t="shared" si="12"/>
        <v>0.18370000000000003</v>
      </c>
      <c r="V67" s="20"/>
      <c r="W67" s="8"/>
      <c r="X67" s="8"/>
      <c r="Y67" s="9" t="s">
        <v>39</v>
      </c>
      <c r="Z67" s="9">
        <f t="shared" si="13"/>
        <v>1.3463999999999998</v>
      </c>
      <c r="AA67" s="9">
        <f t="shared" si="14"/>
        <v>0.18370000000000003</v>
      </c>
      <c r="AB67" s="9">
        <f t="shared" si="15"/>
        <v>1.5300999999999998</v>
      </c>
      <c r="AC67" s="3" t="s">
        <v>881</v>
      </c>
      <c r="AD67" s="8"/>
      <c r="AE67" s="8"/>
      <c r="AF67" s="8"/>
      <c r="AG67" s="8"/>
    </row>
    <row r="68" spans="1:33" s="1" customFormat="1" ht="15" customHeight="1" x14ac:dyDescent="0.3">
      <c r="A68" s="8" t="s">
        <v>211</v>
      </c>
      <c r="B68" s="8" t="s">
        <v>27</v>
      </c>
      <c r="C68" s="8" t="s">
        <v>27</v>
      </c>
      <c r="D68" s="8" t="s">
        <v>74</v>
      </c>
      <c r="E68" s="8" t="s">
        <v>212</v>
      </c>
      <c r="F68" s="8" t="s">
        <v>200</v>
      </c>
      <c r="G68" s="14">
        <v>1991</v>
      </c>
      <c r="H68" s="8" t="s">
        <v>192</v>
      </c>
      <c r="I68" s="8">
        <v>49.1</v>
      </c>
      <c r="J68" s="8">
        <v>-82.45</v>
      </c>
      <c r="K68" s="14">
        <v>167</v>
      </c>
      <c r="L68" s="8" t="s">
        <v>217</v>
      </c>
      <c r="M68" s="8" t="s">
        <v>143</v>
      </c>
      <c r="N68" s="14"/>
      <c r="O68" s="15" t="s">
        <v>36</v>
      </c>
      <c r="P68" s="15" t="s">
        <v>219</v>
      </c>
      <c r="Q68" s="6">
        <v>11.8</v>
      </c>
      <c r="R68" s="6"/>
      <c r="S68" s="6"/>
      <c r="T68" s="6" t="s">
        <v>86</v>
      </c>
      <c r="U68" s="7">
        <f t="shared" si="12"/>
        <v>1.9706000000000001</v>
      </c>
      <c r="V68" s="20"/>
      <c r="W68" s="8"/>
      <c r="X68" s="8"/>
      <c r="Y68" s="9" t="s">
        <v>39</v>
      </c>
      <c r="Z68" s="9">
        <f t="shared" si="13"/>
        <v>1.3463999999999998</v>
      </c>
      <c r="AA68" s="9">
        <f t="shared" si="14"/>
        <v>1.9706000000000001</v>
      </c>
      <c r="AB68" s="9">
        <f t="shared" si="15"/>
        <v>3.3170000000000002</v>
      </c>
      <c r="AC68" s="3" t="s">
        <v>881</v>
      </c>
      <c r="AD68" s="8"/>
      <c r="AE68" s="8"/>
      <c r="AF68" s="8"/>
      <c r="AG68" s="8"/>
    </row>
    <row r="69" spans="1:33" s="1" customFormat="1" ht="15" customHeight="1" x14ac:dyDescent="0.3">
      <c r="A69" s="8" t="s">
        <v>211</v>
      </c>
      <c r="B69" s="8" t="s">
        <v>27</v>
      </c>
      <c r="C69" s="8" t="s">
        <v>27</v>
      </c>
      <c r="D69" s="8" t="s">
        <v>74</v>
      </c>
      <c r="E69" s="8" t="s">
        <v>212</v>
      </c>
      <c r="F69" s="8" t="s">
        <v>200</v>
      </c>
      <c r="G69" s="14">
        <v>1991</v>
      </c>
      <c r="H69" s="8" t="s">
        <v>192</v>
      </c>
      <c r="I69" s="8">
        <v>49.1</v>
      </c>
      <c r="J69" s="8">
        <v>-82.45</v>
      </c>
      <c r="K69" s="14">
        <v>167</v>
      </c>
      <c r="L69" s="8" t="s">
        <v>217</v>
      </c>
      <c r="M69" s="8" t="s">
        <v>205</v>
      </c>
      <c r="N69" s="14"/>
      <c r="O69" s="15" t="s">
        <v>36</v>
      </c>
      <c r="P69" s="15" t="s">
        <v>220</v>
      </c>
      <c r="Q69" s="6">
        <v>5.25</v>
      </c>
      <c r="R69" s="6"/>
      <c r="S69" s="6"/>
      <c r="T69" s="6" t="s">
        <v>86</v>
      </c>
      <c r="U69" s="7">
        <f t="shared" si="12"/>
        <v>0.87675000000000003</v>
      </c>
      <c r="V69" s="20"/>
      <c r="W69" s="8"/>
      <c r="X69" s="8"/>
      <c r="Y69" s="9" t="s">
        <v>39</v>
      </c>
      <c r="Z69" s="9">
        <f t="shared" si="13"/>
        <v>1.3463999999999998</v>
      </c>
      <c r="AA69" s="9">
        <f t="shared" si="14"/>
        <v>0.87675000000000003</v>
      </c>
      <c r="AB69" s="9">
        <f t="shared" si="15"/>
        <v>2.22315</v>
      </c>
      <c r="AC69" s="3" t="s">
        <v>881</v>
      </c>
      <c r="AD69" s="8"/>
      <c r="AE69" s="8"/>
      <c r="AF69" s="8"/>
      <c r="AG69" s="8"/>
    </row>
    <row r="70" spans="1:33" s="1" customFormat="1" ht="15" customHeight="1" x14ac:dyDescent="0.3">
      <c r="A70" s="8" t="s">
        <v>211</v>
      </c>
      <c r="B70" s="8" t="s">
        <v>27</v>
      </c>
      <c r="C70" s="8" t="s">
        <v>27</v>
      </c>
      <c r="D70" s="8" t="s">
        <v>74</v>
      </c>
      <c r="E70" s="8" t="s">
        <v>212</v>
      </c>
      <c r="F70" s="8" t="s">
        <v>200</v>
      </c>
      <c r="G70" s="14">
        <v>1991</v>
      </c>
      <c r="H70" s="8" t="s">
        <v>192</v>
      </c>
      <c r="I70" s="8">
        <v>49.1</v>
      </c>
      <c r="J70" s="8">
        <v>-82.45</v>
      </c>
      <c r="K70" s="14">
        <v>167</v>
      </c>
      <c r="L70" s="8" t="s">
        <v>221</v>
      </c>
      <c r="M70" s="8" t="s">
        <v>71</v>
      </c>
      <c r="N70" s="14"/>
      <c r="O70" s="15" t="s">
        <v>36</v>
      </c>
      <c r="P70" s="15" t="s">
        <v>222</v>
      </c>
      <c r="Q70" s="6">
        <v>1.7</v>
      </c>
      <c r="R70" s="6"/>
      <c r="S70" s="6"/>
      <c r="T70" s="6" t="s">
        <v>86</v>
      </c>
      <c r="U70" s="7">
        <f t="shared" si="12"/>
        <v>0.28389999999999999</v>
      </c>
      <c r="V70" s="20"/>
      <c r="W70" s="8"/>
      <c r="X70" s="8"/>
      <c r="Y70" s="9" t="s">
        <v>39</v>
      </c>
      <c r="Z70" s="9">
        <f t="shared" si="13"/>
        <v>1.3463999999999998</v>
      </c>
      <c r="AA70" s="9">
        <f t="shared" si="14"/>
        <v>0.28389999999999999</v>
      </c>
      <c r="AB70" s="9">
        <f t="shared" si="15"/>
        <v>1.6302999999999999</v>
      </c>
      <c r="AC70" s="3" t="s">
        <v>881</v>
      </c>
      <c r="AD70" s="8"/>
      <c r="AE70" s="8"/>
      <c r="AF70" s="8"/>
      <c r="AG70" s="8"/>
    </row>
    <row r="71" spans="1:33" s="1" customFormat="1" ht="15" customHeight="1" x14ac:dyDescent="0.3">
      <c r="A71" s="8" t="s">
        <v>211</v>
      </c>
      <c r="B71" s="8" t="s">
        <v>27</v>
      </c>
      <c r="C71" s="8" t="s">
        <v>27</v>
      </c>
      <c r="D71" s="8" t="s">
        <v>74</v>
      </c>
      <c r="E71" s="8" t="s">
        <v>212</v>
      </c>
      <c r="F71" s="8" t="s">
        <v>200</v>
      </c>
      <c r="G71" s="14">
        <v>1991</v>
      </c>
      <c r="H71" s="8" t="s">
        <v>192</v>
      </c>
      <c r="I71" s="8">
        <v>49.1</v>
      </c>
      <c r="J71" s="8">
        <v>-82.45</v>
      </c>
      <c r="K71" s="14">
        <v>167</v>
      </c>
      <c r="L71" s="8" t="s">
        <v>221</v>
      </c>
      <c r="M71" s="8" t="s">
        <v>143</v>
      </c>
      <c r="N71" s="14"/>
      <c r="O71" s="15" t="s">
        <v>36</v>
      </c>
      <c r="P71" s="15" t="s">
        <v>223</v>
      </c>
      <c r="Q71" s="6">
        <v>8.1999999999999993</v>
      </c>
      <c r="R71" s="6"/>
      <c r="S71" s="6"/>
      <c r="T71" s="6" t="s">
        <v>86</v>
      </c>
      <c r="U71" s="7">
        <f t="shared" si="12"/>
        <v>1.3694</v>
      </c>
      <c r="V71" s="20"/>
      <c r="W71" s="8"/>
      <c r="X71" s="8"/>
      <c r="Y71" s="9" t="s">
        <v>39</v>
      </c>
      <c r="Z71" s="9">
        <f t="shared" si="13"/>
        <v>1.3463999999999998</v>
      </c>
      <c r="AA71" s="9">
        <f t="shared" si="14"/>
        <v>1.3694</v>
      </c>
      <c r="AB71" s="9">
        <f t="shared" si="15"/>
        <v>2.7157999999999998</v>
      </c>
      <c r="AC71" s="3" t="s">
        <v>881</v>
      </c>
      <c r="AD71" s="8"/>
      <c r="AE71" s="8"/>
      <c r="AF71" s="8"/>
      <c r="AG71" s="8"/>
    </row>
    <row r="72" spans="1:33" s="1" customFormat="1" ht="15" customHeight="1" x14ac:dyDescent="0.3">
      <c r="A72" s="8" t="s">
        <v>211</v>
      </c>
      <c r="B72" s="8" t="s">
        <v>27</v>
      </c>
      <c r="C72" s="8" t="s">
        <v>27</v>
      </c>
      <c r="D72" s="8" t="s">
        <v>74</v>
      </c>
      <c r="E72" s="8" t="s">
        <v>212</v>
      </c>
      <c r="F72" s="8" t="s">
        <v>200</v>
      </c>
      <c r="G72" s="14">
        <v>1991</v>
      </c>
      <c r="H72" s="8" t="s">
        <v>192</v>
      </c>
      <c r="I72" s="8">
        <v>49.1</v>
      </c>
      <c r="J72" s="8">
        <v>-82.45</v>
      </c>
      <c r="K72" s="14">
        <v>167</v>
      </c>
      <c r="L72" s="8" t="s">
        <v>221</v>
      </c>
      <c r="M72" s="8" t="s">
        <v>205</v>
      </c>
      <c r="N72" s="14"/>
      <c r="O72" s="15" t="s">
        <v>36</v>
      </c>
      <c r="P72" s="15" t="s">
        <v>224</v>
      </c>
      <c r="Q72" s="6">
        <v>4.5</v>
      </c>
      <c r="R72" s="6"/>
      <c r="S72" s="6"/>
      <c r="T72" s="6" t="s">
        <v>86</v>
      </c>
      <c r="U72" s="7">
        <f t="shared" si="12"/>
        <v>0.75149999999999995</v>
      </c>
      <c r="V72" s="20"/>
      <c r="W72" s="8"/>
      <c r="X72" s="8"/>
      <c r="Y72" s="9" t="s">
        <v>39</v>
      </c>
      <c r="Z72" s="9">
        <f t="shared" si="13"/>
        <v>1.3463999999999998</v>
      </c>
      <c r="AA72" s="9">
        <f t="shared" si="14"/>
        <v>0.75149999999999995</v>
      </c>
      <c r="AB72" s="9">
        <f t="shared" si="15"/>
        <v>2.0978999999999997</v>
      </c>
      <c r="AC72" s="3" t="s">
        <v>881</v>
      </c>
      <c r="AD72" s="8"/>
      <c r="AE72" s="8"/>
      <c r="AF72" s="8"/>
      <c r="AG72" s="8"/>
    </row>
    <row r="73" spans="1:33" s="13" customFormat="1" ht="15" customHeight="1" x14ac:dyDescent="0.3">
      <c r="A73" s="8" t="s">
        <v>225</v>
      </c>
      <c r="B73" s="8" t="s">
        <v>27</v>
      </c>
      <c r="C73" s="8" t="s">
        <v>27</v>
      </c>
      <c r="D73" s="8" t="s">
        <v>164</v>
      </c>
      <c r="E73" s="8" t="s">
        <v>226</v>
      </c>
      <c r="F73" s="8" t="s">
        <v>200</v>
      </c>
      <c r="G73" s="14">
        <v>1994</v>
      </c>
      <c r="H73" s="8" t="s">
        <v>227</v>
      </c>
      <c r="I73" s="8">
        <v>56.516666000000001</v>
      </c>
      <c r="J73" s="8">
        <v>-98.7</v>
      </c>
      <c r="K73" s="14">
        <v>144</v>
      </c>
      <c r="L73" s="8" t="s">
        <v>228</v>
      </c>
      <c r="M73" s="8" t="s">
        <v>229</v>
      </c>
      <c r="N73" s="14"/>
      <c r="O73" s="8" t="s">
        <v>36</v>
      </c>
      <c r="P73" s="15" t="s">
        <v>230</v>
      </c>
      <c r="Q73" s="6">
        <v>96.9</v>
      </c>
      <c r="R73" s="6"/>
      <c r="S73" s="6"/>
      <c r="T73" s="6" t="s">
        <v>86</v>
      </c>
      <c r="U73" s="7">
        <f t="shared" si="12"/>
        <v>13.9536</v>
      </c>
      <c r="V73" s="20"/>
      <c r="W73" s="8"/>
      <c r="X73" s="8"/>
      <c r="Y73" s="9" t="s">
        <v>39</v>
      </c>
      <c r="Z73" s="9">
        <f t="shared" si="13"/>
        <v>1.5027999999999999</v>
      </c>
      <c r="AA73" s="9">
        <f t="shared" si="14"/>
        <v>13.9536</v>
      </c>
      <c r="AB73" s="9">
        <f t="shared" si="15"/>
        <v>15.4564</v>
      </c>
      <c r="AC73" s="3" t="s">
        <v>881</v>
      </c>
      <c r="AD73" s="8"/>
      <c r="AE73" s="3"/>
      <c r="AF73" s="3"/>
      <c r="AG73" s="3"/>
    </row>
    <row r="74" spans="1:33" s="13" customFormat="1" ht="15" customHeight="1" x14ac:dyDescent="0.3">
      <c r="A74" s="8" t="s">
        <v>225</v>
      </c>
      <c r="B74" s="8" t="s">
        <v>27</v>
      </c>
      <c r="C74" s="8" t="s">
        <v>27</v>
      </c>
      <c r="D74" s="8" t="s">
        <v>164</v>
      </c>
      <c r="E74" s="8" t="s">
        <v>226</v>
      </c>
      <c r="F74" s="8" t="s">
        <v>200</v>
      </c>
      <c r="G74" s="14">
        <v>1994</v>
      </c>
      <c r="H74" s="8" t="s">
        <v>227</v>
      </c>
      <c r="I74" s="8">
        <v>56.516666000000001</v>
      </c>
      <c r="J74" s="8">
        <v>-98.7</v>
      </c>
      <c r="K74" s="14">
        <v>144</v>
      </c>
      <c r="L74" s="8" t="s">
        <v>231</v>
      </c>
      <c r="M74" s="8" t="s">
        <v>143</v>
      </c>
      <c r="N74" s="14"/>
      <c r="O74" s="8" t="s">
        <v>36</v>
      </c>
      <c r="P74" s="15" t="s">
        <v>232</v>
      </c>
      <c r="Q74" s="6">
        <v>55.4</v>
      </c>
      <c r="R74" s="6"/>
      <c r="S74" s="6"/>
      <c r="T74" s="6" t="s">
        <v>86</v>
      </c>
      <c r="U74" s="7">
        <f t="shared" si="12"/>
        <v>7.9775999999999998</v>
      </c>
      <c r="V74" s="20"/>
      <c r="W74" s="8"/>
      <c r="X74" s="8"/>
      <c r="Y74" s="9" t="s">
        <v>39</v>
      </c>
      <c r="Z74" s="9">
        <f t="shared" si="13"/>
        <v>1.5027999999999999</v>
      </c>
      <c r="AA74" s="9">
        <f t="shared" si="14"/>
        <v>7.9775999999999998</v>
      </c>
      <c r="AB74" s="9">
        <f t="shared" si="15"/>
        <v>9.4803999999999995</v>
      </c>
      <c r="AC74" s="3" t="s">
        <v>881</v>
      </c>
      <c r="AD74" s="8"/>
      <c r="AE74" s="3"/>
      <c r="AF74" s="3"/>
      <c r="AG74" s="3"/>
    </row>
    <row r="75" spans="1:33" s="13" customFormat="1" ht="15" customHeight="1" x14ac:dyDescent="0.3">
      <c r="A75" s="8" t="s">
        <v>225</v>
      </c>
      <c r="B75" s="8" t="s">
        <v>27</v>
      </c>
      <c r="C75" s="8" t="s">
        <v>27</v>
      </c>
      <c r="D75" s="8" t="s">
        <v>164</v>
      </c>
      <c r="E75" s="8" t="s">
        <v>226</v>
      </c>
      <c r="F75" s="8" t="s">
        <v>200</v>
      </c>
      <c r="G75" s="14">
        <v>1994</v>
      </c>
      <c r="H75" s="8" t="s">
        <v>227</v>
      </c>
      <c r="I75" s="8">
        <v>56.516666000000001</v>
      </c>
      <c r="J75" s="8">
        <v>-98.7</v>
      </c>
      <c r="K75" s="14">
        <v>144</v>
      </c>
      <c r="L75" s="8" t="s">
        <v>233</v>
      </c>
      <c r="M75" s="8" t="s">
        <v>234</v>
      </c>
      <c r="N75" s="14"/>
      <c r="O75" s="8" t="s">
        <v>36</v>
      </c>
      <c r="P75" s="15" t="s">
        <v>235</v>
      </c>
      <c r="Q75" s="6">
        <v>86.8</v>
      </c>
      <c r="R75" s="6"/>
      <c r="S75" s="6"/>
      <c r="T75" s="6" t="s">
        <v>86</v>
      </c>
      <c r="U75" s="7">
        <f t="shared" si="12"/>
        <v>12.499199999999998</v>
      </c>
      <c r="V75" s="20"/>
      <c r="W75" s="8"/>
      <c r="X75" s="8"/>
      <c r="Y75" s="9" t="s">
        <v>39</v>
      </c>
      <c r="Z75" s="9">
        <f t="shared" si="13"/>
        <v>1.5027999999999999</v>
      </c>
      <c r="AA75" s="9">
        <f t="shared" si="14"/>
        <v>12.499199999999998</v>
      </c>
      <c r="AB75" s="9">
        <f t="shared" si="15"/>
        <v>14.001999999999999</v>
      </c>
      <c r="AC75" s="3" t="s">
        <v>881</v>
      </c>
      <c r="AD75" s="8"/>
      <c r="AE75" s="3"/>
      <c r="AF75" s="3"/>
      <c r="AG75" s="3"/>
    </row>
    <row r="76" spans="1:33" s="13" customFormat="1" ht="15" customHeight="1" x14ac:dyDescent="0.3">
      <c r="A76" s="8" t="s">
        <v>236</v>
      </c>
      <c r="B76" s="8" t="s">
        <v>27</v>
      </c>
      <c r="C76" s="8" t="s">
        <v>27</v>
      </c>
      <c r="D76" s="8" t="s">
        <v>74</v>
      </c>
      <c r="E76" s="8"/>
      <c r="F76" s="8" t="s">
        <v>200</v>
      </c>
      <c r="G76" s="14">
        <v>1990</v>
      </c>
      <c r="H76" s="8" t="s">
        <v>192</v>
      </c>
      <c r="I76" s="3">
        <v>45.06666666666667</v>
      </c>
      <c r="J76" s="3">
        <v>-78.75</v>
      </c>
      <c r="K76" s="14">
        <v>195</v>
      </c>
      <c r="L76" s="8" t="s">
        <v>162</v>
      </c>
      <c r="M76" s="8"/>
      <c r="N76" s="14"/>
      <c r="O76" s="8" t="s">
        <v>36</v>
      </c>
      <c r="P76" s="15" t="s">
        <v>237</v>
      </c>
      <c r="Q76" s="6">
        <v>5.8</v>
      </c>
      <c r="R76" s="6"/>
      <c r="S76" s="6"/>
      <c r="T76" s="10" t="s">
        <v>86</v>
      </c>
      <c r="U76" s="7">
        <f t="shared" si="12"/>
        <v>1.131</v>
      </c>
      <c r="V76" s="20"/>
      <c r="W76" s="8"/>
      <c r="X76" s="8"/>
      <c r="Y76" s="9" t="s">
        <v>39</v>
      </c>
      <c r="Z76" s="9">
        <f t="shared" si="13"/>
        <v>1.1559999999999999</v>
      </c>
      <c r="AA76" s="9">
        <f t="shared" si="14"/>
        <v>1.131</v>
      </c>
      <c r="AB76" s="9">
        <f t="shared" si="15"/>
        <v>2.2869999999999999</v>
      </c>
      <c r="AC76" s="3" t="s">
        <v>881</v>
      </c>
      <c r="AD76" s="3" t="s">
        <v>238</v>
      </c>
      <c r="AE76" s="3"/>
      <c r="AF76" s="3"/>
      <c r="AG76" s="3"/>
    </row>
    <row r="77" spans="1:33" s="13" customFormat="1" ht="15" customHeight="1" x14ac:dyDescent="0.3">
      <c r="A77" s="8" t="s">
        <v>236</v>
      </c>
      <c r="B77" s="8" t="s">
        <v>27</v>
      </c>
      <c r="C77" s="8" t="s">
        <v>27</v>
      </c>
      <c r="D77" s="8" t="s">
        <v>74</v>
      </c>
      <c r="E77" s="8"/>
      <c r="F77" s="8" t="s">
        <v>200</v>
      </c>
      <c r="G77" s="14">
        <v>1990</v>
      </c>
      <c r="H77" s="8" t="s">
        <v>192</v>
      </c>
      <c r="I77" s="3">
        <v>45.06666666666667</v>
      </c>
      <c r="J77" s="3">
        <v>-78.75</v>
      </c>
      <c r="K77" s="14">
        <v>195</v>
      </c>
      <c r="L77" s="8" t="s">
        <v>121</v>
      </c>
      <c r="M77" s="8"/>
      <c r="N77" s="14"/>
      <c r="O77" s="8" t="s">
        <v>36</v>
      </c>
      <c r="P77" s="15" t="s">
        <v>239</v>
      </c>
      <c r="Q77" s="6">
        <v>20.6</v>
      </c>
      <c r="R77" s="6"/>
      <c r="S77" s="6"/>
      <c r="T77" s="10" t="s">
        <v>86</v>
      </c>
      <c r="U77" s="7">
        <f t="shared" si="12"/>
        <v>4.0170000000000003</v>
      </c>
      <c r="V77" s="20"/>
      <c r="W77" s="8"/>
      <c r="X77" s="8"/>
      <c r="Y77" s="9" t="s">
        <v>39</v>
      </c>
      <c r="Z77" s="9">
        <f t="shared" si="13"/>
        <v>1.1559999999999999</v>
      </c>
      <c r="AA77" s="9">
        <f t="shared" si="14"/>
        <v>4.0170000000000003</v>
      </c>
      <c r="AB77" s="9">
        <f t="shared" si="15"/>
        <v>5.173</v>
      </c>
      <c r="AC77" s="3" t="s">
        <v>881</v>
      </c>
      <c r="AD77" s="3" t="s">
        <v>238</v>
      </c>
      <c r="AE77" s="3"/>
      <c r="AF77" s="3"/>
      <c r="AG77" s="3"/>
    </row>
    <row r="78" spans="1:33" s="1" customFormat="1" ht="15" customHeight="1" x14ac:dyDescent="0.3">
      <c r="A78" s="32" t="s">
        <v>873</v>
      </c>
      <c r="B78" s="8" t="s">
        <v>27</v>
      </c>
      <c r="C78" s="8" t="s">
        <v>27</v>
      </c>
      <c r="D78" s="8" t="s">
        <v>240</v>
      </c>
      <c r="E78" s="8" t="s">
        <v>241</v>
      </c>
      <c r="F78" s="8" t="s">
        <v>200</v>
      </c>
      <c r="G78" s="14">
        <v>2013</v>
      </c>
      <c r="H78" s="8" t="s">
        <v>242</v>
      </c>
      <c r="I78" s="3">
        <v>48.264000000000003</v>
      </c>
      <c r="J78" s="3">
        <v>-58.665199999999999</v>
      </c>
      <c r="K78" s="2">
        <v>196</v>
      </c>
      <c r="L78" s="8" t="s">
        <v>243</v>
      </c>
      <c r="M78" s="3" t="s">
        <v>244</v>
      </c>
      <c r="N78" s="14"/>
      <c r="O78" s="8" t="s">
        <v>36</v>
      </c>
      <c r="P78" s="15" t="s">
        <v>245</v>
      </c>
      <c r="Q78" s="8"/>
      <c r="R78" s="30">
        <f t="shared" ref="R78:R79" si="16">V78/K78*1000</f>
        <v>5.3061224489795924</v>
      </c>
      <c r="S78" s="27"/>
      <c r="T78" s="17"/>
      <c r="U78" s="17"/>
      <c r="V78" s="20">
        <v>1.04</v>
      </c>
      <c r="W78" s="20"/>
      <c r="X78" s="8" t="s">
        <v>81</v>
      </c>
      <c r="Y78" s="11" t="s">
        <v>39</v>
      </c>
      <c r="Z78" s="12">
        <f t="shared" si="13"/>
        <v>1.1492</v>
      </c>
      <c r="AA78" s="12">
        <f>V78</f>
        <v>1.04</v>
      </c>
      <c r="AB78" s="12">
        <f>V78+Z78</f>
        <v>2.1892</v>
      </c>
      <c r="AC78" s="3" t="s">
        <v>881</v>
      </c>
      <c r="AD78" s="8"/>
      <c r="AE78" s="8"/>
      <c r="AF78" s="8"/>
      <c r="AG78" s="8"/>
    </row>
    <row r="79" spans="1:33" s="1" customFormat="1" ht="15" customHeight="1" x14ac:dyDescent="0.3">
      <c r="A79" s="32" t="s">
        <v>873</v>
      </c>
      <c r="B79" s="8" t="s">
        <v>27</v>
      </c>
      <c r="C79" s="8" t="s">
        <v>27</v>
      </c>
      <c r="D79" s="8" t="s">
        <v>240</v>
      </c>
      <c r="E79" s="8" t="s">
        <v>246</v>
      </c>
      <c r="F79" s="8" t="s">
        <v>200</v>
      </c>
      <c r="G79" s="14">
        <v>2013</v>
      </c>
      <c r="H79" s="8" t="s">
        <v>242</v>
      </c>
      <c r="I79" s="3">
        <v>48.264000000000003</v>
      </c>
      <c r="J79" s="3">
        <v>-58.665199999999999</v>
      </c>
      <c r="K79" s="2">
        <v>196</v>
      </c>
      <c r="L79" s="8" t="s">
        <v>243</v>
      </c>
      <c r="M79" s="3" t="s">
        <v>247</v>
      </c>
      <c r="N79" s="14"/>
      <c r="O79" s="8" t="s">
        <v>36</v>
      </c>
      <c r="P79" s="15" t="s">
        <v>245</v>
      </c>
      <c r="Q79" s="8"/>
      <c r="R79" s="30">
        <f t="shared" si="16"/>
        <v>15.918367346938776</v>
      </c>
      <c r="S79" s="27"/>
      <c r="T79" s="17"/>
      <c r="U79" s="17"/>
      <c r="V79" s="20">
        <v>3.12</v>
      </c>
      <c r="W79" s="20"/>
      <c r="X79" s="8" t="s">
        <v>81</v>
      </c>
      <c r="Y79" s="11" t="s">
        <v>39</v>
      </c>
      <c r="Z79" s="12">
        <f t="shared" si="13"/>
        <v>1.1492</v>
      </c>
      <c r="AA79" s="12">
        <f>V79</f>
        <v>3.12</v>
      </c>
      <c r="AB79" s="12">
        <f>V79+Z79</f>
        <v>4.2691999999999997</v>
      </c>
      <c r="AC79" s="3" t="s">
        <v>881</v>
      </c>
      <c r="AD79" s="8"/>
      <c r="AE79" s="8"/>
      <c r="AF79" s="8"/>
      <c r="AG79" s="8"/>
    </row>
    <row r="80" spans="1:33" s="1" customFormat="1" ht="15" customHeight="1" x14ac:dyDescent="0.3">
      <c r="A80" s="8" t="s">
        <v>248</v>
      </c>
      <c r="B80" s="8" t="s">
        <v>27</v>
      </c>
      <c r="C80" s="8" t="s">
        <v>27</v>
      </c>
      <c r="D80" s="8" t="s">
        <v>28</v>
      </c>
      <c r="E80" s="8" t="s">
        <v>249</v>
      </c>
      <c r="F80" s="8" t="s">
        <v>200</v>
      </c>
      <c r="G80" s="14">
        <v>2005</v>
      </c>
      <c r="H80" s="8" t="s">
        <v>250</v>
      </c>
      <c r="I80" s="8">
        <v>52.181666669999998</v>
      </c>
      <c r="J80" s="8">
        <v>-75.873888890000003</v>
      </c>
      <c r="K80" s="14">
        <v>155</v>
      </c>
      <c r="L80" s="8"/>
      <c r="M80" s="8"/>
      <c r="N80" s="8"/>
      <c r="O80" s="8" t="s">
        <v>36</v>
      </c>
      <c r="P80" s="8"/>
      <c r="Q80" s="20">
        <f t="shared" ref="Q80" si="17">S80/0.7488</f>
        <v>52.083333333333329</v>
      </c>
      <c r="R80" s="20"/>
      <c r="S80" s="17">
        <v>39</v>
      </c>
      <c r="T80" s="17" t="s">
        <v>251</v>
      </c>
      <c r="U80" s="7">
        <f>Q80*K80/1000</f>
        <v>8.0729166666666661</v>
      </c>
      <c r="V80" s="8"/>
      <c r="W80" s="8"/>
      <c r="X80" s="8"/>
      <c r="Y80" s="9" t="s">
        <v>39</v>
      </c>
      <c r="Z80" s="9">
        <f t="shared" si="13"/>
        <v>1.4279999999999999</v>
      </c>
      <c r="AA80" s="9">
        <f>U80</f>
        <v>8.0729166666666661</v>
      </c>
      <c r="AB80" s="9">
        <f>U80+Z80</f>
        <v>9.5009166666666651</v>
      </c>
      <c r="AC80" s="3" t="s">
        <v>881</v>
      </c>
      <c r="AD80" s="8" t="s">
        <v>252</v>
      </c>
      <c r="AE80" s="8"/>
      <c r="AF80" s="8"/>
      <c r="AG80" s="8"/>
    </row>
    <row r="81" spans="1:33" s="1" customFormat="1" ht="15" customHeight="1" x14ac:dyDescent="0.3">
      <c r="A81" s="8" t="s">
        <v>253</v>
      </c>
      <c r="B81" s="8" t="s">
        <v>27</v>
      </c>
      <c r="C81" s="8" t="s">
        <v>27</v>
      </c>
      <c r="D81" s="8" t="s">
        <v>28</v>
      </c>
      <c r="E81" s="8" t="s">
        <v>254</v>
      </c>
      <c r="F81" s="8" t="s">
        <v>200</v>
      </c>
      <c r="G81" s="14">
        <v>2005</v>
      </c>
      <c r="H81" s="8" t="s">
        <v>255</v>
      </c>
      <c r="I81" s="8">
        <v>52.181666669999998</v>
      </c>
      <c r="J81" s="8">
        <v>-75.873888890000003</v>
      </c>
      <c r="K81" s="14">
        <v>155</v>
      </c>
      <c r="L81" s="8"/>
      <c r="M81" s="8" t="s">
        <v>71</v>
      </c>
      <c r="N81" s="8"/>
      <c r="O81" s="8" t="s">
        <v>36</v>
      </c>
      <c r="P81" s="8"/>
      <c r="Q81" s="20">
        <f t="shared" ref="Q81:Q97" si="18">S81*16.04</f>
        <v>28.711600000000001</v>
      </c>
      <c r="R81" s="20"/>
      <c r="S81" s="17">
        <v>1.79</v>
      </c>
      <c r="T81" s="17" t="s">
        <v>256</v>
      </c>
      <c r="U81" s="7">
        <f>Q81*K81/1000</f>
        <v>4.4502980000000001</v>
      </c>
      <c r="V81" s="8"/>
      <c r="W81" s="8"/>
      <c r="X81" s="8"/>
      <c r="Y81" s="9" t="s">
        <v>39</v>
      </c>
      <c r="Z81" s="9">
        <f t="shared" si="13"/>
        <v>1.4279999999999999</v>
      </c>
      <c r="AA81" s="9">
        <f>U81</f>
        <v>4.4502980000000001</v>
      </c>
      <c r="AB81" s="9">
        <f>U81+Z81</f>
        <v>5.878298</v>
      </c>
      <c r="AC81" s="3" t="s">
        <v>881</v>
      </c>
      <c r="AD81" s="8" t="s">
        <v>257</v>
      </c>
      <c r="AE81" s="8"/>
      <c r="AF81" s="8"/>
      <c r="AG81" s="8"/>
    </row>
    <row r="82" spans="1:33" s="1" customFormat="1" ht="15" customHeight="1" x14ac:dyDescent="0.3">
      <c r="A82" s="8" t="s">
        <v>253</v>
      </c>
      <c r="B82" s="8" t="s">
        <v>27</v>
      </c>
      <c r="C82" s="8" t="s">
        <v>27</v>
      </c>
      <c r="D82" s="8" t="s">
        <v>28</v>
      </c>
      <c r="E82" s="8" t="s">
        <v>254</v>
      </c>
      <c r="F82" s="8" t="s">
        <v>200</v>
      </c>
      <c r="G82" s="14">
        <v>2005</v>
      </c>
      <c r="H82" s="8" t="s">
        <v>255</v>
      </c>
      <c r="I82" s="8">
        <v>52.181666669999998</v>
      </c>
      <c r="J82" s="8">
        <v>-75.873888890000003</v>
      </c>
      <c r="K82" s="14">
        <v>155</v>
      </c>
      <c r="L82" s="8"/>
      <c r="M82" s="8" t="s">
        <v>41</v>
      </c>
      <c r="N82" s="8"/>
      <c r="O82" s="8" t="s">
        <v>36</v>
      </c>
      <c r="P82" s="8"/>
      <c r="Q82" s="20">
        <f t="shared" si="18"/>
        <v>123.18719999999999</v>
      </c>
      <c r="R82" s="20"/>
      <c r="S82" s="17">
        <v>7.68</v>
      </c>
      <c r="T82" s="17" t="s">
        <v>256</v>
      </c>
      <c r="U82" s="7">
        <f>Q82*K82/1000</f>
        <v>19.094016</v>
      </c>
      <c r="V82" s="8"/>
      <c r="W82" s="8"/>
      <c r="X82" s="8"/>
      <c r="Y82" s="9" t="s">
        <v>39</v>
      </c>
      <c r="Z82" s="9">
        <f t="shared" si="13"/>
        <v>1.4279999999999999</v>
      </c>
      <c r="AA82" s="9">
        <f>U82</f>
        <v>19.094016</v>
      </c>
      <c r="AB82" s="9">
        <f>U82+Z82</f>
        <v>20.522016000000001</v>
      </c>
      <c r="AC82" s="3" t="s">
        <v>881</v>
      </c>
      <c r="AD82" s="8" t="s">
        <v>257</v>
      </c>
      <c r="AE82" s="8"/>
      <c r="AF82" s="8"/>
      <c r="AG82" s="8"/>
    </row>
    <row r="83" spans="1:33" s="1" customFormat="1" ht="15" customHeight="1" x14ac:dyDescent="0.3">
      <c r="A83" s="8" t="s">
        <v>253</v>
      </c>
      <c r="B83" s="8" t="s">
        <v>27</v>
      </c>
      <c r="C83" s="8" t="s">
        <v>27</v>
      </c>
      <c r="D83" s="8" t="s">
        <v>28</v>
      </c>
      <c r="E83" s="8" t="s">
        <v>259</v>
      </c>
      <c r="F83" s="8" t="s">
        <v>200</v>
      </c>
      <c r="G83" s="14" t="s">
        <v>260</v>
      </c>
      <c r="H83" s="8" t="s">
        <v>255</v>
      </c>
      <c r="I83" s="8">
        <v>52.181666669999998</v>
      </c>
      <c r="J83" s="8">
        <v>-75.873888890000003</v>
      </c>
      <c r="K83" s="14">
        <v>155</v>
      </c>
      <c r="L83" s="8"/>
      <c r="M83" s="8" t="s">
        <v>71</v>
      </c>
      <c r="N83" s="8"/>
      <c r="O83" s="8" t="s">
        <v>36</v>
      </c>
      <c r="P83" s="8"/>
      <c r="Q83" s="20">
        <f>AVERAGE(Q85,Q87)</f>
        <v>12.912199999999999</v>
      </c>
      <c r="R83" s="20"/>
      <c r="S83" s="17"/>
      <c r="T83" s="17" t="s">
        <v>256</v>
      </c>
      <c r="U83" s="7">
        <f>Q83*K83/1000</f>
        <v>2.0013909999999999</v>
      </c>
      <c r="V83" s="8"/>
      <c r="W83" s="8"/>
      <c r="X83" s="8"/>
      <c r="Y83" s="9" t="s">
        <v>39</v>
      </c>
      <c r="Z83" s="9">
        <f t="shared" si="13"/>
        <v>1.4279999999999999</v>
      </c>
      <c r="AA83" s="9">
        <f>U83</f>
        <v>2.0013909999999999</v>
      </c>
      <c r="AB83" s="9">
        <f>U83+Z83</f>
        <v>3.4293909999999999</v>
      </c>
      <c r="AC83" s="3" t="s">
        <v>881</v>
      </c>
      <c r="AD83" s="8" t="s">
        <v>257</v>
      </c>
      <c r="AE83" s="8"/>
      <c r="AF83" s="8"/>
      <c r="AG83" s="8"/>
    </row>
    <row r="84" spans="1:33" s="1" customFormat="1" ht="15" customHeight="1" x14ac:dyDescent="0.3">
      <c r="A84" s="8" t="s">
        <v>253</v>
      </c>
      <c r="B84" s="8" t="s">
        <v>27</v>
      </c>
      <c r="C84" s="8" t="s">
        <v>27</v>
      </c>
      <c r="D84" s="8" t="s">
        <v>28</v>
      </c>
      <c r="E84" s="8" t="s">
        <v>259</v>
      </c>
      <c r="F84" s="8" t="s">
        <v>200</v>
      </c>
      <c r="G84" s="14" t="s">
        <v>260</v>
      </c>
      <c r="H84" s="8" t="s">
        <v>255</v>
      </c>
      <c r="I84" s="8">
        <v>52.181666669999998</v>
      </c>
      <c r="J84" s="8">
        <v>-75.873888890000003</v>
      </c>
      <c r="K84" s="14">
        <v>155</v>
      </c>
      <c r="L84" s="8"/>
      <c r="M84" s="8" t="s">
        <v>41</v>
      </c>
      <c r="N84" s="8"/>
      <c r="O84" s="8" t="s">
        <v>36</v>
      </c>
      <c r="P84" s="8"/>
      <c r="Q84" s="20">
        <f>AVERAGE(Q86,Q88)</f>
        <v>131.60820000000001</v>
      </c>
      <c r="R84" s="20"/>
      <c r="S84" s="17"/>
      <c r="T84" s="17" t="s">
        <v>256</v>
      </c>
      <c r="U84" s="7">
        <f>Q84*K84/1000</f>
        <v>20.399271000000002</v>
      </c>
      <c r="V84" s="8"/>
      <c r="W84" s="8"/>
      <c r="X84" s="8"/>
      <c r="Y84" s="9" t="s">
        <v>39</v>
      </c>
      <c r="Z84" s="9">
        <f t="shared" si="13"/>
        <v>1.4279999999999999</v>
      </c>
      <c r="AA84" s="9">
        <f>U84</f>
        <v>20.399271000000002</v>
      </c>
      <c r="AB84" s="9">
        <f>U84+Z84</f>
        <v>21.827271000000003</v>
      </c>
      <c r="AC84" s="3" t="s">
        <v>881</v>
      </c>
      <c r="AD84" s="8" t="s">
        <v>257</v>
      </c>
      <c r="AE84" s="8"/>
      <c r="AF84" s="8"/>
      <c r="AG84" s="8"/>
    </row>
    <row r="85" spans="1:33" s="1" customFormat="1" ht="15" customHeight="1" x14ac:dyDescent="0.3">
      <c r="A85" s="8" t="s">
        <v>253</v>
      </c>
      <c r="B85" s="8" t="s">
        <v>27</v>
      </c>
      <c r="C85" s="8" t="s">
        <v>27</v>
      </c>
      <c r="D85" s="8" t="s">
        <v>28</v>
      </c>
      <c r="E85" s="8" t="s">
        <v>259</v>
      </c>
      <c r="F85" s="8" t="s">
        <v>200</v>
      </c>
      <c r="G85" s="14">
        <v>2005</v>
      </c>
      <c r="H85" s="8" t="s">
        <v>255</v>
      </c>
      <c r="I85" s="8">
        <v>52.181666669999998</v>
      </c>
      <c r="J85" s="8">
        <v>-75.873888890000003</v>
      </c>
      <c r="K85" s="14">
        <v>155</v>
      </c>
      <c r="L85" s="8"/>
      <c r="M85" s="8" t="s">
        <v>71</v>
      </c>
      <c r="N85" s="8"/>
      <c r="O85" s="8" t="s">
        <v>36</v>
      </c>
      <c r="P85" s="8"/>
      <c r="Q85" s="20">
        <f t="shared" si="18"/>
        <v>10.7468</v>
      </c>
      <c r="R85" s="20"/>
      <c r="S85" s="17">
        <v>0.67</v>
      </c>
      <c r="T85" s="17" t="s">
        <v>256</v>
      </c>
      <c r="U85" s="17"/>
      <c r="V85" s="8"/>
      <c r="W85" s="8"/>
      <c r="X85" s="8"/>
      <c r="Y85" s="8"/>
      <c r="Z85" s="8"/>
      <c r="AA85" s="8"/>
      <c r="AB85" s="8"/>
      <c r="AC85" s="8" t="s">
        <v>884</v>
      </c>
      <c r="AD85" s="8" t="s">
        <v>257</v>
      </c>
      <c r="AE85" s="8"/>
      <c r="AF85" s="8"/>
      <c r="AG85" s="8"/>
    </row>
    <row r="86" spans="1:33" s="1" customFormat="1" ht="15" customHeight="1" x14ac:dyDescent="0.3">
      <c r="A86" s="8" t="s">
        <v>253</v>
      </c>
      <c r="B86" s="8" t="s">
        <v>27</v>
      </c>
      <c r="C86" s="8" t="s">
        <v>27</v>
      </c>
      <c r="D86" s="8" t="s">
        <v>28</v>
      </c>
      <c r="E86" s="8" t="s">
        <v>259</v>
      </c>
      <c r="F86" s="8" t="s">
        <v>200</v>
      </c>
      <c r="G86" s="14">
        <v>2005</v>
      </c>
      <c r="H86" s="8" t="s">
        <v>255</v>
      </c>
      <c r="I86" s="8">
        <v>52.181666669999998</v>
      </c>
      <c r="J86" s="8">
        <v>-75.873888890000003</v>
      </c>
      <c r="K86" s="14">
        <v>155</v>
      </c>
      <c r="L86" s="8"/>
      <c r="M86" s="8" t="s">
        <v>41</v>
      </c>
      <c r="N86" s="8"/>
      <c r="O86" s="8" t="s">
        <v>36</v>
      </c>
      <c r="P86" s="8"/>
      <c r="Q86" s="20">
        <f t="shared" si="18"/>
        <v>133.61320000000001</v>
      </c>
      <c r="R86" s="20"/>
      <c r="S86" s="17">
        <v>8.33</v>
      </c>
      <c r="T86" s="17" t="s">
        <v>256</v>
      </c>
      <c r="U86" s="17"/>
      <c r="V86" s="8"/>
      <c r="W86" s="8"/>
      <c r="X86" s="8"/>
      <c r="Y86" s="8"/>
      <c r="Z86" s="8"/>
      <c r="AA86" s="8"/>
      <c r="AB86" s="8"/>
      <c r="AC86" s="8" t="s">
        <v>884</v>
      </c>
      <c r="AD86" s="8" t="s">
        <v>257</v>
      </c>
      <c r="AE86" s="8"/>
      <c r="AF86" s="8"/>
      <c r="AG86" s="8"/>
    </row>
    <row r="87" spans="1:33" s="1" customFormat="1" ht="15" customHeight="1" x14ac:dyDescent="0.3">
      <c r="A87" s="8" t="s">
        <v>253</v>
      </c>
      <c r="B87" s="8" t="s">
        <v>27</v>
      </c>
      <c r="C87" s="8" t="s">
        <v>27</v>
      </c>
      <c r="D87" s="8" t="s">
        <v>28</v>
      </c>
      <c r="E87" s="8" t="s">
        <v>259</v>
      </c>
      <c r="F87" s="8" t="s">
        <v>200</v>
      </c>
      <c r="G87" s="14">
        <v>2006</v>
      </c>
      <c r="H87" s="8" t="s">
        <v>255</v>
      </c>
      <c r="I87" s="8">
        <v>52.181666669999998</v>
      </c>
      <c r="J87" s="8">
        <v>-75.873888890000003</v>
      </c>
      <c r="K87" s="14">
        <v>155</v>
      </c>
      <c r="L87" s="8"/>
      <c r="M87" s="8" t="s">
        <v>71</v>
      </c>
      <c r="N87" s="8"/>
      <c r="O87" s="8" t="s">
        <v>36</v>
      </c>
      <c r="P87" s="8"/>
      <c r="Q87" s="20">
        <f t="shared" si="18"/>
        <v>15.077599999999999</v>
      </c>
      <c r="R87" s="20"/>
      <c r="S87" s="17">
        <v>0.94</v>
      </c>
      <c r="T87" s="17" t="s">
        <v>256</v>
      </c>
      <c r="U87" s="17"/>
      <c r="V87" s="8"/>
      <c r="W87" s="8"/>
      <c r="X87" s="8"/>
      <c r="Y87" s="8"/>
      <c r="Z87" s="8"/>
      <c r="AA87" s="8"/>
      <c r="AB87" s="8"/>
      <c r="AC87" s="8" t="s">
        <v>884</v>
      </c>
      <c r="AD87" s="8" t="s">
        <v>257</v>
      </c>
      <c r="AE87" s="8"/>
      <c r="AF87" s="8"/>
      <c r="AG87" s="8"/>
    </row>
    <row r="88" spans="1:33" s="1" customFormat="1" ht="15" customHeight="1" x14ac:dyDescent="0.3">
      <c r="A88" s="8" t="s">
        <v>253</v>
      </c>
      <c r="B88" s="8" t="s">
        <v>27</v>
      </c>
      <c r="C88" s="8" t="s">
        <v>27</v>
      </c>
      <c r="D88" s="8" t="s">
        <v>28</v>
      </c>
      <c r="E88" s="8" t="s">
        <v>259</v>
      </c>
      <c r="F88" s="8" t="s">
        <v>200</v>
      </c>
      <c r="G88" s="14">
        <v>2006</v>
      </c>
      <c r="H88" s="8" t="s">
        <v>255</v>
      </c>
      <c r="I88" s="8">
        <v>52.181666669999998</v>
      </c>
      <c r="J88" s="8">
        <v>-75.873888890000003</v>
      </c>
      <c r="K88" s="14">
        <v>155</v>
      </c>
      <c r="L88" s="8"/>
      <c r="M88" s="8" t="s">
        <v>41</v>
      </c>
      <c r="N88" s="8"/>
      <c r="O88" s="8" t="s">
        <v>36</v>
      </c>
      <c r="P88" s="8"/>
      <c r="Q88" s="20">
        <f t="shared" si="18"/>
        <v>129.60319999999999</v>
      </c>
      <c r="R88" s="20"/>
      <c r="S88" s="17">
        <v>8.08</v>
      </c>
      <c r="T88" s="17" t="s">
        <v>256</v>
      </c>
      <c r="U88" s="17"/>
      <c r="V88" s="8"/>
      <c r="W88" s="8"/>
      <c r="X88" s="8"/>
      <c r="Y88" s="8"/>
      <c r="Z88" s="8"/>
      <c r="AA88" s="8"/>
      <c r="AB88" s="8"/>
      <c r="AC88" s="8" t="s">
        <v>884</v>
      </c>
      <c r="AD88" s="8" t="s">
        <v>257</v>
      </c>
      <c r="AE88" s="8"/>
      <c r="AF88" s="8"/>
      <c r="AG88" s="8"/>
    </row>
    <row r="89" spans="1:33" s="1" customFormat="1" ht="15" customHeight="1" x14ac:dyDescent="0.3">
      <c r="A89" s="8" t="s">
        <v>253</v>
      </c>
      <c r="B89" s="8" t="s">
        <v>27</v>
      </c>
      <c r="C89" s="8" t="s">
        <v>27</v>
      </c>
      <c r="D89" s="8" t="s">
        <v>28</v>
      </c>
      <c r="E89" s="8" t="s">
        <v>261</v>
      </c>
      <c r="F89" s="8" t="s">
        <v>200</v>
      </c>
      <c r="G89" s="14">
        <v>2005</v>
      </c>
      <c r="H89" s="8" t="s">
        <v>255</v>
      </c>
      <c r="I89" s="8">
        <v>52.181666669999998</v>
      </c>
      <c r="J89" s="8">
        <v>-75.873888890000003</v>
      </c>
      <c r="K89" s="14">
        <v>155</v>
      </c>
      <c r="L89" s="8"/>
      <c r="M89" s="8" t="s">
        <v>262</v>
      </c>
      <c r="N89" s="8"/>
      <c r="O89" s="8" t="s">
        <v>36</v>
      </c>
      <c r="P89" s="8"/>
      <c r="Q89" s="20">
        <f t="shared" si="18"/>
        <v>16.360800000000001</v>
      </c>
      <c r="R89" s="20"/>
      <c r="S89" s="17">
        <v>1.02</v>
      </c>
      <c r="T89" s="17" t="s">
        <v>256</v>
      </c>
      <c r="U89" s="17"/>
      <c r="V89" s="8"/>
      <c r="W89" s="8"/>
      <c r="X89" s="8"/>
      <c r="Y89" s="8"/>
      <c r="Z89" s="8"/>
      <c r="AA89" s="8"/>
      <c r="AB89" s="8"/>
      <c r="AC89" s="8" t="s">
        <v>883</v>
      </c>
      <c r="AD89" s="8" t="s">
        <v>263</v>
      </c>
      <c r="AE89" s="8"/>
      <c r="AF89" s="8"/>
      <c r="AG89" s="8"/>
    </row>
    <row r="90" spans="1:33" s="1" customFormat="1" ht="15" customHeight="1" x14ac:dyDescent="0.3">
      <c r="A90" s="8" t="s">
        <v>253</v>
      </c>
      <c r="B90" s="8" t="s">
        <v>27</v>
      </c>
      <c r="C90" s="8" t="s">
        <v>27</v>
      </c>
      <c r="D90" s="8" t="s">
        <v>28</v>
      </c>
      <c r="E90" s="8" t="s">
        <v>264</v>
      </c>
      <c r="F90" s="8" t="s">
        <v>200</v>
      </c>
      <c r="G90" s="14">
        <v>2005</v>
      </c>
      <c r="H90" s="8" t="s">
        <v>255</v>
      </c>
      <c r="I90" s="8">
        <v>52.181666669999998</v>
      </c>
      <c r="J90" s="8">
        <v>-75.873888890000003</v>
      </c>
      <c r="K90" s="14">
        <v>155</v>
      </c>
      <c r="L90" s="8"/>
      <c r="M90" s="8" t="s">
        <v>262</v>
      </c>
      <c r="N90" s="8"/>
      <c r="O90" s="8" t="s">
        <v>36</v>
      </c>
      <c r="P90" s="8"/>
      <c r="Q90" s="20">
        <f t="shared" si="18"/>
        <v>28.230399999999999</v>
      </c>
      <c r="R90" s="20"/>
      <c r="S90" s="17">
        <v>1.76</v>
      </c>
      <c r="T90" s="17" t="s">
        <v>256</v>
      </c>
      <c r="U90" s="17"/>
      <c r="V90" s="8"/>
      <c r="W90" s="8"/>
      <c r="X90" s="8"/>
      <c r="Y90" s="8"/>
      <c r="Z90" s="8"/>
      <c r="AA90" s="8"/>
      <c r="AB90" s="8"/>
      <c r="AC90" s="8" t="s">
        <v>883</v>
      </c>
      <c r="AD90" s="8" t="s">
        <v>263</v>
      </c>
      <c r="AE90" s="8"/>
      <c r="AF90" s="8"/>
      <c r="AG90" s="8"/>
    </row>
    <row r="91" spans="1:33" s="1" customFormat="1" ht="15" customHeight="1" x14ac:dyDescent="0.3">
      <c r="A91" s="8" t="s">
        <v>253</v>
      </c>
      <c r="B91" s="8" t="s">
        <v>27</v>
      </c>
      <c r="C91" s="8" t="s">
        <v>27</v>
      </c>
      <c r="D91" s="8" t="s">
        <v>28</v>
      </c>
      <c r="E91" s="8" t="s">
        <v>265</v>
      </c>
      <c r="F91" s="8" t="s">
        <v>200</v>
      </c>
      <c r="G91" s="14">
        <v>2005</v>
      </c>
      <c r="H91" s="8" t="s">
        <v>255</v>
      </c>
      <c r="I91" s="8">
        <v>52.181666669999998</v>
      </c>
      <c r="J91" s="8">
        <v>-75.873888890000003</v>
      </c>
      <c r="K91" s="14">
        <v>155</v>
      </c>
      <c r="L91" s="8"/>
      <c r="M91" s="8" t="s">
        <v>262</v>
      </c>
      <c r="N91" s="8"/>
      <c r="O91" s="8" t="s">
        <v>36</v>
      </c>
      <c r="P91" s="8"/>
      <c r="Q91" s="20">
        <f t="shared" si="18"/>
        <v>25.824400000000001</v>
      </c>
      <c r="R91" s="20"/>
      <c r="S91" s="17">
        <v>1.61</v>
      </c>
      <c r="T91" s="17" t="s">
        <v>256</v>
      </c>
      <c r="U91" s="17"/>
      <c r="V91" s="8"/>
      <c r="W91" s="8"/>
      <c r="X91" s="8"/>
      <c r="Y91" s="8"/>
      <c r="Z91" s="8"/>
      <c r="AA91" s="8"/>
      <c r="AB91" s="8"/>
      <c r="AC91" s="8" t="s">
        <v>883</v>
      </c>
      <c r="AD91" s="8" t="s">
        <v>263</v>
      </c>
      <c r="AE91" s="8"/>
      <c r="AF91" s="8"/>
      <c r="AG91" s="8"/>
    </row>
    <row r="92" spans="1:33" s="1" customFormat="1" ht="15" customHeight="1" x14ac:dyDescent="0.3">
      <c r="A92" s="8" t="s">
        <v>253</v>
      </c>
      <c r="B92" s="8" t="s">
        <v>27</v>
      </c>
      <c r="C92" s="8" t="s">
        <v>27</v>
      </c>
      <c r="D92" s="8" t="s">
        <v>28</v>
      </c>
      <c r="E92" s="8" t="s">
        <v>266</v>
      </c>
      <c r="F92" s="8" t="s">
        <v>200</v>
      </c>
      <c r="G92" s="14">
        <v>2005</v>
      </c>
      <c r="H92" s="8" t="s">
        <v>255</v>
      </c>
      <c r="I92" s="8">
        <v>52.181666669999998</v>
      </c>
      <c r="J92" s="8">
        <v>-75.873888890000003</v>
      </c>
      <c r="K92" s="14">
        <v>155</v>
      </c>
      <c r="L92" s="8"/>
      <c r="M92" s="8" t="s">
        <v>262</v>
      </c>
      <c r="N92" s="8"/>
      <c r="O92" s="8" t="s">
        <v>36</v>
      </c>
      <c r="P92" s="8"/>
      <c r="Q92" s="20">
        <f t="shared" si="18"/>
        <v>16.04</v>
      </c>
      <c r="R92" s="20"/>
      <c r="S92" s="17">
        <v>1</v>
      </c>
      <c r="T92" s="17" t="s">
        <v>256</v>
      </c>
      <c r="U92" s="17"/>
      <c r="V92" s="8"/>
      <c r="W92" s="8"/>
      <c r="X92" s="8"/>
      <c r="Y92" s="8"/>
      <c r="Z92" s="8"/>
      <c r="AA92" s="8"/>
      <c r="AB92" s="8"/>
      <c r="AC92" s="8" t="s">
        <v>883</v>
      </c>
      <c r="AD92" s="8" t="s">
        <v>263</v>
      </c>
      <c r="AE92" s="8"/>
      <c r="AF92" s="8"/>
      <c r="AG92" s="8"/>
    </row>
    <row r="93" spans="1:33" s="1" customFormat="1" ht="15" customHeight="1" x14ac:dyDescent="0.3">
      <c r="A93" s="8" t="s">
        <v>253</v>
      </c>
      <c r="B93" s="8" t="s">
        <v>27</v>
      </c>
      <c r="C93" s="8" t="s">
        <v>27</v>
      </c>
      <c r="D93" s="8" t="s">
        <v>28</v>
      </c>
      <c r="E93" s="8" t="s">
        <v>267</v>
      </c>
      <c r="F93" s="8" t="s">
        <v>200</v>
      </c>
      <c r="G93" s="14">
        <v>2005</v>
      </c>
      <c r="H93" s="8" t="s">
        <v>255</v>
      </c>
      <c r="I93" s="8">
        <v>52.181666669999998</v>
      </c>
      <c r="J93" s="8">
        <v>-75.873888890000003</v>
      </c>
      <c r="K93" s="14">
        <v>155</v>
      </c>
      <c r="L93" s="8"/>
      <c r="M93" s="8" t="s">
        <v>262</v>
      </c>
      <c r="N93" s="8"/>
      <c r="O93" s="8" t="s">
        <v>36</v>
      </c>
      <c r="P93" s="8"/>
      <c r="Q93" s="20">
        <f t="shared" si="18"/>
        <v>17.162800000000001</v>
      </c>
      <c r="R93" s="20"/>
      <c r="S93" s="17">
        <v>1.07</v>
      </c>
      <c r="T93" s="17" t="s">
        <v>256</v>
      </c>
      <c r="U93" s="17"/>
      <c r="V93" s="8"/>
      <c r="W93" s="8"/>
      <c r="X93" s="8"/>
      <c r="Y93" s="8"/>
      <c r="Z93" s="8"/>
      <c r="AA93" s="8"/>
      <c r="AB93" s="8"/>
      <c r="AC93" s="8" t="s">
        <v>883</v>
      </c>
      <c r="AD93" s="8" t="s">
        <v>263</v>
      </c>
      <c r="AE93" s="8"/>
      <c r="AF93" s="8"/>
      <c r="AG93" s="8"/>
    </row>
    <row r="94" spans="1:33" s="1" customFormat="1" ht="15" customHeight="1" x14ac:dyDescent="0.3">
      <c r="A94" s="8" t="s">
        <v>253</v>
      </c>
      <c r="B94" s="8" t="s">
        <v>27</v>
      </c>
      <c r="C94" s="8" t="s">
        <v>27</v>
      </c>
      <c r="D94" s="8" t="s">
        <v>28</v>
      </c>
      <c r="E94" s="8" t="s">
        <v>268</v>
      </c>
      <c r="F94" s="8" t="s">
        <v>200</v>
      </c>
      <c r="G94" s="14">
        <v>2005</v>
      </c>
      <c r="H94" s="8" t="s">
        <v>255</v>
      </c>
      <c r="I94" s="8">
        <v>52.181666669999998</v>
      </c>
      <c r="J94" s="8">
        <v>-75.873888890000003</v>
      </c>
      <c r="K94" s="14">
        <v>155</v>
      </c>
      <c r="L94" s="8"/>
      <c r="M94" s="8" t="s">
        <v>262</v>
      </c>
      <c r="N94" s="8"/>
      <c r="O94" s="8" t="s">
        <v>36</v>
      </c>
      <c r="P94" s="8"/>
      <c r="Q94" s="20">
        <f t="shared" si="18"/>
        <v>25.022400000000001</v>
      </c>
      <c r="R94" s="20"/>
      <c r="S94" s="17">
        <v>1.56</v>
      </c>
      <c r="T94" s="17" t="s">
        <v>256</v>
      </c>
      <c r="U94" s="17"/>
      <c r="V94" s="8"/>
      <c r="W94" s="8"/>
      <c r="X94" s="8"/>
      <c r="Y94" s="8"/>
      <c r="Z94" s="8"/>
      <c r="AA94" s="8"/>
      <c r="AB94" s="8"/>
      <c r="AC94" s="8" t="s">
        <v>883</v>
      </c>
      <c r="AD94" s="8" t="s">
        <v>263</v>
      </c>
      <c r="AE94" s="8"/>
      <c r="AF94" s="8"/>
      <c r="AG94" s="8"/>
    </row>
    <row r="95" spans="1:33" s="1" customFormat="1" ht="15" customHeight="1" x14ac:dyDescent="0.3">
      <c r="A95" s="8" t="s">
        <v>253</v>
      </c>
      <c r="B95" s="8" t="s">
        <v>27</v>
      </c>
      <c r="C95" s="8" t="s">
        <v>27</v>
      </c>
      <c r="D95" s="8" t="s">
        <v>28</v>
      </c>
      <c r="E95" s="8" t="s">
        <v>266</v>
      </c>
      <c r="F95" s="8" t="s">
        <v>200</v>
      </c>
      <c r="G95" s="14">
        <v>2006</v>
      </c>
      <c r="H95" s="8" t="s">
        <v>255</v>
      </c>
      <c r="I95" s="8">
        <v>52.181666669999998</v>
      </c>
      <c r="J95" s="8">
        <v>-75.873888890000003</v>
      </c>
      <c r="K95" s="14">
        <v>155</v>
      </c>
      <c r="L95" s="8"/>
      <c r="M95" s="8" t="s">
        <v>262</v>
      </c>
      <c r="N95" s="8"/>
      <c r="O95" s="8" t="s">
        <v>36</v>
      </c>
      <c r="P95" s="8"/>
      <c r="Q95" s="20">
        <f t="shared" si="18"/>
        <v>28.07</v>
      </c>
      <c r="R95" s="20"/>
      <c r="S95" s="17">
        <v>1.75</v>
      </c>
      <c r="T95" s="17" t="s">
        <v>256</v>
      </c>
      <c r="U95" s="17"/>
      <c r="V95" s="8"/>
      <c r="W95" s="8"/>
      <c r="X95" s="8"/>
      <c r="Y95" s="8"/>
      <c r="Z95" s="8"/>
      <c r="AA95" s="8"/>
      <c r="AB95" s="8"/>
      <c r="AC95" s="8" t="s">
        <v>883</v>
      </c>
      <c r="AD95" s="8" t="s">
        <v>263</v>
      </c>
      <c r="AE95" s="8"/>
      <c r="AF95" s="8"/>
      <c r="AG95" s="8"/>
    </row>
    <row r="96" spans="1:33" s="1" customFormat="1" ht="15" customHeight="1" x14ac:dyDescent="0.3">
      <c r="A96" s="8" t="s">
        <v>253</v>
      </c>
      <c r="B96" s="8" t="s">
        <v>27</v>
      </c>
      <c r="C96" s="8" t="s">
        <v>27</v>
      </c>
      <c r="D96" s="8" t="s">
        <v>28</v>
      </c>
      <c r="E96" s="8" t="s">
        <v>267</v>
      </c>
      <c r="F96" s="8" t="s">
        <v>200</v>
      </c>
      <c r="G96" s="14">
        <v>2006</v>
      </c>
      <c r="H96" s="8" t="s">
        <v>255</v>
      </c>
      <c r="I96" s="8">
        <v>52.181666669999998</v>
      </c>
      <c r="J96" s="8">
        <v>-75.873888890000003</v>
      </c>
      <c r="K96" s="14">
        <v>155</v>
      </c>
      <c r="L96" s="8"/>
      <c r="M96" s="8" t="s">
        <v>262</v>
      </c>
      <c r="N96" s="8"/>
      <c r="O96" s="8" t="s">
        <v>36</v>
      </c>
      <c r="P96" s="8"/>
      <c r="Q96" s="20">
        <f t="shared" si="18"/>
        <v>18.445999999999998</v>
      </c>
      <c r="R96" s="20"/>
      <c r="S96" s="17">
        <v>1.1499999999999999</v>
      </c>
      <c r="T96" s="17" t="s">
        <v>256</v>
      </c>
      <c r="U96" s="17"/>
      <c r="V96" s="8"/>
      <c r="W96" s="8"/>
      <c r="X96" s="8"/>
      <c r="Y96" s="8"/>
      <c r="Z96" s="8"/>
      <c r="AA96" s="8"/>
      <c r="AB96" s="8"/>
      <c r="AC96" s="8" t="s">
        <v>883</v>
      </c>
      <c r="AD96" s="8" t="s">
        <v>263</v>
      </c>
      <c r="AE96" s="8"/>
      <c r="AF96" s="8"/>
      <c r="AG96" s="8"/>
    </row>
    <row r="97" spans="1:33" s="1" customFormat="1" ht="15" customHeight="1" x14ac:dyDescent="0.3">
      <c r="A97" s="8" t="s">
        <v>253</v>
      </c>
      <c r="B97" s="8" t="s">
        <v>27</v>
      </c>
      <c r="C97" s="8" t="s">
        <v>27</v>
      </c>
      <c r="D97" s="8" t="s">
        <v>28</v>
      </c>
      <c r="E97" s="8" t="s">
        <v>268</v>
      </c>
      <c r="F97" s="8" t="s">
        <v>200</v>
      </c>
      <c r="G97" s="14">
        <v>2006</v>
      </c>
      <c r="H97" s="8" t="s">
        <v>255</v>
      </c>
      <c r="I97" s="8">
        <v>52.181666669999998</v>
      </c>
      <c r="J97" s="8">
        <v>-75.873888890000003</v>
      </c>
      <c r="K97" s="14">
        <v>155</v>
      </c>
      <c r="L97" s="8"/>
      <c r="M97" s="8" t="s">
        <v>262</v>
      </c>
      <c r="N97" s="8"/>
      <c r="O97" s="8" t="s">
        <v>36</v>
      </c>
      <c r="P97" s="8"/>
      <c r="Q97" s="20">
        <f t="shared" si="18"/>
        <v>18.285599999999999</v>
      </c>
      <c r="R97" s="20"/>
      <c r="S97" s="17">
        <v>1.1399999999999999</v>
      </c>
      <c r="T97" s="17" t="s">
        <v>256</v>
      </c>
      <c r="U97" s="17"/>
      <c r="V97" s="8"/>
      <c r="W97" s="8"/>
      <c r="X97" s="8"/>
      <c r="Y97" s="8"/>
      <c r="Z97" s="8"/>
      <c r="AA97" s="8"/>
      <c r="AB97" s="8"/>
      <c r="AC97" s="8" t="s">
        <v>883</v>
      </c>
      <c r="AD97" s="8" t="s">
        <v>263</v>
      </c>
      <c r="AE97" s="8"/>
      <c r="AF97" s="8"/>
      <c r="AG97" s="8"/>
    </row>
    <row r="98" spans="1:33" s="1" customFormat="1" ht="15" customHeight="1" x14ac:dyDescent="0.3">
      <c r="A98" s="8" t="s">
        <v>269</v>
      </c>
      <c r="B98" s="8" t="s">
        <v>27</v>
      </c>
      <c r="C98" s="8" t="s">
        <v>27</v>
      </c>
      <c r="D98" s="8" t="s">
        <v>270</v>
      </c>
      <c r="E98" s="8" t="s">
        <v>271</v>
      </c>
      <c r="F98" s="8" t="s">
        <v>272</v>
      </c>
      <c r="G98" s="14">
        <v>1995</v>
      </c>
      <c r="H98" s="8" t="s">
        <v>273</v>
      </c>
      <c r="I98" s="8">
        <v>62.466666666666697</v>
      </c>
      <c r="J98" s="3">
        <v>-122.26666666666701</v>
      </c>
      <c r="K98" s="14">
        <v>134</v>
      </c>
      <c r="L98" s="8" t="s">
        <v>274</v>
      </c>
      <c r="M98" s="8" t="s">
        <v>275</v>
      </c>
      <c r="N98" s="14"/>
      <c r="O98" s="8" t="s">
        <v>36</v>
      </c>
      <c r="P98" s="15" t="s">
        <v>276</v>
      </c>
      <c r="Q98" s="8">
        <v>100.5</v>
      </c>
      <c r="R98" s="8"/>
      <c r="S98" s="8"/>
      <c r="T98" s="6" t="s">
        <v>86</v>
      </c>
      <c r="U98" s="7">
        <f>Q98*K98/1000</f>
        <v>13.467000000000001</v>
      </c>
      <c r="V98" s="20"/>
      <c r="W98" s="8"/>
      <c r="X98" s="8"/>
      <c r="Y98" s="9" t="s">
        <v>39</v>
      </c>
      <c r="Z98" s="9">
        <f t="shared" ref="Z98:Z99" si="19">6.8/1000*(365-K98)</f>
        <v>1.5708</v>
      </c>
      <c r="AA98" s="9">
        <f>U98</f>
        <v>13.467000000000001</v>
      </c>
      <c r="AB98" s="9">
        <f>U98+Z98</f>
        <v>15.037800000000001</v>
      </c>
      <c r="AC98" s="3" t="s">
        <v>881</v>
      </c>
      <c r="AD98" s="8"/>
      <c r="AE98" s="8"/>
      <c r="AF98" s="8"/>
      <c r="AG98" s="8"/>
    </row>
    <row r="99" spans="1:33" s="1" customFormat="1" ht="15" customHeight="1" x14ac:dyDescent="0.3">
      <c r="A99" s="8" t="s">
        <v>269</v>
      </c>
      <c r="B99" s="8" t="s">
        <v>27</v>
      </c>
      <c r="C99" s="8" t="s">
        <v>27</v>
      </c>
      <c r="D99" s="8" t="s">
        <v>270</v>
      </c>
      <c r="E99" s="8" t="s">
        <v>271</v>
      </c>
      <c r="F99" s="8" t="s">
        <v>272</v>
      </c>
      <c r="G99" s="14">
        <v>1995</v>
      </c>
      <c r="H99" s="8" t="s">
        <v>273</v>
      </c>
      <c r="I99" s="8">
        <v>62.466666666666669</v>
      </c>
      <c r="J99" s="3">
        <v>-122.26666666666701</v>
      </c>
      <c r="K99" s="14">
        <v>134</v>
      </c>
      <c r="L99" s="8" t="s">
        <v>277</v>
      </c>
      <c r="M99" s="8" t="s">
        <v>278</v>
      </c>
      <c r="N99" s="14"/>
      <c r="O99" s="8" t="s">
        <v>36</v>
      </c>
      <c r="P99" s="15" t="s">
        <v>279</v>
      </c>
      <c r="Q99" s="8">
        <v>-0.47</v>
      </c>
      <c r="R99" s="8"/>
      <c r="S99" s="17"/>
      <c r="T99" s="6" t="s">
        <v>86</v>
      </c>
      <c r="U99" s="7">
        <f>Q99*K99/1000</f>
        <v>-6.2979999999999994E-2</v>
      </c>
      <c r="V99" s="20"/>
      <c r="W99" s="8"/>
      <c r="X99" s="8"/>
      <c r="Y99" s="9" t="s">
        <v>39</v>
      </c>
      <c r="Z99" s="9">
        <f t="shared" si="19"/>
        <v>1.5708</v>
      </c>
      <c r="AA99" s="9">
        <f>U99</f>
        <v>-6.2979999999999994E-2</v>
      </c>
      <c r="AB99" s="9">
        <f>U99+Z99</f>
        <v>1.5078199999999999</v>
      </c>
      <c r="AC99" s="3" t="s">
        <v>881</v>
      </c>
      <c r="AD99" s="8"/>
      <c r="AE99" s="8"/>
      <c r="AF99" s="8"/>
      <c r="AG99" s="8"/>
    </row>
    <row r="100" spans="1:33" s="1" customFormat="1" ht="15" customHeight="1" x14ac:dyDescent="0.3">
      <c r="A100" s="32" t="s">
        <v>280</v>
      </c>
      <c r="B100" s="8" t="s">
        <v>27</v>
      </c>
      <c r="C100" s="8" t="s">
        <v>27</v>
      </c>
      <c r="D100" s="8" t="s">
        <v>190</v>
      </c>
      <c r="E100" s="8" t="s">
        <v>281</v>
      </c>
      <c r="F100" s="8" t="s">
        <v>272</v>
      </c>
      <c r="G100" s="23" t="s">
        <v>282</v>
      </c>
      <c r="H100" s="8" t="s">
        <v>283</v>
      </c>
      <c r="I100" s="3">
        <v>59</v>
      </c>
      <c r="J100" s="3">
        <v>-117</v>
      </c>
      <c r="K100" s="14">
        <v>145</v>
      </c>
      <c r="L100" s="8" t="s">
        <v>284</v>
      </c>
      <c r="M100" s="8"/>
      <c r="N100" s="14"/>
      <c r="O100" s="8" t="s">
        <v>36</v>
      </c>
      <c r="P100" s="15" t="s">
        <v>285</v>
      </c>
      <c r="Q100" s="6"/>
      <c r="R100" s="30">
        <f>AVERAGE(R102,R104)</f>
        <v>265.51724137931035</v>
      </c>
      <c r="S100" s="6"/>
      <c r="T100" s="6"/>
      <c r="U100" s="6"/>
      <c r="V100" s="8"/>
      <c r="W100" s="20"/>
      <c r="X100" s="8"/>
      <c r="Y100" s="26" t="s">
        <v>286</v>
      </c>
      <c r="Z100" s="26"/>
      <c r="AA100" s="26"/>
      <c r="AB100" s="26"/>
      <c r="AC100" s="3" t="s">
        <v>881</v>
      </c>
      <c r="AD100" s="20" t="s">
        <v>287</v>
      </c>
      <c r="AE100" s="8"/>
      <c r="AF100" s="8"/>
      <c r="AG100" s="8"/>
    </row>
    <row r="101" spans="1:33" s="1" customFormat="1" ht="15" customHeight="1" x14ac:dyDescent="0.3">
      <c r="A101" s="32" t="s">
        <v>280</v>
      </c>
      <c r="B101" s="8" t="s">
        <v>27</v>
      </c>
      <c r="C101" s="8" t="s">
        <v>27</v>
      </c>
      <c r="D101" s="8" t="s">
        <v>190</v>
      </c>
      <c r="E101" s="8" t="s">
        <v>281</v>
      </c>
      <c r="F101" s="8" t="s">
        <v>272</v>
      </c>
      <c r="G101" s="23" t="s">
        <v>282</v>
      </c>
      <c r="H101" s="8" t="s">
        <v>283</v>
      </c>
      <c r="I101" s="8">
        <v>59</v>
      </c>
      <c r="J101" s="3">
        <v>-117</v>
      </c>
      <c r="K101" s="14">
        <v>145</v>
      </c>
      <c r="L101" s="8" t="s">
        <v>288</v>
      </c>
      <c r="M101" s="8"/>
      <c r="N101" s="14"/>
      <c r="O101" s="8" t="s">
        <v>36</v>
      </c>
      <c r="P101" s="15" t="s">
        <v>289</v>
      </c>
      <c r="Q101" s="6"/>
      <c r="R101" s="30">
        <f>AVERAGE(R103,R105)</f>
        <v>131.0344827586207</v>
      </c>
      <c r="S101" s="6"/>
      <c r="T101" s="6"/>
      <c r="U101" s="6"/>
      <c r="V101" s="8"/>
      <c r="W101" s="20"/>
      <c r="X101" s="8"/>
      <c r="Y101" s="26" t="s">
        <v>286</v>
      </c>
      <c r="Z101" s="26"/>
      <c r="AA101" s="26"/>
      <c r="AB101" s="26"/>
      <c r="AC101" s="3" t="s">
        <v>881</v>
      </c>
      <c r="AD101" s="20" t="s">
        <v>287</v>
      </c>
      <c r="AE101" s="8"/>
      <c r="AF101" s="8"/>
      <c r="AG101" s="8"/>
    </row>
    <row r="102" spans="1:33" s="1" customFormat="1" ht="15" customHeight="1" x14ac:dyDescent="0.3">
      <c r="A102" s="32" t="s">
        <v>280</v>
      </c>
      <c r="B102" s="8" t="s">
        <v>27</v>
      </c>
      <c r="C102" s="8" t="s">
        <v>27</v>
      </c>
      <c r="D102" s="8" t="s">
        <v>190</v>
      </c>
      <c r="E102" s="8" t="s">
        <v>281</v>
      </c>
      <c r="F102" s="8" t="s">
        <v>272</v>
      </c>
      <c r="G102" s="23">
        <v>2002</v>
      </c>
      <c r="H102" s="8" t="s">
        <v>283</v>
      </c>
      <c r="I102" s="3">
        <v>59</v>
      </c>
      <c r="J102" s="3">
        <v>-117</v>
      </c>
      <c r="K102" s="14">
        <v>145</v>
      </c>
      <c r="L102" s="8" t="s">
        <v>284</v>
      </c>
      <c r="M102" s="8"/>
      <c r="N102" s="14"/>
      <c r="O102" s="8" t="s">
        <v>36</v>
      </c>
      <c r="P102" s="15" t="s">
        <v>285</v>
      </c>
      <c r="Q102" s="6"/>
      <c r="R102" s="30">
        <f t="shared" ref="R102:R105" si="20">V102/K102*1000</f>
        <v>268.9655172413793</v>
      </c>
      <c r="S102" s="6"/>
      <c r="T102" s="6"/>
      <c r="U102" s="6"/>
      <c r="V102" s="8">
        <v>39</v>
      </c>
      <c r="W102" s="20"/>
      <c r="X102" s="8" t="s">
        <v>290</v>
      </c>
      <c r="Y102" s="26" t="s">
        <v>286</v>
      </c>
      <c r="Z102" s="26"/>
      <c r="AA102" s="12">
        <f>AVERAGE(V102,V104)</f>
        <v>38.5</v>
      </c>
      <c r="AB102" s="26">
        <f>V102</f>
        <v>39</v>
      </c>
      <c r="AC102" s="8" t="s">
        <v>884</v>
      </c>
      <c r="AD102" s="20" t="s">
        <v>287</v>
      </c>
      <c r="AE102" s="8"/>
      <c r="AF102" s="8"/>
      <c r="AG102" s="8"/>
    </row>
    <row r="103" spans="1:33" s="1" customFormat="1" ht="15" customHeight="1" x14ac:dyDescent="0.3">
      <c r="A103" s="32" t="s">
        <v>280</v>
      </c>
      <c r="B103" s="8" t="s">
        <v>27</v>
      </c>
      <c r="C103" s="8" t="s">
        <v>27</v>
      </c>
      <c r="D103" s="8" t="s">
        <v>190</v>
      </c>
      <c r="E103" s="8" t="s">
        <v>281</v>
      </c>
      <c r="F103" s="8" t="s">
        <v>272</v>
      </c>
      <c r="G103" s="23">
        <v>2002</v>
      </c>
      <c r="H103" s="8" t="s">
        <v>283</v>
      </c>
      <c r="I103" s="8">
        <v>59</v>
      </c>
      <c r="J103" s="3">
        <v>-117</v>
      </c>
      <c r="K103" s="14">
        <v>145</v>
      </c>
      <c r="L103" s="8" t="s">
        <v>288</v>
      </c>
      <c r="M103" s="8"/>
      <c r="N103" s="14"/>
      <c r="O103" s="8" t="s">
        <v>36</v>
      </c>
      <c r="P103" s="15" t="s">
        <v>289</v>
      </c>
      <c r="Q103" s="6"/>
      <c r="R103" s="30">
        <f t="shared" si="20"/>
        <v>137.93103448275861</v>
      </c>
      <c r="S103" s="6"/>
      <c r="T103" s="6"/>
      <c r="U103" s="6"/>
      <c r="V103" s="8">
        <v>20</v>
      </c>
      <c r="W103" s="20"/>
      <c r="X103" s="8" t="s">
        <v>290</v>
      </c>
      <c r="Y103" s="26" t="s">
        <v>286</v>
      </c>
      <c r="Z103" s="26"/>
      <c r="AA103" s="12">
        <f>AVERAGE(V103,V105)</f>
        <v>19</v>
      </c>
      <c r="AB103" s="26">
        <f>V103</f>
        <v>20</v>
      </c>
      <c r="AC103" s="8" t="s">
        <v>884</v>
      </c>
      <c r="AD103" s="20" t="s">
        <v>287</v>
      </c>
      <c r="AE103" s="8"/>
      <c r="AF103" s="8"/>
      <c r="AG103" s="8"/>
    </row>
    <row r="104" spans="1:33" s="1" customFormat="1" ht="15" customHeight="1" x14ac:dyDescent="0.3">
      <c r="A104" s="32" t="s">
        <v>280</v>
      </c>
      <c r="B104" s="8" t="s">
        <v>27</v>
      </c>
      <c r="C104" s="8" t="s">
        <v>27</v>
      </c>
      <c r="D104" s="8" t="s">
        <v>190</v>
      </c>
      <c r="E104" s="8" t="s">
        <v>281</v>
      </c>
      <c r="F104" s="8" t="s">
        <v>272</v>
      </c>
      <c r="G104" s="23">
        <v>2003</v>
      </c>
      <c r="H104" s="8" t="s">
        <v>283</v>
      </c>
      <c r="I104" s="3">
        <v>59</v>
      </c>
      <c r="J104" s="3">
        <v>-117</v>
      </c>
      <c r="K104" s="14">
        <v>145</v>
      </c>
      <c r="L104" s="8" t="s">
        <v>284</v>
      </c>
      <c r="M104" s="8"/>
      <c r="N104" s="14"/>
      <c r="O104" s="8" t="s">
        <v>36</v>
      </c>
      <c r="P104" s="15" t="s">
        <v>285</v>
      </c>
      <c r="Q104" s="6"/>
      <c r="R104" s="30">
        <f t="shared" si="20"/>
        <v>262.06896551724139</v>
      </c>
      <c r="S104" s="6"/>
      <c r="T104" s="6"/>
      <c r="U104" s="6"/>
      <c r="V104" s="8">
        <v>38</v>
      </c>
      <c r="W104" s="20"/>
      <c r="X104" s="8" t="s">
        <v>290</v>
      </c>
      <c r="Y104" s="26" t="s">
        <v>286</v>
      </c>
      <c r="Z104" s="26"/>
      <c r="AA104" s="26"/>
      <c r="AB104" s="26">
        <f>V104</f>
        <v>38</v>
      </c>
      <c r="AC104" s="8" t="s">
        <v>884</v>
      </c>
      <c r="AD104" s="20" t="s">
        <v>287</v>
      </c>
      <c r="AE104" s="8"/>
      <c r="AF104" s="8"/>
      <c r="AG104" s="8"/>
    </row>
    <row r="105" spans="1:33" s="1" customFormat="1" ht="15" customHeight="1" x14ac:dyDescent="0.3">
      <c r="A105" s="32" t="s">
        <v>280</v>
      </c>
      <c r="B105" s="8" t="s">
        <v>27</v>
      </c>
      <c r="C105" s="8" t="s">
        <v>27</v>
      </c>
      <c r="D105" s="8" t="s">
        <v>190</v>
      </c>
      <c r="E105" s="8" t="s">
        <v>281</v>
      </c>
      <c r="F105" s="8" t="s">
        <v>272</v>
      </c>
      <c r="G105" s="23">
        <v>2003</v>
      </c>
      <c r="H105" s="8" t="s">
        <v>283</v>
      </c>
      <c r="I105" s="8">
        <v>59</v>
      </c>
      <c r="J105" s="3">
        <v>-117</v>
      </c>
      <c r="K105" s="14">
        <v>145</v>
      </c>
      <c r="L105" s="8" t="s">
        <v>288</v>
      </c>
      <c r="M105" s="8"/>
      <c r="N105" s="14"/>
      <c r="O105" s="8" t="s">
        <v>36</v>
      </c>
      <c r="P105" s="15" t="s">
        <v>289</v>
      </c>
      <c r="Q105" s="8"/>
      <c r="R105" s="30">
        <f t="shared" si="20"/>
        <v>124.13793103448276</v>
      </c>
      <c r="S105" s="6"/>
      <c r="T105" s="8"/>
      <c r="U105" s="8"/>
      <c r="V105" s="8">
        <v>18</v>
      </c>
      <c r="W105" s="20"/>
      <c r="X105" s="8" t="s">
        <v>290</v>
      </c>
      <c r="Y105" s="26" t="s">
        <v>286</v>
      </c>
      <c r="Z105" s="26"/>
      <c r="AA105" s="26"/>
      <c r="AB105" s="26">
        <f>V105</f>
        <v>18</v>
      </c>
      <c r="AC105" s="8" t="s">
        <v>884</v>
      </c>
      <c r="AD105" s="20" t="s">
        <v>287</v>
      </c>
      <c r="AE105" s="8"/>
      <c r="AF105" s="8"/>
      <c r="AG105" s="8"/>
    </row>
    <row r="106" spans="1:33" s="3" customFormat="1" ht="15" customHeight="1" x14ac:dyDescent="0.3">
      <c r="A106" s="32" t="s">
        <v>291</v>
      </c>
      <c r="B106" s="3" t="s">
        <v>27</v>
      </c>
      <c r="C106" s="3" t="s">
        <v>27</v>
      </c>
      <c r="D106" s="3" t="s">
        <v>28</v>
      </c>
      <c r="E106" s="3" t="s">
        <v>292</v>
      </c>
      <c r="F106" s="3" t="s">
        <v>293</v>
      </c>
      <c r="G106" s="2">
        <v>2003</v>
      </c>
      <c r="H106" s="3" t="s">
        <v>294</v>
      </c>
      <c r="I106" s="3">
        <v>53.633330000000001</v>
      </c>
      <c r="J106" s="3">
        <v>-77.716666669999995</v>
      </c>
      <c r="K106" s="2">
        <v>153</v>
      </c>
      <c r="L106" s="3" t="s">
        <v>295</v>
      </c>
      <c r="M106" s="3" t="s">
        <v>296</v>
      </c>
      <c r="N106" s="2"/>
      <c r="O106" s="3" t="s">
        <v>297</v>
      </c>
      <c r="P106" s="5" t="s">
        <v>298</v>
      </c>
      <c r="Q106" s="10">
        <v>6.0750000000000002</v>
      </c>
      <c r="R106" s="10"/>
      <c r="S106" s="10"/>
      <c r="T106" s="10" t="s">
        <v>86</v>
      </c>
      <c r="U106" s="7">
        <f>Q106*K106/1000</f>
        <v>0.92947500000000005</v>
      </c>
      <c r="V106" s="20"/>
      <c r="Y106" s="9" t="s">
        <v>39</v>
      </c>
      <c r="Z106" s="9">
        <f t="shared" ref="Z106:Z107" si="21">6.8/1000*(365-K106)</f>
        <v>1.4416</v>
      </c>
      <c r="AA106" s="9">
        <f>U106</f>
        <v>0.92947500000000005</v>
      </c>
      <c r="AB106" s="9">
        <f>U106+Z106</f>
        <v>2.3710750000000003</v>
      </c>
      <c r="AC106" s="3" t="s">
        <v>881</v>
      </c>
    </row>
    <row r="107" spans="1:33" s="3" customFormat="1" ht="15" customHeight="1" x14ac:dyDescent="0.3">
      <c r="A107" s="32" t="s">
        <v>291</v>
      </c>
      <c r="B107" s="3" t="s">
        <v>27</v>
      </c>
      <c r="C107" s="3" t="s">
        <v>27</v>
      </c>
      <c r="D107" s="3" t="s">
        <v>28</v>
      </c>
      <c r="E107" s="3" t="s">
        <v>292</v>
      </c>
      <c r="F107" s="3" t="s">
        <v>293</v>
      </c>
      <c r="G107" s="2">
        <v>2003</v>
      </c>
      <c r="H107" s="3" t="s">
        <v>294</v>
      </c>
      <c r="I107" s="3">
        <v>53.633330000000001</v>
      </c>
      <c r="J107" s="3">
        <v>-77.716666669999995</v>
      </c>
      <c r="K107" s="2">
        <v>153</v>
      </c>
      <c r="L107" s="3" t="s">
        <v>295</v>
      </c>
      <c r="M107" s="3" t="s">
        <v>246</v>
      </c>
      <c r="N107" s="2"/>
      <c r="O107" s="3" t="s">
        <v>297</v>
      </c>
      <c r="P107" s="3" t="s">
        <v>299</v>
      </c>
      <c r="Q107" s="10">
        <v>48</v>
      </c>
      <c r="R107" s="10"/>
      <c r="S107" s="10"/>
      <c r="T107" s="10" t="s">
        <v>86</v>
      </c>
      <c r="U107" s="7">
        <f>Q107*K107/1000</f>
        <v>7.3440000000000003</v>
      </c>
      <c r="V107" s="20"/>
      <c r="Y107" s="9" t="s">
        <v>39</v>
      </c>
      <c r="Z107" s="9">
        <f t="shared" si="21"/>
        <v>1.4416</v>
      </c>
      <c r="AA107" s="9">
        <f>U107</f>
        <v>7.3440000000000003</v>
      </c>
      <c r="AB107" s="9">
        <f>U107+Z107</f>
        <v>8.7856000000000005</v>
      </c>
      <c r="AC107" s="3" t="s">
        <v>881</v>
      </c>
    </row>
    <row r="108" spans="1:33" s="13" customFormat="1" ht="15" customHeight="1" x14ac:dyDescent="0.3">
      <c r="A108" s="3" t="s">
        <v>300</v>
      </c>
      <c r="B108" s="3" t="s">
        <v>301</v>
      </c>
      <c r="C108" s="3" t="s">
        <v>302</v>
      </c>
      <c r="D108" s="3" t="s">
        <v>28</v>
      </c>
      <c r="E108" s="3" t="s">
        <v>303</v>
      </c>
      <c r="F108" s="3" t="s">
        <v>304</v>
      </c>
      <c r="G108" s="2">
        <v>2001</v>
      </c>
      <c r="H108" s="3" t="s">
        <v>305</v>
      </c>
      <c r="I108" s="3">
        <v>46.666666669999998</v>
      </c>
      <c r="J108" s="3">
        <v>-71.166666669999998</v>
      </c>
      <c r="K108" s="2">
        <v>194</v>
      </c>
      <c r="L108" s="3" t="s">
        <v>302</v>
      </c>
      <c r="M108" s="3" t="s">
        <v>306</v>
      </c>
      <c r="N108" s="2"/>
      <c r="O108" s="3" t="s">
        <v>36</v>
      </c>
      <c r="P108" s="5"/>
      <c r="Q108" s="3">
        <f>AVERAGE(S126,S144,S135)</f>
        <v>49.150743063273438</v>
      </c>
      <c r="R108" s="3"/>
      <c r="S108" s="3"/>
      <c r="T108" s="10" t="s">
        <v>86</v>
      </c>
      <c r="U108" s="7">
        <f>Q108*K108/1000</f>
        <v>9.5352441542750483</v>
      </c>
      <c r="V108" s="20">
        <f t="shared" ref="V108:W110" si="22">AVERAGE(V111,V114,V117,V120,V123)</f>
        <v>16.025641025641026</v>
      </c>
      <c r="W108" s="3">
        <f t="shared" si="22"/>
        <v>12</v>
      </c>
      <c r="X108" s="22" t="s">
        <v>307</v>
      </c>
      <c r="Y108" s="11" t="s">
        <v>39</v>
      </c>
      <c r="Z108" s="12">
        <f t="shared" ref="Z108:Z110" si="23">6.8/1000*(365-K108)</f>
        <v>1.1627999999999998</v>
      </c>
      <c r="AA108" s="12">
        <f>V108</f>
        <v>16.025641025641026</v>
      </c>
      <c r="AB108" s="12">
        <f>V108+Z108</f>
        <v>17.188441025641026</v>
      </c>
      <c r="AC108" s="3" t="s">
        <v>881</v>
      </c>
      <c r="AD108" s="3" t="s">
        <v>308</v>
      </c>
      <c r="AE108" s="3"/>
      <c r="AF108" s="3"/>
      <c r="AG108" s="3"/>
    </row>
    <row r="109" spans="1:33" s="13" customFormat="1" ht="15" customHeight="1" x14ac:dyDescent="0.3">
      <c r="A109" s="3" t="s">
        <v>300</v>
      </c>
      <c r="B109" s="3" t="s">
        <v>301</v>
      </c>
      <c r="C109" s="3" t="s">
        <v>302</v>
      </c>
      <c r="D109" s="3" t="s">
        <v>28</v>
      </c>
      <c r="E109" s="3" t="s">
        <v>303</v>
      </c>
      <c r="F109" s="3" t="s">
        <v>304</v>
      </c>
      <c r="G109" s="2">
        <v>2001</v>
      </c>
      <c r="H109" s="3" t="s">
        <v>305</v>
      </c>
      <c r="I109" s="3">
        <v>46.666666669999998</v>
      </c>
      <c r="J109" s="3">
        <v>-71.166666669999998</v>
      </c>
      <c r="K109" s="2">
        <v>194</v>
      </c>
      <c r="L109" s="3" t="s">
        <v>302</v>
      </c>
      <c r="M109" s="3" t="s">
        <v>41</v>
      </c>
      <c r="N109" s="2"/>
      <c r="O109" s="3" t="s">
        <v>36</v>
      </c>
      <c r="P109" s="5"/>
      <c r="Q109" s="3">
        <f>AVERAGE(S129,S147,S138)</f>
        <v>75.561639824624578</v>
      </c>
      <c r="R109" s="3"/>
      <c r="S109" s="3"/>
      <c r="T109" s="10" t="s">
        <v>86</v>
      </c>
      <c r="U109" s="7">
        <f>Q109*K109/1000</f>
        <v>14.658958125977168</v>
      </c>
      <c r="V109" s="20">
        <f t="shared" si="22"/>
        <v>23.237179487179489</v>
      </c>
      <c r="W109" s="3">
        <f t="shared" si="22"/>
        <v>17.399999999999999</v>
      </c>
      <c r="X109" s="22" t="s">
        <v>307</v>
      </c>
      <c r="Y109" s="11" t="s">
        <v>39</v>
      </c>
      <c r="Z109" s="12">
        <f t="shared" si="23"/>
        <v>1.1627999999999998</v>
      </c>
      <c r="AA109" s="12">
        <f>V109</f>
        <v>23.237179487179489</v>
      </c>
      <c r="AB109" s="12">
        <f>V109+Z109</f>
        <v>24.39997948717949</v>
      </c>
      <c r="AC109" s="3" t="s">
        <v>881</v>
      </c>
      <c r="AD109" s="3" t="s">
        <v>308</v>
      </c>
      <c r="AE109" s="3"/>
      <c r="AF109" s="3"/>
      <c r="AG109" s="3"/>
    </row>
    <row r="110" spans="1:33" s="13" customFormat="1" ht="15" customHeight="1" x14ac:dyDescent="0.3">
      <c r="A110" s="3" t="s">
        <v>300</v>
      </c>
      <c r="B110" s="3" t="s">
        <v>301</v>
      </c>
      <c r="C110" s="3" t="s">
        <v>302</v>
      </c>
      <c r="D110" s="3" t="s">
        <v>28</v>
      </c>
      <c r="E110" s="3" t="s">
        <v>303</v>
      </c>
      <c r="F110" s="3" t="s">
        <v>304</v>
      </c>
      <c r="G110" s="2">
        <v>2001</v>
      </c>
      <c r="H110" s="3" t="s">
        <v>305</v>
      </c>
      <c r="I110" s="3">
        <v>46.666666669999998</v>
      </c>
      <c r="J110" s="3">
        <v>-71.166666669999998</v>
      </c>
      <c r="K110" s="2">
        <v>194</v>
      </c>
      <c r="L110" s="3" t="s">
        <v>302</v>
      </c>
      <c r="M110" s="3" t="s">
        <v>143</v>
      </c>
      <c r="N110" s="2"/>
      <c r="O110" s="3" t="s">
        <v>36</v>
      </c>
      <c r="P110" s="5"/>
      <c r="Q110" s="3">
        <f>AVERAGE(S132,S150,S141)</f>
        <v>72.682743128721839</v>
      </c>
      <c r="R110" s="3"/>
      <c r="S110" s="3"/>
      <c r="T110" s="10" t="s">
        <v>86</v>
      </c>
      <c r="U110" s="7">
        <f>Q110*K110/1000</f>
        <v>14.100452166972037</v>
      </c>
      <c r="V110" s="20">
        <f t="shared" si="22"/>
        <v>39.529914529914535</v>
      </c>
      <c r="W110" s="3">
        <f t="shared" si="22"/>
        <v>29.6</v>
      </c>
      <c r="X110" s="22" t="s">
        <v>307</v>
      </c>
      <c r="Y110" s="11" t="s">
        <v>39</v>
      </c>
      <c r="Z110" s="12">
        <f t="shared" si="23"/>
        <v>1.1627999999999998</v>
      </c>
      <c r="AA110" s="12">
        <f>V110</f>
        <v>39.529914529914535</v>
      </c>
      <c r="AB110" s="12">
        <f>V110+Z110</f>
        <v>40.692714529914532</v>
      </c>
      <c r="AC110" s="3" t="s">
        <v>881</v>
      </c>
      <c r="AD110" s="3" t="s">
        <v>308</v>
      </c>
      <c r="AE110" s="3"/>
      <c r="AF110" s="3"/>
      <c r="AG110" s="3"/>
    </row>
    <row r="111" spans="1:33" s="13" customFormat="1" ht="15" customHeight="1" x14ac:dyDescent="0.3">
      <c r="A111" s="3" t="s">
        <v>300</v>
      </c>
      <c r="B111" s="3" t="s">
        <v>301</v>
      </c>
      <c r="C111" s="3" t="s">
        <v>302</v>
      </c>
      <c r="D111" s="3" t="s">
        <v>28</v>
      </c>
      <c r="E111" s="3" t="s">
        <v>303</v>
      </c>
      <c r="F111" s="3" t="s">
        <v>304</v>
      </c>
      <c r="G111" s="2">
        <v>2001</v>
      </c>
      <c r="H111" s="3" t="s">
        <v>309</v>
      </c>
      <c r="I111" s="3">
        <v>46.666666669999998</v>
      </c>
      <c r="J111" s="3">
        <v>-71.166666669999998</v>
      </c>
      <c r="K111" s="2">
        <v>194</v>
      </c>
      <c r="L111" s="3" t="s">
        <v>302</v>
      </c>
      <c r="M111" s="3" t="s">
        <v>306</v>
      </c>
      <c r="N111" s="2"/>
      <c r="O111" s="3" t="s">
        <v>36</v>
      </c>
      <c r="P111" s="5"/>
      <c r="Q111" s="26"/>
      <c r="R111" s="26"/>
      <c r="S111" s="3"/>
      <c r="T111" s="10"/>
      <c r="U111" s="10"/>
      <c r="V111" s="20">
        <f t="shared" ref="V111:V125" si="24">W111/0.7488</f>
        <v>13.354700854700853</v>
      </c>
      <c r="W111" s="17">
        <v>10</v>
      </c>
      <c r="X111" s="22" t="s">
        <v>307</v>
      </c>
      <c r="Y111" s="22"/>
      <c r="Z111" s="22"/>
      <c r="AA111" s="22"/>
      <c r="AB111" s="22"/>
      <c r="AC111" s="8" t="s">
        <v>884</v>
      </c>
      <c r="AD111" s="3" t="s">
        <v>308</v>
      </c>
      <c r="AE111" s="3"/>
      <c r="AF111" s="3"/>
      <c r="AG111" s="3"/>
    </row>
    <row r="112" spans="1:33" s="13" customFormat="1" ht="15" customHeight="1" x14ac:dyDescent="0.3">
      <c r="A112" s="3" t="s">
        <v>300</v>
      </c>
      <c r="B112" s="3" t="s">
        <v>301</v>
      </c>
      <c r="C112" s="3" t="s">
        <v>302</v>
      </c>
      <c r="D112" s="3" t="s">
        <v>28</v>
      </c>
      <c r="E112" s="3" t="s">
        <v>303</v>
      </c>
      <c r="F112" s="3" t="s">
        <v>304</v>
      </c>
      <c r="G112" s="2">
        <v>2001</v>
      </c>
      <c r="H112" s="3" t="s">
        <v>309</v>
      </c>
      <c r="I112" s="3">
        <v>46.666666669999998</v>
      </c>
      <c r="J112" s="3">
        <v>-71.166666669999998</v>
      </c>
      <c r="K112" s="2">
        <v>194</v>
      </c>
      <c r="L112" s="3" t="s">
        <v>302</v>
      </c>
      <c r="M112" s="3" t="s">
        <v>41</v>
      </c>
      <c r="N112" s="2"/>
      <c r="O112" s="3" t="s">
        <v>36</v>
      </c>
      <c r="P112" s="5"/>
      <c r="Q112" s="26"/>
      <c r="R112" s="26"/>
      <c r="S112" s="3"/>
      <c r="T112" s="10"/>
      <c r="U112" s="10"/>
      <c r="V112" s="20">
        <f t="shared" si="24"/>
        <v>16.025641025641026</v>
      </c>
      <c r="W112" s="17">
        <v>12</v>
      </c>
      <c r="X112" s="22" t="s">
        <v>307</v>
      </c>
      <c r="Y112" s="22"/>
      <c r="Z112" s="22"/>
      <c r="AA112" s="22"/>
      <c r="AB112" s="22"/>
      <c r="AC112" s="8" t="s">
        <v>884</v>
      </c>
      <c r="AD112" s="3" t="s">
        <v>308</v>
      </c>
      <c r="AE112" s="3"/>
      <c r="AF112" s="3"/>
      <c r="AG112" s="3"/>
    </row>
    <row r="113" spans="1:33" s="13" customFormat="1" ht="15" customHeight="1" x14ac:dyDescent="0.3">
      <c r="A113" s="3" t="s">
        <v>300</v>
      </c>
      <c r="B113" s="3" t="s">
        <v>301</v>
      </c>
      <c r="C113" s="3" t="s">
        <v>302</v>
      </c>
      <c r="D113" s="3" t="s">
        <v>28</v>
      </c>
      <c r="E113" s="3" t="s">
        <v>303</v>
      </c>
      <c r="F113" s="3" t="s">
        <v>304</v>
      </c>
      <c r="G113" s="2">
        <v>2001</v>
      </c>
      <c r="H113" s="3" t="s">
        <v>309</v>
      </c>
      <c r="I113" s="3">
        <v>46.666666669999998</v>
      </c>
      <c r="J113" s="3">
        <v>-71.166666669999998</v>
      </c>
      <c r="K113" s="2">
        <v>194</v>
      </c>
      <c r="L113" s="3" t="s">
        <v>302</v>
      </c>
      <c r="M113" s="3" t="s">
        <v>143</v>
      </c>
      <c r="N113" s="2"/>
      <c r="O113" s="3" t="s">
        <v>36</v>
      </c>
      <c r="P113" s="5"/>
      <c r="Q113" s="26"/>
      <c r="R113" s="26"/>
      <c r="S113" s="3"/>
      <c r="T113" s="10"/>
      <c r="U113" s="10"/>
      <c r="V113" s="20">
        <f t="shared" si="24"/>
        <v>20.032051282051281</v>
      </c>
      <c r="W113" s="17">
        <v>15</v>
      </c>
      <c r="X113" s="22" t="s">
        <v>307</v>
      </c>
      <c r="Y113" s="22"/>
      <c r="Z113" s="22"/>
      <c r="AA113" s="22"/>
      <c r="AB113" s="22"/>
      <c r="AC113" s="8" t="s">
        <v>884</v>
      </c>
      <c r="AD113" s="3" t="s">
        <v>308</v>
      </c>
      <c r="AE113" s="3"/>
      <c r="AF113" s="3"/>
      <c r="AG113" s="3"/>
    </row>
    <row r="114" spans="1:33" s="13" customFormat="1" ht="15" customHeight="1" x14ac:dyDescent="0.3">
      <c r="A114" s="3" t="s">
        <v>300</v>
      </c>
      <c r="B114" s="3" t="s">
        <v>301</v>
      </c>
      <c r="C114" s="3" t="s">
        <v>302</v>
      </c>
      <c r="D114" s="3" t="s">
        <v>28</v>
      </c>
      <c r="E114" s="3" t="s">
        <v>310</v>
      </c>
      <c r="F114" s="3" t="s">
        <v>304</v>
      </c>
      <c r="G114" s="2">
        <v>2001</v>
      </c>
      <c r="H114" s="3" t="s">
        <v>311</v>
      </c>
      <c r="I114" s="3">
        <v>46.666666669999998</v>
      </c>
      <c r="J114" s="3">
        <v>-71.166666669999998</v>
      </c>
      <c r="K114" s="2">
        <v>194</v>
      </c>
      <c r="L114" s="3" t="s">
        <v>302</v>
      </c>
      <c r="M114" s="3" t="s">
        <v>306</v>
      </c>
      <c r="N114" s="2"/>
      <c r="O114" s="3" t="s">
        <v>36</v>
      </c>
      <c r="P114" s="5"/>
      <c r="Q114" s="26"/>
      <c r="R114" s="26"/>
      <c r="S114" s="3"/>
      <c r="T114" s="10"/>
      <c r="U114" s="10"/>
      <c r="V114" s="20">
        <f t="shared" si="24"/>
        <v>1.3354700854700854</v>
      </c>
      <c r="W114" s="17">
        <v>1</v>
      </c>
      <c r="X114" s="22" t="s">
        <v>307</v>
      </c>
      <c r="Y114" s="22"/>
      <c r="Z114" s="22"/>
      <c r="AA114" s="22"/>
      <c r="AB114" s="22"/>
      <c r="AC114" s="8" t="s">
        <v>884</v>
      </c>
      <c r="AD114" s="3" t="s">
        <v>308</v>
      </c>
      <c r="AE114" s="3"/>
      <c r="AF114" s="3"/>
      <c r="AG114" s="3"/>
    </row>
    <row r="115" spans="1:33" s="13" customFormat="1" ht="15" customHeight="1" x14ac:dyDescent="0.3">
      <c r="A115" s="3" t="s">
        <v>300</v>
      </c>
      <c r="B115" s="3" t="s">
        <v>301</v>
      </c>
      <c r="C115" s="3" t="s">
        <v>302</v>
      </c>
      <c r="D115" s="3" t="s">
        <v>28</v>
      </c>
      <c r="E115" s="3" t="s">
        <v>310</v>
      </c>
      <c r="F115" s="3" t="s">
        <v>304</v>
      </c>
      <c r="G115" s="2">
        <v>2001</v>
      </c>
      <c r="H115" s="3" t="s">
        <v>311</v>
      </c>
      <c r="I115" s="3">
        <v>46.666666669999998</v>
      </c>
      <c r="J115" s="3">
        <v>-71.166666669999998</v>
      </c>
      <c r="K115" s="2">
        <v>194</v>
      </c>
      <c r="L115" s="3" t="s">
        <v>302</v>
      </c>
      <c r="M115" s="3" t="s">
        <v>41</v>
      </c>
      <c r="N115" s="2"/>
      <c r="O115" s="3" t="s">
        <v>36</v>
      </c>
      <c r="P115" s="5"/>
      <c r="Q115" s="26"/>
      <c r="R115" s="26"/>
      <c r="S115" s="3"/>
      <c r="T115" s="10"/>
      <c r="U115" s="10"/>
      <c r="V115" s="20">
        <f t="shared" si="24"/>
        <v>6.6773504273504267</v>
      </c>
      <c r="W115" s="17">
        <v>5</v>
      </c>
      <c r="X115" s="22" t="s">
        <v>307</v>
      </c>
      <c r="Y115" s="22"/>
      <c r="Z115" s="22"/>
      <c r="AA115" s="22"/>
      <c r="AB115" s="22"/>
      <c r="AC115" s="8" t="s">
        <v>884</v>
      </c>
      <c r="AD115" s="3" t="s">
        <v>308</v>
      </c>
      <c r="AE115" s="3"/>
      <c r="AF115" s="3"/>
      <c r="AG115" s="3"/>
    </row>
    <row r="116" spans="1:33" s="13" customFormat="1" ht="15" customHeight="1" x14ac:dyDescent="0.3">
      <c r="A116" s="3" t="s">
        <v>300</v>
      </c>
      <c r="B116" s="3" t="s">
        <v>301</v>
      </c>
      <c r="C116" s="3" t="s">
        <v>302</v>
      </c>
      <c r="D116" s="3" t="s">
        <v>28</v>
      </c>
      <c r="E116" s="3" t="s">
        <v>310</v>
      </c>
      <c r="F116" s="3" t="s">
        <v>304</v>
      </c>
      <c r="G116" s="2">
        <v>2001</v>
      </c>
      <c r="H116" s="3" t="s">
        <v>311</v>
      </c>
      <c r="I116" s="3">
        <v>46.666666669999998</v>
      </c>
      <c r="J116" s="3">
        <v>-71.166666669999998</v>
      </c>
      <c r="K116" s="2">
        <v>194</v>
      </c>
      <c r="L116" s="3" t="s">
        <v>302</v>
      </c>
      <c r="M116" s="3" t="s">
        <v>143</v>
      </c>
      <c r="N116" s="2"/>
      <c r="O116" s="3" t="s">
        <v>36</v>
      </c>
      <c r="P116" s="5"/>
      <c r="Q116" s="26"/>
      <c r="R116" s="26"/>
      <c r="S116" s="3"/>
      <c r="T116" s="10"/>
      <c r="U116" s="10"/>
      <c r="V116" s="20">
        <f t="shared" si="24"/>
        <v>50.747863247863243</v>
      </c>
      <c r="W116" s="17">
        <v>38</v>
      </c>
      <c r="X116" s="22" t="s">
        <v>307</v>
      </c>
      <c r="Y116" s="22"/>
      <c r="Z116" s="22"/>
      <c r="AA116" s="22"/>
      <c r="AB116" s="22"/>
      <c r="AC116" s="8" t="s">
        <v>884</v>
      </c>
      <c r="AD116" s="3" t="s">
        <v>308</v>
      </c>
      <c r="AE116" s="3"/>
      <c r="AF116" s="3"/>
      <c r="AG116" s="3"/>
    </row>
    <row r="117" spans="1:33" s="13" customFormat="1" ht="15" customHeight="1" x14ac:dyDescent="0.3">
      <c r="A117" s="3" t="s">
        <v>300</v>
      </c>
      <c r="B117" s="3" t="s">
        <v>301</v>
      </c>
      <c r="C117" s="3" t="s">
        <v>302</v>
      </c>
      <c r="D117" s="3" t="s">
        <v>28</v>
      </c>
      <c r="E117" s="3" t="s">
        <v>303</v>
      </c>
      <c r="F117" s="3" t="s">
        <v>304</v>
      </c>
      <c r="G117" s="2">
        <v>2002</v>
      </c>
      <c r="H117" s="3" t="s">
        <v>312</v>
      </c>
      <c r="I117" s="3">
        <v>46.666666669999998</v>
      </c>
      <c r="J117" s="3">
        <v>-71.166666669999998</v>
      </c>
      <c r="K117" s="2">
        <v>194</v>
      </c>
      <c r="L117" s="3" t="s">
        <v>302</v>
      </c>
      <c r="M117" s="3" t="s">
        <v>306</v>
      </c>
      <c r="N117" s="2"/>
      <c r="O117" s="3" t="s">
        <v>36</v>
      </c>
      <c r="P117" s="5"/>
      <c r="Q117" s="26"/>
      <c r="R117" s="26"/>
      <c r="S117" s="3"/>
      <c r="T117" s="10"/>
      <c r="U117" s="10"/>
      <c r="V117" s="20">
        <f t="shared" si="24"/>
        <v>8.0128205128205128</v>
      </c>
      <c r="W117" s="17">
        <v>6</v>
      </c>
      <c r="X117" s="22" t="s">
        <v>307</v>
      </c>
      <c r="Y117" s="22"/>
      <c r="Z117" s="22"/>
      <c r="AA117" s="22"/>
      <c r="AB117" s="22"/>
      <c r="AC117" s="8" t="s">
        <v>884</v>
      </c>
      <c r="AD117" s="3" t="s">
        <v>308</v>
      </c>
      <c r="AE117" s="3"/>
      <c r="AF117" s="3"/>
      <c r="AG117" s="3"/>
    </row>
    <row r="118" spans="1:33" s="13" customFormat="1" ht="15" customHeight="1" x14ac:dyDescent="0.3">
      <c r="A118" s="3" t="s">
        <v>300</v>
      </c>
      <c r="B118" s="3" t="s">
        <v>301</v>
      </c>
      <c r="C118" s="3" t="s">
        <v>302</v>
      </c>
      <c r="D118" s="3" t="s">
        <v>28</v>
      </c>
      <c r="E118" s="3" t="s">
        <v>303</v>
      </c>
      <c r="F118" s="3" t="s">
        <v>304</v>
      </c>
      <c r="G118" s="2">
        <v>2002</v>
      </c>
      <c r="H118" s="3" t="s">
        <v>312</v>
      </c>
      <c r="I118" s="3">
        <v>46.666666669999998</v>
      </c>
      <c r="J118" s="3">
        <v>-71.166666669999998</v>
      </c>
      <c r="K118" s="2">
        <v>194</v>
      </c>
      <c r="L118" s="3" t="s">
        <v>302</v>
      </c>
      <c r="M118" s="3" t="s">
        <v>41</v>
      </c>
      <c r="N118" s="2"/>
      <c r="O118" s="3" t="s">
        <v>36</v>
      </c>
      <c r="P118" s="5"/>
      <c r="Q118" s="26"/>
      <c r="R118" s="26"/>
      <c r="S118" s="3"/>
      <c r="T118" s="10"/>
      <c r="U118" s="10"/>
      <c r="V118" s="20">
        <f t="shared" si="24"/>
        <v>14.69017094017094</v>
      </c>
      <c r="W118" s="17">
        <v>11</v>
      </c>
      <c r="X118" s="22" t="s">
        <v>307</v>
      </c>
      <c r="Y118" s="22"/>
      <c r="Z118" s="22"/>
      <c r="AA118" s="22"/>
      <c r="AB118" s="22"/>
      <c r="AC118" s="8" t="s">
        <v>884</v>
      </c>
      <c r="AD118" s="3" t="s">
        <v>308</v>
      </c>
      <c r="AE118" s="3"/>
      <c r="AF118" s="3"/>
      <c r="AG118" s="3"/>
    </row>
    <row r="119" spans="1:33" s="13" customFormat="1" ht="15" customHeight="1" x14ac:dyDescent="0.3">
      <c r="A119" s="3" t="s">
        <v>300</v>
      </c>
      <c r="B119" s="3" t="s">
        <v>301</v>
      </c>
      <c r="C119" s="3" t="s">
        <v>302</v>
      </c>
      <c r="D119" s="3" t="s">
        <v>28</v>
      </c>
      <c r="E119" s="3" t="s">
        <v>303</v>
      </c>
      <c r="F119" s="3" t="s">
        <v>304</v>
      </c>
      <c r="G119" s="2">
        <v>2002</v>
      </c>
      <c r="H119" s="3" t="s">
        <v>312</v>
      </c>
      <c r="I119" s="3">
        <v>46.666666669999998</v>
      </c>
      <c r="J119" s="3">
        <v>-71.166666669999998</v>
      </c>
      <c r="K119" s="2">
        <v>194</v>
      </c>
      <c r="L119" s="3" t="s">
        <v>302</v>
      </c>
      <c r="M119" s="3" t="s">
        <v>143</v>
      </c>
      <c r="N119" s="2"/>
      <c r="O119" s="3" t="s">
        <v>36</v>
      </c>
      <c r="P119" s="5"/>
      <c r="Q119" s="26"/>
      <c r="R119" s="26"/>
      <c r="S119" s="3"/>
      <c r="T119" s="10"/>
      <c r="U119" s="10"/>
      <c r="V119" s="20">
        <f t="shared" si="24"/>
        <v>12.019230769230768</v>
      </c>
      <c r="W119" s="17">
        <v>9</v>
      </c>
      <c r="X119" s="22" t="s">
        <v>307</v>
      </c>
      <c r="Y119" s="22"/>
      <c r="Z119" s="22"/>
      <c r="AA119" s="22"/>
      <c r="AB119" s="22"/>
      <c r="AC119" s="8" t="s">
        <v>884</v>
      </c>
      <c r="AD119" s="3" t="s">
        <v>308</v>
      </c>
      <c r="AE119" s="3"/>
      <c r="AF119" s="3"/>
      <c r="AG119" s="3"/>
    </row>
    <row r="120" spans="1:33" s="13" customFormat="1" ht="15" customHeight="1" x14ac:dyDescent="0.3">
      <c r="A120" s="3" t="s">
        <v>300</v>
      </c>
      <c r="B120" s="3" t="s">
        <v>301</v>
      </c>
      <c r="C120" s="3" t="s">
        <v>302</v>
      </c>
      <c r="D120" s="3" t="s">
        <v>28</v>
      </c>
      <c r="E120" s="3" t="s">
        <v>303</v>
      </c>
      <c r="F120" s="3" t="s">
        <v>304</v>
      </c>
      <c r="G120" s="2">
        <v>2003</v>
      </c>
      <c r="H120" s="3" t="s">
        <v>313</v>
      </c>
      <c r="I120" s="3">
        <v>46.666666669999998</v>
      </c>
      <c r="J120" s="3">
        <v>-71.166666669999998</v>
      </c>
      <c r="K120" s="2">
        <v>194</v>
      </c>
      <c r="L120" s="3" t="s">
        <v>302</v>
      </c>
      <c r="M120" s="3" t="s">
        <v>306</v>
      </c>
      <c r="N120" s="2"/>
      <c r="O120" s="3" t="s">
        <v>36</v>
      </c>
      <c r="P120" s="5"/>
      <c r="Q120" s="26"/>
      <c r="R120" s="26"/>
      <c r="S120" s="3"/>
      <c r="T120" s="10"/>
      <c r="U120" s="10"/>
      <c r="V120" s="20">
        <f t="shared" si="24"/>
        <v>50.747863247863243</v>
      </c>
      <c r="W120" s="17">
        <v>38</v>
      </c>
      <c r="X120" s="22" t="s">
        <v>307</v>
      </c>
      <c r="Y120" s="22"/>
      <c r="Z120" s="22"/>
      <c r="AA120" s="22"/>
      <c r="AB120" s="22"/>
      <c r="AC120" s="8" t="s">
        <v>884</v>
      </c>
      <c r="AD120" s="3" t="s">
        <v>308</v>
      </c>
      <c r="AE120" s="3"/>
      <c r="AF120" s="3"/>
      <c r="AG120" s="3"/>
    </row>
    <row r="121" spans="1:33" s="13" customFormat="1" ht="15" customHeight="1" x14ac:dyDescent="0.3">
      <c r="A121" s="3" t="s">
        <v>300</v>
      </c>
      <c r="B121" s="3" t="s">
        <v>301</v>
      </c>
      <c r="C121" s="3" t="s">
        <v>302</v>
      </c>
      <c r="D121" s="3" t="s">
        <v>28</v>
      </c>
      <c r="E121" s="3" t="s">
        <v>303</v>
      </c>
      <c r="F121" s="3" t="s">
        <v>304</v>
      </c>
      <c r="G121" s="2">
        <v>2003</v>
      </c>
      <c r="H121" s="3" t="s">
        <v>313</v>
      </c>
      <c r="I121" s="3">
        <v>46.666666669999998</v>
      </c>
      <c r="J121" s="3">
        <v>-71.166666669999998</v>
      </c>
      <c r="K121" s="2">
        <v>194</v>
      </c>
      <c r="L121" s="3" t="s">
        <v>302</v>
      </c>
      <c r="M121" s="3" t="s">
        <v>41</v>
      </c>
      <c r="N121" s="2"/>
      <c r="O121" s="3" t="s">
        <v>36</v>
      </c>
      <c r="P121" s="5"/>
      <c r="Q121" s="26"/>
      <c r="R121" s="26"/>
      <c r="S121" s="3"/>
      <c r="T121" s="10"/>
      <c r="U121" s="10"/>
      <c r="V121" s="20">
        <f t="shared" si="24"/>
        <v>69.444444444444443</v>
      </c>
      <c r="W121" s="17">
        <v>52</v>
      </c>
      <c r="X121" s="22" t="s">
        <v>307</v>
      </c>
      <c r="Y121" s="22"/>
      <c r="Z121" s="22"/>
      <c r="AA121" s="22"/>
      <c r="AB121" s="22"/>
      <c r="AC121" s="8" t="s">
        <v>884</v>
      </c>
      <c r="AD121" s="3" t="s">
        <v>308</v>
      </c>
      <c r="AE121" s="3"/>
      <c r="AF121" s="3"/>
      <c r="AG121" s="3"/>
    </row>
    <row r="122" spans="1:33" s="13" customFormat="1" ht="15" customHeight="1" x14ac:dyDescent="0.3">
      <c r="A122" s="3" t="s">
        <v>300</v>
      </c>
      <c r="B122" s="3" t="s">
        <v>301</v>
      </c>
      <c r="C122" s="3" t="s">
        <v>302</v>
      </c>
      <c r="D122" s="3" t="s">
        <v>28</v>
      </c>
      <c r="E122" s="3" t="s">
        <v>303</v>
      </c>
      <c r="F122" s="3" t="s">
        <v>304</v>
      </c>
      <c r="G122" s="2">
        <v>2003</v>
      </c>
      <c r="H122" s="3" t="s">
        <v>313</v>
      </c>
      <c r="I122" s="3">
        <v>46.666666669999998</v>
      </c>
      <c r="J122" s="3">
        <v>-71.166666669999998</v>
      </c>
      <c r="K122" s="2">
        <v>194</v>
      </c>
      <c r="L122" s="3" t="s">
        <v>302</v>
      </c>
      <c r="M122" s="3" t="s">
        <v>143</v>
      </c>
      <c r="N122" s="2"/>
      <c r="O122" s="3" t="s">
        <v>36</v>
      </c>
      <c r="P122" s="5"/>
      <c r="Q122" s="26"/>
      <c r="R122" s="26"/>
      <c r="S122" s="3"/>
      <c r="T122" s="10"/>
      <c r="U122" s="10"/>
      <c r="V122" s="20">
        <f t="shared" si="24"/>
        <v>108.17307692307692</v>
      </c>
      <c r="W122" s="17">
        <v>81</v>
      </c>
      <c r="X122" s="22" t="s">
        <v>307</v>
      </c>
      <c r="Y122" s="22"/>
      <c r="Z122" s="22"/>
      <c r="AA122" s="22"/>
      <c r="AB122" s="22"/>
      <c r="AC122" s="8" t="s">
        <v>884</v>
      </c>
      <c r="AD122" s="3" t="s">
        <v>308</v>
      </c>
      <c r="AE122" s="3"/>
      <c r="AF122" s="3"/>
      <c r="AG122" s="3"/>
    </row>
    <row r="123" spans="1:33" s="13" customFormat="1" ht="15" customHeight="1" x14ac:dyDescent="0.3">
      <c r="A123" s="3" t="s">
        <v>300</v>
      </c>
      <c r="B123" s="3" t="s">
        <v>301</v>
      </c>
      <c r="C123" s="3" t="s">
        <v>302</v>
      </c>
      <c r="D123" s="3" t="s">
        <v>28</v>
      </c>
      <c r="E123" s="3" t="s">
        <v>303</v>
      </c>
      <c r="F123" s="3" t="s">
        <v>304</v>
      </c>
      <c r="G123" s="2">
        <v>2004</v>
      </c>
      <c r="H123" s="3" t="s">
        <v>314</v>
      </c>
      <c r="I123" s="3">
        <v>46.666666669999998</v>
      </c>
      <c r="J123" s="3">
        <v>-71.166666669999998</v>
      </c>
      <c r="K123" s="2">
        <v>194</v>
      </c>
      <c r="L123" s="3" t="s">
        <v>302</v>
      </c>
      <c r="M123" s="3" t="s">
        <v>306</v>
      </c>
      <c r="N123" s="2"/>
      <c r="O123" s="3" t="s">
        <v>36</v>
      </c>
      <c r="P123" s="5"/>
      <c r="Q123" s="26"/>
      <c r="R123" s="26"/>
      <c r="S123" s="3"/>
      <c r="T123" s="10"/>
      <c r="U123" s="10"/>
      <c r="V123" s="20">
        <f t="shared" si="24"/>
        <v>6.6773504273504267</v>
      </c>
      <c r="W123" s="17">
        <v>5</v>
      </c>
      <c r="X123" s="22" t="s">
        <v>307</v>
      </c>
      <c r="Y123" s="22"/>
      <c r="Z123" s="22"/>
      <c r="AA123" s="22"/>
      <c r="AB123" s="22"/>
      <c r="AC123" s="8" t="s">
        <v>884</v>
      </c>
      <c r="AD123" s="3" t="s">
        <v>308</v>
      </c>
      <c r="AE123" s="3"/>
      <c r="AF123" s="3"/>
      <c r="AG123" s="3"/>
    </row>
    <row r="124" spans="1:33" s="13" customFormat="1" ht="15" customHeight="1" x14ac:dyDescent="0.3">
      <c r="A124" s="3" t="s">
        <v>300</v>
      </c>
      <c r="B124" s="3" t="s">
        <v>301</v>
      </c>
      <c r="C124" s="3" t="s">
        <v>302</v>
      </c>
      <c r="D124" s="3" t="s">
        <v>28</v>
      </c>
      <c r="E124" s="3" t="s">
        <v>303</v>
      </c>
      <c r="F124" s="3" t="s">
        <v>304</v>
      </c>
      <c r="G124" s="2">
        <v>2004</v>
      </c>
      <c r="H124" s="3" t="s">
        <v>314</v>
      </c>
      <c r="I124" s="3">
        <v>46.666666669999998</v>
      </c>
      <c r="J124" s="3">
        <v>-71.166666669999998</v>
      </c>
      <c r="K124" s="2">
        <v>194</v>
      </c>
      <c r="L124" s="3" t="s">
        <v>302</v>
      </c>
      <c r="M124" s="3" t="s">
        <v>41</v>
      </c>
      <c r="N124" s="2"/>
      <c r="O124" s="3" t="s">
        <v>36</v>
      </c>
      <c r="P124" s="5"/>
      <c r="Q124" s="26"/>
      <c r="R124" s="26"/>
      <c r="S124" s="3"/>
      <c r="T124" s="10"/>
      <c r="U124" s="10"/>
      <c r="V124" s="20">
        <f t="shared" si="24"/>
        <v>9.3482905982905979</v>
      </c>
      <c r="W124" s="17">
        <v>7</v>
      </c>
      <c r="X124" s="22" t="s">
        <v>307</v>
      </c>
      <c r="Y124" s="22"/>
      <c r="Z124" s="22"/>
      <c r="AA124" s="22"/>
      <c r="AB124" s="22"/>
      <c r="AC124" s="8" t="s">
        <v>884</v>
      </c>
      <c r="AD124" s="3" t="s">
        <v>308</v>
      </c>
      <c r="AE124" s="3"/>
      <c r="AF124" s="3"/>
      <c r="AG124" s="3"/>
    </row>
    <row r="125" spans="1:33" s="13" customFormat="1" ht="15" customHeight="1" x14ac:dyDescent="0.3">
      <c r="A125" s="3" t="s">
        <v>300</v>
      </c>
      <c r="B125" s="3" t="s">
        <v>301</v>
      </c>
      <c r="C125" s="3" t="s">
        <v>302</v>
      </c>
      <c r="D125" s="3" t="s">
        <v>28</v>
      </c>
      <c r="E125" s="3" t="s">
        <v>303</v>
      </c>
      <c r="F125" s="3" t="s">
        <v>304</v>
      </c>
      <c r="G125" s="2">
        <v>2004</v>
      </c>
      <c r="H125" s="3" t="s">
        <v>314</v>
      </c>
      <c r="I125" s="3">
        <v>46.666666669999998</v>
      </c>
      <c r="J125" s="3">
        <v>-71.166666669999998</v>
      </c>
      <c r="K125" s="2">
        <v>194</v>
      </c>
      <c r="L125" s="3" t="s">
        <v>302</v>
      </c>
      <c r="M125" s="3" t="s">
        <v>143</v>
      </c>
      <c r="N125" s="2"/>
      <c r="O125" s="3" t="s">
        <v>36</v>
      </c>
      <c r="P125" s="5"/>
      <c r="Q125" s="26"/>
      <c r="R125" s="26"/>
      <c r="S125" s="3"/>
      <c r="T125" s="10"/>
      <c r="U125" s="10"/>
      <c r="V125" s="20">
        <f t="shared" si="24"/>
        <v>6.6773504273504267</v>
      </c>
      <c r="W125" s="17">
        <v>5</v>
      </c>
      <c r="X125" s="22" t="s">
        <v>307</v>
      </c>
      <c r="Y125" s="22"/>
      <c r="Z125" s="22"/>
      <c r="AA125" s="22"/>
      <c r="AB125" s="22"/>
      <c r="AC125" s="8" t="s">
        <v>884</v>
      </c>
      <c r="AD125" s="3" t="s">
        <v>308</v>
      </c>
      <c r="AE125" s="3"/>
      <c r="AF125" s="3"/>
      <c r="AG125" s="3"/>
    </row>
    <row r="126" spans="1:33" s="1" customFormat="1" ht="15" customHeight="1" x14ac:dyDescent="0.3">
      <c r="A126" s="3" t="s">
        <v>300</v>
      </c>
      <c r="B126" s="3" t="s">
        <v>301</v>
      </c>
      <c r="C126" s="3" t="s">
        <v>302</v>
      </c>
      <c r="D126" s="3" t="s">
        <v>28</v>
      </c>
      <c r="E126" s="3" t="s">
        <v>303</v>
      </c>
      <c r="F126" s="3" t="s">
        <v>304</v>
      </c>
      <c r="G126" s="34">
        <v>2002</v>
      </c>
      <c r="H126" s="8" t="s">
        <v>315</v>
      </c>
      <c r="I126" s="3">
        <v>46.666666669999998</v>
      </c>
      <c r="J126" s="3">
        <v>-71.166666669999998</v>
      </c>
      <c r="K126" s="2">
        <v>194</v>
      </c>
      <c r="L126" s="3" t="s">
        <v>302</v>
      </c>
      <c r="M126" s="8" t="s">
        <v>244</v>
      </c>
      <c r="N126" s="8"/>
      <c r="O126" s="3" t="s">
        <v>36</v>
      </c>
      <c r="P126" s="8"/>
      <c r="Q126" s="8">
        <v>43.329013627057805</v>
      </c>
      <c r="R126" s="8"/>
      <c r="S126" s="8">
        <f>AVERAGE(Q126:Q128)</f>
        <v>62.839180011381906</v>
      </c>
      <c r="T126" s="10" t="s">
        <v>86</v>
      </c>
      <c r="U126" s="10"/>
      <c r="V126" s="8"/>
      <c r="W126" s="8"/>
      <c r="X126" s="8"/>
      <c r="Y126" s="8"/>
      <c r="Z126" s="8"/>
      <c r="AA126" s="8"/>
      <c r="AB126" s="8"/>
      <c r="AC126" s="8" t="s">
        <v>884</v>
      </c>
      <c r="AD126" s="8"/>
      <c r="AE126" s="8"/>
      <c r="AF126" s="8"/>
      <c r="AG126" s="8"/>
    </row>
    <row r="127" spans="1:33" s="1" customFormat="1" ht="15" customHeight="1" x14ac:dyDescent="0.3">
      <c r="A127" s="3" t="s">
        <v>300</v>
      </c>
      <c r="B127" s="3" t="s">
        <v>301</v>
      </c>
      <c r="C127" s="3" t="s">
        <v>302</v>
      </c>
      <c r="D127" s="3" t="s">
        <v>28</v>
      </c>
      <c r="E127" s="3" t="s">
        <v>303</v>
      </c>
      <c r="F127" s="3" t="s">
        <v>304</v>
      </c>
      <c r="G127" s="34">
        <v>2002</v>
      </c>
      <c r="H127" s="8" t="s">
        <v>315</v>
      </c>
      <c r="I127" s="3">
        <v>46.666666669999998</v>
      </c>
      <c r="J127" s="3">
        <v>-71.166666669999998</v>
      </c>
      <c r="K127" s="2">
        <v>194</v>
      </c>
      <c r="L127" s="3" t="s">
        <v>302</v>
      </c>
      <c r="M127" s="8" t="s">
        <v>244</v>
      </c>
      <c r="N127" s="8"/>
      <c r="O127" s="3" t="s">
        <v>36</v>
      </c>
      <c r="P127" s="8"/>
      <c r="Q127" s="8">
        <v>84.389517226112389</v>
      </c>
      <c r="R127" s="8"/>
      <c r="S127" s="8"/>
      <c r="T127" s="10" t="s">
        <v>86</v>
      </c>
      <c r="U127" s="10"/>
      <c r="V127" s="8"/>
      <c r="W127" s="8"/>
      <c r="X127" s="8"/>
      <c r="Y127" s="8"/>
      <c r="Z127" s="8"/>
      <c r="AA127" s="8"/>
      <c r="AB127" s="8"/>
      <c r="AC127" s="8" t="s">
        <v>884</v>
      </c>
      <c r="AD127" s="8"/>
      <c r="AE127" s="8"/>
      <c r="AF127" s="8"/>
      <c r="AG127" s="8"/>
    </row>
    <row r="128" spans="1:33" s="1" customFormat="1" ht="15" customHeight="1" x14ac:dyDescent="0.3">
      <c r="A128" s="3" t="s">
        <v>300</v>
      </c>
      <c r="B128" s="3" t="s">
        <v>301</v>
      </c>
      <c r="C128" s="3" t="s">
        <v>302</v>
      </c>
      <c r="D128" s="3" t="s">
        <v>28</v>
      </c>
      <c r="E128" s="3" t="s">
        <v>303</v>
      </c>
      <c r="F128" s="3" t="s">
        <v>304</v>
      </c>
      <c r="G128" s="34">
        <v>2002</v>
      </c>
      <c r="H128" s="8" t="s">
        <v>315</v>
      </c>
      <c r="I128" s="3">
        <v>46.666666669999998</v>
      </c>
      <c r="J128" s="3">
        <v>-71.166666669999998</v>
      </c>
      <c r="K128" s="2">
        <v>194</v>
      </c>
      <c r="L128" s="3" t="s">
        <v>302</v>
      </c>
      <c r="M128" s="8" t="s">
        <v>244</v>
      </c>
      <c r="N128" s="8"/>
      <c r="O128" s="3" t="s">
        <v>36</v>
      </c>
      <c r="P128" s="8"/>
      <c r="Q128" s="8">
        <v>60.799009180975524</v>
      </c>
      <c r="R128" s="8"/>
      <c r="S128" s="8"/>
      <c r="T128" s="10" t="s">
        <v>86</v>
      </c>
      <c r="U128" s="10"/>
      <c r="V128" s="8"/>
      <c r="W128" s="8"/>
      <c r="X128" s="8"/>
      <c r="Y128" s="8"/>
      <c r="Z128" s="8"/>
      <c r="AA128" s="8"/>
      <c r="AB128" s="8"/>
      <c r="AC128" s="8" t="s">
        <v>884</v>
      </c>
      <c r="AD128" s="8"/>
      <c r="AE128" s="8"/>
      <c r="AF128" s="8"/>
      <c r="AG128" s="8"/>
    </row>
    <row r="129" spans="1:33" s="1" customFormat="1" ht="15" customHeight="1" x14ac:dyDescent="0.3">
      <c r="A129" s="3" t="s">
        <v>300</v>
      </c>
      <c r="B129" s="3" t="s">
        <v>301</v>
      </c>
      <c r="C129" s="3" t="s">
        <v>302</v>
      </c>
      <c r="D129" s="3" t="s">
        <v>28</v>
      </c>
      <c r="E129" s="3" t="s">
        <v>303</v>
      </c>
      <c r="F129" s="3" t="s">
        <v>304</v>
      </c>
      <c r="G129" s="34">
        <v>2002</v>
      </c>
      <c r="H129" s="8" t="s">
        <v>315</v>
      </c>
      <c r="I129" s="3">
        <v>46.666666669999998</v>
      </c>
      <c r="J129" s="3">
        <v>-71.166666669999998</v>
      </c>
      <c r="K129" s="2">
        <v>194</v>
      </c>
      <c r="L129" s="3" t="s">
        <v>302</v>
      </c>
      <c r="M129" s="8" t="s">
        <v>205</v>
      </c>
      <c r="N129" s="8"/>
      <c r="O129" s="3" t="s">
        <v>36</v>
      </c>
      <c r="P129" s="8"/>
      <c r="Q129" s="8">
        <v>163.37535152444732</v>
      </c>
      <c r="R129" s="8"/>
      <c r="S129" s="8">
        <f>AVERAGE(Q129:Q131)</f>
        <v>123.09381853716104</v>
      </c>
      <c r="T129" s="10" t="s">
        <v>86</v>
      </c>
      <c r="U129" s="10"/>
      <c r="V129" s="8"/>
      <c r="W129" s="8"/>
      <c r="X129" s="8"/>
      <c r="Y129" s="8"/>
      <c r="Z129" s="8"/>
      <c r="AA129" s="8"/>
      <c r="AB129" s="8"/>
      <c r="AC129" s="8" t="s">
        <v>884</v>
      </c>
      <c r="AD129" s="8"/>
      <c r="AE129" s="8"/>
      <c r="AF129" s="8"/>
      <c r="AG129" s="8"/>
    </row>
    <row r="130" spans="1:33" s="1" customFormat="1" ht="15" customHeight="1" x14ac:dyDescent="0.3">
      <c r="A130" s="3" t="s">
        <v>300</v>
      </c>
      <c r="B130" s="3" t="s">
        <v>301</v>
      </c>
      <c r="C130" s="3" t="s">
        <v>302</v>
      </c>
      <c r="D130" s="3" t="s">
        <v>28</v>
      </c>
      <c r="E130" s="3" t="s">
        <v>303</v>
      </c>
      <c r="F130" s="3" t="s">
        <v>304</v>
      </c>
      <c r="G130" s="34">
        <v>2002</v>
      </c>
      <c r="H130" s="8" t="s">
        <v>315</v>
      </c>
      <c r="I130" s="3">
        <v>46.666666669999998</v>
      </c>
      <c r="J130" s="3">
        <v>-71.166666669999998</v>
      </c>
      <c r="K130" s="2">
        <v>194</v>
      </c>
      <c r="L130" s="3" t="s">
        <v>302</v>
      </c>
      <c r="M130" s="8" t="s">
        <v>205</v>
      </c>
      <c r="N130" s="8"/>
      <c r="O130" s="3" t="s">
        <v>36</v>
      </c>
      <c r="P130" s="8"/>
      <c r="Q130" s="8">
        <v>60.218622415367598</v>
      </c>
      <c r="R130" s="8"/>
      <c r="S130" s="8"/>
      <c r="T130" s="10" t="s">
        <v>86</v>
      </c>
      <c r="U130" s="10"/>
      <c r="V130" s="8"/>
      <c r="W130" s="8"/>
      <c r="X130" s="8"/>
      <c r="Y130" s="8"/>
      <c r="Z130" s="8"/>
      <c r="AA130" s="8"/>
      <c r="AB130" s="8"/>
      <c r="AC130" s="8" t="s">
        <v>884</v>
      </c>
      <c r="AD130" s="8"/>
      <c r="AE130" s="8"/>
      <c r="AF130" s="8"/>
      <c r="AG130" s="8"/>
    </row>
    <row r="131" spans="1:33" s="1" customFormat="1" ht="15" customHeight="1" x14ac:dyDescent="0.3">
      <c r="A131" s="3" t="s">
        <v>300</v>
      </c>
      <c r="B131" s="3" t="s">
        <v>301</v>
      </c>
      <c r="C131" s="3" t="s">
        <v>302</v>
      </c>
      <c r="D131" s="3" t="s">
        <v>28</v>
      </c>
      <c r="E131" s="3" t="s">
        <v>303</v>
      </c>
      <c r="F131" s="3" t="s">
        <v>304</v>
      </c>
      <c r="G131" s="34">
        <v>2002</v>
      </c>
      <c r="H131" s="8" t="s">
        <v>315</v>
      </c>
      <c r="I131" s="3">
        <v>46.666666669999998</v>
      </c>
      <c r="J131" s="3">
        <v>-71.166666669999998</v>
      </c>
      <c r="K131" s="2">
        <v>194</v>
      </c>
      <c r="L131" s="3" t="s">
        <v>302</v>
      </c>
      <c r="M131" s="8" t="s">
        <v>205</v>
      </c>
      <c r="N131" s="8"/>
      <c r="O131" s="3" t="s">
        <v>36</v>
      </c>
      <c r="P131" s="8"/>
      <c r="Q131" s="8">
        <v>145.68748167166817</v>
      </c>
      <c r="R131" s="8"/>
      <c r="S131" s="8"/>
      <c r="T131" s="10" t="s">
        <v>86</v>
      </c>
      <c r="U131" s="10"/>
      <c r="V131" s="8"/>
      <c r="W131" s="8"/>
      <c r="X131" s="8"/>
      <c r="Y131" s="8"/>
      <c r="Z131" s="8"/>
      <c r="AA131" s="8"/>
      <c r="AB131" s="8"/>
      <c r="AC131" s="8" t="s">
        <v>884</v>
      </c>
      <c r="AD131" s="8"/>
      <c r="AE131" s="8"/>
      <c r="AF131" s="8"/>
      <c r="AG131" s="8"/>
    </row>
    <row r="132" spans="1:33" s="1" customFormat="1" ht="15" customHeight="1" x14ac:dyDescent="0.3">
      <c r="A132" s="3" t="s">
        <v>300</v>
      </c>
      <c r="B132" s="3" t="s">
        <v>301</v>
      </c>
      <c r="C132" s="3" t="s">
        <v>302</v>
      </c>
      <c r="D132" s="3" t="s">
        <v>28</v>
      </c>
      <c r="E132" s="3" t="s">
        <v>303</v>
      </c>
      <c r="F132" s="3" t="s">
        <v>304</v>
      </c>
      <c r="G132" s="34">
        <v>2002</v>
      </c>
      <c r="H132" s="8" t="s">
        <v>315</v>
      </c>
      <c r="I132" s="3">
        <v>46.666666669999998</v>
      </c>
      <c r="J132" s="3">
        <v>-71.166666669999998</v>
      </c>
      <c r="K132" s="2">
        <v>194</v>
      </c>
      <c r="L132" s="3" t="s">
        <v>302</v>
      </c>
      <c r="M132" s="8" t="s">
        <v>247</v>
      </c>
      <c r="N132" s="8"/>
      <c r="O132" s="3" t="s">
        <v>36</v>
      </c>
      <c r="P132" s="8"/>
      <c r="Q132" s="8">
        <v>179.08518225455714</v>
      </c>
      <c r="R132" s="8"/>
      <c r="S132" s="8">
        <f>AVERAGE(Q132:Q134)</f>
        <v>87.164513404304174</v>
      </c>
      <c r="T132" s="10" t="s">
        <v>86</v>
      </c>
      <c r="U132" s="10"/>
      <c r="V132" s="8"/>
      <c r="W132" s="8"/>
      <c r="X132" s="8"/>
      <c r="Y132" s="8"/>
      <c r="Z132" s="8"/>
      <c r="AA132" s="8"/>
      <c r="AB132" s="8"/>
      <c r="AC132" s="8" t="s">
        <v>884</v>
      </c>
      <c r="AD132" s="8"/>
      <c r="AE132" s="8"/>
      <c r="AF132" s="8"/>
      <c r="AG132" s="8"/>
    </row>
    <row r="133" spans="1:33" s="1" customFormat="1" ht="15" customHeight="1" x14ac:dyDescent="0.3">
      <c r="A133" s="3" t="s">
        <v>300</v>
      </c>
      <c r="B133" s="3" t="s">
        <v>301</v>
      </c>
      <c r="C133" s="3" t="s">
        <v>302</v>
      </c>
      <c r="D133" s="3" t="s">
        <v>28</v>
      </c>
      <c r="E133" s="3" t="s">
        <v>303</v>
      </c>
      <c r="F133" s="3" t="s">
        <v>304</v>
      </c>
      <c r="G133" s="34">
        <v>2002</v>
      </c>
      <c r="H133" s="8" t="s">
        <v>315</v>
      </c>
      <c r="I133" s="3">
        <v>46.666666669999998</v>
      </c>
      <c r="J133" s="3">
        <v>-71.166666669999998</v>
      </c>
      <c r="K133" s="2">
        <v>194</v>
      </c>
      <c r="L133" s="3" t="s">
        <v>302</v>
      </c>
      <c r="M133" s="8" t="s">
        <v>247</v>
      </c>
      <c r="N133" s="8"/>
      <c r="O133" s="3" t="s">
        <v>36</v>
      </c>
      <c r="P133" s="8"/>
      <c r="Q133" s="8">
        <v>44.009533090144529</v>
      </c>
      <c r="R133" s="8"/>
      <c r="S133" s="8"/>
      <c r="T133" s="10" t="s">
        <v>86</v>
      </c>
      <c r="U133" s="10"/>
      <c r="V133" s="8"/>
      <c r="W133" s="8"/>
      <c r="X133" s="8"/>
      <c r="Y133" s="8"/>
      <c r="Z133" s="8"/>
      <c r="AA133" s="8"/>
      <c r="AB133" s="8"/>
      <c r="AC133" s="8" t="s">
        <v>884</v>
      </c>
      <c r="AD133" s="8"/>
      <c r="AE133" s="8"/>
      <c r="AF133" s="8"/>
      <c r="AG133" s="8"/>
    </row>
    <row r="134" spans="1:33" s="1" customFormat="1" ht="15" customHeight="1" x14ac:dyDescent="0.3">
      <c r="A134" s="3" t="s">
        <v>300</v>
      </c>
      <c r="B134" s="3" t="s">
        <v>301</v>
      </c>
      <c r="C134" s="3" t="s">
        <v>302</v>
      </c>
      <c r="D134" s="3" t="s">
        <v>28</v>
      </c>
      <c r="E134" s="3" t="s">
        <v>303</v>
      </c>
      <c r="F134" s="3" t="s">
        <v>304</v>
      </c>
      <c r="G134" s="34">
        <v>2002</v>
      </c>
      <c r="H134" s="8" t="s">
        <v>315</v>
      </c>
      <c r="I134" s="3">
        <v>46.666666669999998</v>
      </c>
      <c r="J134" s="3">
        <v>-71.166666669999998</v>
      </c>
      <c r="K134" s="2">
        <v>194</v>
      </c>
      <c r="L134" s="3" t="s">
        <v>302</v>
      </c>
      <c r="M134" s="8" t="s">
        <v>247</v>
      </c>
      <c r="N134" s="8"/>
      <c r="O134" s="3" t="s">
        <v>36</v>
      </c>
      <c r="P134" s="8"/>
      <c r="Q134" s="8">
        <v>38.398824868210845</v>
      </c>
      <c r="R134" s="8"/>
      <c r="S134" s="8"/>
      <c r="T134" s="10" t="s">
        <v>86</v>
      </c>
      <c r="U134" s="10"/>
      <c r="V134" s="8"/>
      <c r="W134" s="8"/>
      <c r="X134" s="8"/>
      <c r="Y134" s="8"/>
      <c r="Z134" s="8"/>
      <c r="AA134" s="8"/>
      <c r="AB134" s="8"/>
      <c r="AC134" s="8" t="s">
        <v>884</v>
      </c>
      <c r="AD134" s="8"/>
      <c r="AE134" s="8"/>
      <c r="AF134" s="8"/>
      <c r="AG134" s="8"/>
    </row>
    <row r="135" spans="1:33" s="1" customFormat="1" ht="15" customHeight="1" x14ac:dyDescent="0.3">
      <c r="A135" s="3" t="s">
        <v>300</v>
      </c>
      <c r="B135" s="3" t="s">
        <v>301</v>
      </c>
      <c r="C135" s="3" t="s">
        <v>302</v>
      </c>
      <c r="D135" s="3" t="s">
        <v>28</v>
      </c>
      <c r="E135" s="3" t="s">
        <v>303</v>
      </c>
      <c r="F135" s="3" t="s">
        <v>304</v>
      </c>
      <c r="G135" s="34">
        <v>2003</v>
      </c>
      <c r="H135" s="50" t="s">
        <v>316</v>
      </c>
      <c r="I135" s="3">
        <v>46.666666669999998</v>
      </c>
      <c r="J135" s="3">
        <v>-71.166666669999998</v>
      </c>
      <c r="K135" s="2">
        <v>194</v>
      </c>
      <c r="L135" s="3" t="s">
        <v>302</v>
      </c>
      <c r="M135" s="8" t="s">
        <v>244</v>
      </c>
      <c r="N135" s="8"/>
      <c r="O135" s="3" t="s">
        <v>36</v>
      </c>
      <c r="P135" s="8"/>
      <c r="Q135" s="8">
        <v>6.396554619769967</v>
      </c>
      <c r="R135" s="8"/>
      <c r="S135" s="8">
        <f>AVERAGE(Q135:Q137)</f>
        <v>27.343719489956076</v>
      </c>
      <c r="T135" s="10" t="s">
        <v>86</v>
      </c>
      <c r="U135" s="10"/>
      <c r="V135" s="8"/>
      <c r="W135" s="8"/>
      <c r="X135" s="8"/>
      <c r="Y135" s="8"/>
      <c r="Z135" s="8"/>
      <c r="AA135" s="8"/>
      <c r="AB135" s="8"/>
      <c r="AC135" s="8" t="s">
        <v>884</v>
      </c>
      <c r="AD135" s="8"/>
      <c r="AE135" s="8"/>
      <c r="AF135" s="8"/>
      <c r="AG135" s="8"/>
    </row>
    <row r="136" spans="1:33" s="1" customFormat="1" ht="15" customHeight="1" x14ac:dyDescent="0.3">
      <c r="A136" s="3" t="s">
        <v>300</v>
      </c>
      <c r="B136" s="3" t="s">
        <v>301</v>
      </c>
      <c r="C136" s="3" t="s">
        <v>302</v>
      </c>
      <c r="D136" s="3" t="s">
        <v>28</v>
      </c>
      <c r="E136" s="3" t="s">
        <v>303</v>
      </c>
      <c r="F136" s="3" t="s">
        <v>304</v>
      </c>
      <c r="G136" s="34">
        <v>2003</v>
      </c>
      <c r="H136" s="50" t="s">
        <v>316</v>
      </c>
      <c r="I136" s="3">
        <v>46.666666669999998</v>
      </c>
      <c r="J136" s="3">
        <v>-71.166666669999998</v>
      </c>
      <c r="K136" s="2">
        <v>194</v>
      </c>
      <c r="L136" s="3" t="s">
        <v>302</v>
      </c>
      <c r="M136" s="8" t="s">
        <v>244</v>
      </c>
      <c r="N136" s="8"/>
      <c r="O136" s="3" t="s">
        <v>36</v>
      </c>
      <c r="P136" s="8"/>
      <c r="Q136" s="8">
        <v>63.888916744783273</v>
      </c>
      <c r="R136" s="8"/>
      <c r="S136" s="8"/>
      <c r="T136" s="10" t="s">
        <v>86</v>
      </c>
      <c r="U136" s="10"/>
      <c r="V136" s="8"/>
      <c r="W136" s="8"/>
      <c r="X136" s="8"/>
      <c r="Y136" s="8"/>
      <c r="Z136" s="8"/>
      <c r="AA136" s="8"/>
      <c r="AB136" s="8"/>
      <c r="AC136" s="8" t="s">
        <v>884</v>
      </c>
      <c r="AD136" s="8"/>
      <c r="AE136" s="8"/>
      <c r="AF136" s="8"/>
      <c r="AG136" s="8"/>
    </row>
    <row r="137" spans="1:33" s="1" customFormat="1" ht="15" customHeight="1" x14ac:dyDescent="0.3">
      <c r="A137" s="3" t="s">
        <v>300</v>
      </c>
      <c r="B137" s="3" t="s">
        <v>301</v>
      </c>
      <c r="C137" s="3" t="s">
        <v>302</v>
      </c>
      <c r="D137" s="3" t="s">
        <v>28</v>
      </c>
      <c r="E137" s="3" t="s">
        <v>303</v>
      </c>
      <c r="F137" s="3" t="s">
        <v>304</v>
      </c>
      <c r="G137" s="34">
        <v>2003</v>
      </c>
      <c r="H137" s="50" t="s">
        <v>316</v>
      </c>
      <c r="I137" s="3">
        <v>46.666666669999998</v>
      </c>
      <c r="J137" s="3">
        <v>-71.166666669999998</v>
      </c>
      <c r="K137" s="2">
        <v>194</v>
      </c>
      <c r="L137" s="3" t="s">
        <v>302</v>
      </c>
      <c r="M137" s="8" t="s">
        <v>244</v>
      </c>
      <c r="N137" s="8"/>
      <c r="O137" s="3" t="s">
        <v>36</v>
      </c>
      <c r="P137" s="8"/>
      <c r="Q137" s="8">
        <v>11.74568710531498</v>
      </c>
      <c r="R137" s="8"/>
      <c r="S137" s="8"/>
      <c r="T137" s="10" t="s">
        <v>86</v>
      </c>
      <c r="U137" s="10"/>
      <c r="V137" s="8"/>
      <c r="W137" s="8"/>
      <c r="X137" s="8"/>
      <c r="Y137" s="8"/>
      <c r="Z137" s="8"/>
      <c r="AA137" s="8"/>
      <c r="AB137" s="8"/>
      <c r="AC137" s="8" t="s">
        <v>884</v>
      </c>
      <c r="AD137" s="8"/>
      <c r="AE137" s="8"/>
      <c r="AF137" s="8"/>
      <c r="AG137" s="8"/>
    </row>
    <row r="138" spans="1:33" s="1" customFormat="1" ht="15" customHeight="1" x14ac:dyDescent="0.3">
      <c r="A138" s="3" t="s">
        <v>300</v>
      </c>
      <c r="B138" s="3" t="s">
        <v>301</v>
      </c>
      <c r="C138" s="3" t="s">
        <v>302</v>
      </c>
      <c r="D138" s="3" t="s">
        <v>28</v>
      </c>
      <c r="E138" s="3" t="s">
        <v>303</v>
      </c>
      <c r="F138" s="3" t="s">
        <v>304</v>
      </c>
      <c r="G138" s="34">
        <v>2003</v>
      </c>
      <c r="H138" s="50" t="s">
        <v>316</v>
      </c>
      <c r="I138" s="3">
        <v>46.666666669999998</v>
      </c>
      <c r="J138" s="3">
        <v>-71.166666669999998</v>
      </c>
      <c r="K138" s="2">
        <v>194</v>
      </c>
      <c r="L138" s="3" t="s">
        <v>302</v>
      </c>
      <c r="M138" s="8" t="s">
        <v>205</v>
      </c>
      <c r="N138" s="8"/>
      <c r="O138" s="3" t="s">
        <v>36</v>
      </c>
      <c r="P138" s="8"/>
      <c r="Q138" s="8">
        <v>32.997349525516832</v>
      </c>
      <c r="R138" s="8"/>
      <c r="S138" s="8">
        <f>AVERAGE(Q138:Q140)</f>
        <v>43.268960798938281</v>
      </c>
      <c r="T138" s="10" t="s">
        <v>86</v>
      </c>
      <c r="U138" s="10"/>
      <c r="V138" s="8"/>
      <c r="W138" s="8"/>
      <c r="X138" s="8"/>
      <c r="Y138" s="8"/>
      <c r="Z138" s="8"/>
      <c r="AA138" s="8"/>
      <c r="AB138" s="8"/>
      <c r="AC138" s="8" t="s">
        <v>884</v>
      </c>
      <c r="AD138" s="8"/>
      <c r="AE138" s="8"/>
      <c r="AF138" s="8"/>
      <c r="AG138" s="8"/>
    </row>
    <row r="139" spans="1:33" s="1" customFormat="1" ht="15" customHeight="1" x14ac:dyDescent="0.3">
      <c r="A139" s="3" t="s">
        <v>300</v>
      </c>
      <c r="B139" s="3" t="s">
        <v>301</v>
      </c>
      <c r="C139" s="3" t="s">
        <v>302</v>
      </c>
      <c r="D139" s="3" t="s">
        <v>28</v>
      </c>
      <c r="E139" s="3" t="s">
        <v>303</v>
      </c>
      <c r="F139" s="3" t="s">
        <v>304</v>
      </c>
      <c r="G139" s="34">
        <v>2003</v>
      </c>
      <c r="H139" s="50" t="s">
        <v>316</v>
      </c>
      <c r="I139" s="3">
        <v>46.666666669999998</v>
      </c>
      <c r="J139" s="3">
        <v>-71.166666669999998</v>
      </c>
      <c r="K139" s="2">
        <v>194</v>
      </c>
      <c r="L139" s="3" t="s">
        <v>302</v>
      </c>
      <c r="M139" s="8" t="s">
        <v>205</v>
      </c>
      <c r="N139" s="8"/>
      <c r="O139" s="3" t="s">
        <v>36</v>
      </c>
      <c r="P139" s="8"/>
      <c r="Q139" s="8">
        <v>35.444343243944786</v>
      </c>
      <c r="R139" s="8"/>
      <c r="S139" s="8"/>
      <c r="T139" s="10" t="s">
        <v>86</v>
      </c>
      <c r="U139" s="10"/>
      <c r="V139" s="8"/>
      <c r="W139" s="8"/>
      <c r="X139" s="8"/>
      <c r="Y139" s="8"/>
      <c r="Z139" s="8"/>
      <c r="AA139" s="8"/>
      <c r="AB139" s="8"/>
      <c r="AC139" s="8" t="s">
        <v>884</v>
      </c>
      <c r="AD139" s="8"/>
      <c r="AE139" s="8"/>
      <c r="AF139" s="8"/>
      <c r="AG139" s="8"/>
    </row>
    <row r="140" spans="1:33" s="1" customFormat="1" ht="15" customHeight="1" x14ac:dyDescent="0.3">
      <c r="A140" s="3" t="s">
        <v>300</v>
      </c>
      <c r="B140" s="3" t="s">
        <v>301</v>
      </c>
      <c r="C140" s="3" t="s">
        <v>302</v>
      </c>
      <c r="D140" s="3" t="s">
        <v>28</v>
      </c>
      <c r="E140" s="3" t="s">
        <v>303</v>
      </c>
      <c r="F140" s="3" t="s">
        <v>304</v>
      </c>
      <c r="G140" s="34">
        <v>2003</v>
      </c>
      <c r="H140" s="50" t="s">
        <v>316</v>
      </c>
      <c r="I140" s="3">
        <v>46.666666669999998</v>
      </c>
      <c r="J140" s="3">
        <v>-71.166666669999998</v>
      </c>
      <c r="K140" s="2">
        <v>194</v>
      </c>
      <c r="L140" s="3" t="s">
        <v>302</v>
      </c>
      <c r="M140" s="8" t="s">
        <v>205</v>
      </c>
      <c r="N140" s="8"/>
      <c r="O140" s="3" t="s">
        <v>36</v>
      </c>
      <c r="P140" s="8"/>
      <c r="Q140" s="8">
        <v>61.365189627353246</v>
      </c>
      <c r="R140" s="8"/>
      <c r="S140" s="8"/>
      <c r="T140" s="10" t="s">
        <v>86</v>
      </c>
      <c r="U140" s="10"/>
      <c r="V140" s="8"/>
      <c r="W140" s="8"/>
      <c r="X140" s="8"/>
      <c r="Y140" s="8"/>
      <c r="Z140" s="8"/>
      <c r="AA140" s="8"/>
      <c r="AB140" s="8"/>
      <c r="AC140" s="8" t="s">
        <v>884</v>
      </c>
      <c r="AD140" s="8"/>
      <c r="AE140" s="8"/>
      <c r="AF140" s="8"/>
      <c r="AG140" s="8"/>
    </row>
    <row r="141" spans="1:33" s="1" customFormat="1" ht="15" customHeight="1" x14ac:dyDescent="0.3">
      <c r="A141" s="3" t="s">
        <v>300</v>
      </c>
      <c r="B141" s="3" t="s">
        <v>301</v>
      </c>
      <c r="C141" s="3" t="s">
        <v>302</v>
      </c>
      <c r="D141" s="3" t="s">
        <v>28</v>
      </c>
      <c r="E141" s="3" t="s">
        <v>303</v>
      </c>
      <c r="F141" s="3" t="s">
        <v>304</v>
      </c>
      <c r="G141" s="34">
        <v>2003</v>
      </c>
      <c r="H141" s="50" t="s">
        <v>316</v>
      </c>
      <c r="I141" s="3">
        <v>46.666666669999998</v>
      </c>
      <c r="J141" s="3">
        <v>-71.166666669999998</v>
      </c>
      <c r="K141" s="2">
        <v>194</v>
      </c>
      <c r="L141" s="3" t="s">
        <v>302</v>
      </c>
      <c r="M141" s="8" t="s">
        <v>247</v>
      </c>
      <c r="N141" s="8"/>
      <c r="O141" s="3" t="s">
        <v>36</v>
      </c>
      <c r="P141" s="8"/>
      <c r="Q141" s="8">
        <v>98.947074114226695</v>
      </c>
      <c r="R141" s="8"/>
      <c r="S141" s="8">
        <f>AVERAGE(Q141:Q143)</f>
        <v>59.63919448511772</v>
      </c>
      <c r="T141" s="10" t="s">
        <v>86</v>
      </c>
      <c r="U141" s="10"/>
      <c r="V141" s="8"/>
      <c r="W141" s="8"/>
      <c r="X141" s="8"/>
      <c r="Y141" s="8"/>
      <c r="Z141" s="8"/>
      <c r="AA141" s="8"/>
      <c r="AB141" s="8"/>
      <c r="AC141" s="8" t="s">
        <v>884</v>
      </c>
      <c r="AD141" s="8"/>
      <c r="AE141" s="8"/>
      <c r="AF141" s="8"/>
      <c r="AG141" s="8"/>
    </row>
    <row r="142" spans="1:33" s="1" customFormat="1" ht="15" customHeight="1" x14ac:dyDescent="0.3">
      <c r="A142" s="3" t="s">
        <v>300</v>
      </c>
      <c r="B142" s="3" t="s">
        <v>301</v>
      </c>
      <c r="C142" s="3" t="s">
        <v>302</v>
      </c>
      <c r="D142" s="3" t="s">
        <v>28</v>
      </c>
      <c r="E142" s="3" t="s">
        <v>303</v>
      </c>
      <c r="F142" s="3" t="s">
        <v>304</v>
      </c>
      <c r="G142" s="34">
        <v>2003</v>
      </c>
      <c r="H142" s="50" t="s">
        <v>316</v>
      </c>
      <c r="I142" s="3">
        <v>46.666666669999998</v>
      </c>
      <c r="J142" s="3">
        <v>-71.166666669999998</v>
      </c>
      <c r="K142" s="2">
        <v>194</v>
      </c>
      <c r="L142" s="3" t="s">
        <v>302</v>
      </c>
      <c r="M142" s="8" t="s">
        <v>247</v>
      </c>
      <c r="N142" s="8"/>
      <c r="O142" s="3" t="s">
        <v>36</v>
      </c>
      <c r="P142" s="8"/>
      <c r="Q142" s="8">
        <v>37.017246294615326</v>
      </c>
      <c r="R142" s="8"/>
      <c r="S142" s="8"/>
      <c r="T142" s="10" t="s">
        <v>86</v>
      </c>
      <c r="U142" s="10"/>
      <c r="V142" s="8"/>
      <c r="W142" s="8"/>
      <c r="X142" s="8"/>
      <c r="Y142" s="8"/>
      <c r="Z142" s="8"/>
      <c r="AA142" s="8"/>
      <c r="AB142" s="8"/>
      <c r="AC142" s="8" t="s">
        <v>884</v>
      </c>
      <c r="AD142" s="8"/>
      <c r="AE142" s="8"/>
      <c r="AF142" s="8"/>
      <c r="AG142" s="8"/>
    </row>
    <row r="143" spans="1:33" s="1" customFormat="1" ht="15" customHeight="1" x14ac:dyDescent="0.3">
      <c r="A143" s="3" t="s">
        <v>300</v>
      </c>
      <c r="B143" s="3" t="s">
        <v>301</v>
      </c>
      <c r="C143" s="3" t="s">
        <v>302</v>
      </c>
      <c r="D143" s="3" t="s">
        <v>28</v>
      </c>
      <c r="E143" s="3" t="s">
        <v>303</v>
      </c>
      <c r="F143" s="3" t="s">
        <v>304</v>
      </c>
      <c r="G143" s="34">
        <v>2003</v>
      </c>
      <c r="H143" s="50" t="s">
        <v>316</v>
      </c>
      <c r="I143" s="3">
        <v>46.666666669999998</v>
      </c>
      <c r="J143" s="3">
        <v>-71.166666669999998</v>
      </c>
      <c r="K143" s="2">
        <v>194</v>
      </c>
      <c r="L143" s="3" t="s">
        <v>302</v>
      </c>
      <c r="M143" s="8" t="s">
        <v>247</v>
      </c>
      <c r="N143" s="8"/>
      <c r="O143" s="3" t="s">
        <v>36</v>
      </c>
      <c r="P143" s="8"/>
      <c r="Q143" s="8">
        <v>42.953263046511154</v>
      </c>
      <c r="R143" s="8"/>
      <c r="S143" s="8"/>
      <c r="T143" s="10" t="s">
        <v>86</v>
      </c>
      <c r="U143" s="10"/>
      <c r="V143" s="8"/>
      <c r="W143" s="8"/>
      <c r="X143" s="8"/>
      <c r="Y143" s="8"/>
      <c r="Z143" s="8"/>
      <c r="AA143" s="8"/>
      <c r="AB143" s="8"/>
      <c r="AC143" s="8" t="s">
        <v>884</v>
      </c>
      <c r="AD143" s="8"/>
      <c r="AE143" s="8"/>
      <c r="AF143" s="8"/>
      <c r="AG143" s="8"/>
    </row>
    <row r="144" spans="1:33" s="1" customFormat="1" ht="15" customHeight="1" x14ac:dyDescent="0.3">
      <c r="A144" s="3" t="s">
        <v>300</v>
      </c>
      <c r="B144" s="3" t="s">
        <v>301</v>
      </c>
      <c r="C144" s="3" t="s">
        <v>302</v>
      </c>
      <c r="D144" s="3" t="s">
        <v>28</v>
      </c>
      <c r="E144" s="3" t="s">
        <v>303</v>
      </c>
      <c r="F144" s="3" t="s">
        <v>304</v>
      </c>
      <c r="G144" s="34">
        <v>2004</v>
      </c>
      <c r="H144" s="50" t="s">
        <v>317</v>
      </c>
      <c r="I144" s="3">
        <v>46.666666669999998</v>
      </c>
      <c r="J144" s="3">
        <v>-71.166666669999998</v>
      </c>
      <c r="K144" s="2">
        <v>194</v>
      </c>
      <c r="L144" s="3" t="s">
        <v>302</v>
      </c>
      <c r="M144" s="8" t="s">
        <v>244</v>
      </c>
      <c r="N144" s="8"/>
      <c r="O144" s="3" t="s">
        <v>36</v>
      </c>
      <c r="P144" s="8"/>
      <c r="Q144" s="8">
        <v>44.93283463870052</v>
      </c>
      <c r="R144" s="8"/>
      <c r="S144" s="8">
        <f>AVERAGE(Q144:Q146)</f>
        <v>57.269329688482323</v>
      </c>
      <c r="T144" s="10" t="s">
        <v>86</v>
      </c>
      <c r="U144" s="10"/>
      <c r="V144" s="8"/>
      <c r="W144" s="8"/>
      <c r="X144" s="8"/>
      <c r="Y144" s="8"/>
      <c r="Z144" s="8"/>
      <c r="AA144" s="8"/>
      <c r="AB144" s="8"/>
      <c r="AC144" s="8" t="s">
        <v>884</v>
      </c>
      <c r="AD144" s="8"/>
      <c r="AE144" s="8"/>
      <c r="AF144" s="8"/>
      <c r="AG144" s="8"/>
    </row>
    <row r="145" spans="1:33" s="1" customFormat="1" ht="15" customHeight="1" x14ac:dyDescent="0.3">
      <c r="A145" s="3" t="s">
        <v>300</v>
      </c>
      <c r="B145" s="3" t="s">
        <v>301</v>
      </c>
      <c r="C145" s="3" t="s">
        <v>302</v>
      </c>
      <c r="D145" s="3" t="s">
        <v>28</v>
      </c>
      <c r="E145" s="3" t="s">
        <v>303</v>
      </c>
      <c r="F145" s="3" t="s">
        <v>304</v>
      </c>
      <c r="G145" s="34">
        <v>2004</v>
      </c>
      <c r="H145" s="50" t="s">
        <v>317</v>
      </c>
      <c r="I145" s="3">
        <v>46.666666669999998</v>
      </c>
      <c r="J145" s="3">
        <v>-71.166666669999998</v>
      </c>
      <c r="K145" s="2">
        <v>194</v>
      </c>
      <c r="L145" s="3" t="s">
        <v>302</v>
      </c>
      <c r="M145" s="8" t="s">
        <v>244</v>
      </c>
      <c r="N145" s="8"/>
      <c r="O145" s="3" t="s">
        <v>36</v>
      </c>
      <c r="P145" s="8"/>
      <c r="Q145" s="8">
        <v>83.930751365615265</v>
      </c>
      <c r="R145" s="8"/>
      <c r="S145" s="8"/>
      <c r="T145" s="10" t="s">
        <v>86</v>
      </c>
      <c r="U145" s="10"/>
      <c r="V145" s="8"/>
      <c r="W145" s="8"/>
      <c r="X145" s="8"/>
      <c r="Y145" s="8"/>
      <c r="Z145" s="8"/>
      <c r="AA145" s="8"/>
      <c r="AB145" s="8"/>
      <c r="AC145" s="8" t="s">
        <v>884</v>
      </c>
      <c r="AD145" s="8"/>
      <c r="AE145" s="8"/>
      <c r="AF145" s="8"/>
      <c r="AG145" s="8"/>
    </row>
    <row r="146" spans="1:33" s="1" customFormat="1" ht="15" customHeight="1" x14ac:dyDescent="0.3">
      <c r="A146" s="3" t="s">
        <v>300</v>
      </c>
      <c r="B146" s="3" t="s">
        <v>301</v>
      </c>
      <c r="C146" s="3" t="s">
        <v>302</v>
      </c>
      <c r="D146" s="3" t="s">
        <v>28</v>
      </c>
      <c r="E146" s="3" t="s">
        <v>303</v>
      </c>
      <c r="F146" s="3" t="s">
        <v>304</v>
      </c>
      <c r="G146" s="34">
        <v>2004</v>
      </c>
      <c r="H146" s="50" t="s">
        <v>317</v>
      </c>
      <c r="I146" s="3">
        <v>46.666666669999998</v>
      </c>
      <c r="J146" s="3">
        <v>-71.166666669999998</v>
      </c>
      <c r="K146" s="2">
        <v>194</v>
      </c>
      <c r="L146" s="3" t="s">
        <v>302</v>
      </c>
      <c r="M146" s="8" t="s">
        <v>244</v>
      </c>
      <c r="N146" s="8"/>
      <c r="O146" s="3" t="s">
        <v>36</v>
      </c>
      <c r="P146" s="8"/>
      <c r="Q146" s="8">
        <v>42.944403061131183</v>
      </c>
      <c r="R146" s="8"/>
      <c r="S146" s="8"/>
      <c r="T146" s="10" t="s">
        <v>86</v>
      </c>
      <c r="U146" s="10"/>
      <c r="V146" s="8"/>
      <c r="W146" s="8"/>
      <c r="X146" s="8"/>
      <c r="Y146" s="8"/>
      <c r="Z146" s="8"/>
      <c r="AA146" s="8"/>
      <c r="AB146" s="8"/>
      <c r="AC146" s="8" t="s">
        <v>884</v>
      </c>
      <c r="AD146" s="8"/>
      <c r="AE146" s="8"/>
      <c r="AF146" s="8"/>
      <c r="AG146" s="8"/>
    </row>
    <row r="147" spans="1:33" s="1" customFormat="1" ht="15" customHeight="1" x14ac:dyDescent="0.3">
      <c r="A147" s="3" t="s">
        <v>300</v>
      </c>
      <c r="B147" s="3" t="s">
        <v>301</v>
      </c>
      <c r="C147" s="3" t="s">
        <v>302</v>
      </c>
      <c r="D147" s="3" t="s">
        <v>28</v>
      </c>
      <c r="E147" s="3" t="s">
        <v>303</v>
      </c>
      <c r="F147" s="3" t="s">
        <v>304</v>
      </c>
      <c r="G147" s="34">
        <v>2004</v>
      </c>
      <c r="H147" s="50" t="s">
        <v>317</v>
      </c>
      <c r="I147" s="3">
        <v>46.666666669999998</v>
      </c>
      <c r="J147" s="3">
        <v>-71.166666669999998</v>
      </c>
      <c r="K147" s="2">
        <v>194</v>
      </c>
      <c r="L147" s="3" t="s">
        <v>302</v>
      </c>
      <c r="M147" s="8" t="s">
        <v>205</v>
      </c>
      <c r="N147" s="8"/>
      <c r="O147" s="3" t="s">
        <v>36</v>
      </c>
      <c r="P147" s="8"/>
      <c r="Q147" s="8">
        <v>54.366871473599815</v>
      </c>
      <c r="R147" s="8"/>
      <c r="S147" s="8">
        <f>AVERAGE(Q147:Q149)</f>
        <v>60.322140137774397</v>
      </c>
      <c r="T147" s="10" t="s">
        <v>86</v>
      </c>
      <c r="U147" s="10"/>
      <c r="V147" s="8"/>
      <c r="W147" s="8"/>
      <c r="X147" s="8"/>
      <c r="Y147" s="8"/>
      <c r="Z147" s="8"/>
      <c r="AA147" s="8"/>
      <c r="AB147" s="8"/>
      <c r="AC147" s="8" t="s">
        <v>884</v>
      </c>
      <c r="AD147" s="8"/>
      <c r="AE147" s="8"/>
      <c r="AF147" s="8"/>
      <c r="AG147" s="8"/>
    </row>
    <row r="148" spans="1:33" s="1" customFormat="1" ht="15" customHeight="1" x14ac:dyDescent="0.3">
      <c r="A148" s="3" t="s">
        <v>300</v>
      </c>
      <c r="B148" s="3" t="s">
        <v>301</v>
      </c>
      <c r="C148" s="3" t="s">
        <v>302</v>
      </c>
      <c r="D148" s="3" t="s">
        <v>28</v>
      </c>
      <c r="E148" s="3" t="s">
        <v>303</v>
      </c>
      <c r="F148" s="3" t="s">
        <v>304</v>
      </c>
      <c r="G148" s="34">
        <v>2004</v>
      </c>
      <c r="H148" s="50" t="s">
        <v>317</v>
      </c>
      <c r="I148" s="3">
        <v>46.666666669999998</v>
      </c>
      <c r="J148" s="3">
        <v>-71.166666669999998</v>
      </c>
      <c r="K148" s="2">
        <v>194</v>
      </c>
      <c r="L148" s="3" t="s">
        <v>302</v>
      </c>
      <c r="M148" s="8" t="s">
        <v>205</v>
      </c>
      <c r="N148" s="8"/>
      <c r="O148" s="3" t="s">
        <v>36</v>
      </c>
      <c r="P148" s="8"/>
      <c r="Q148" s="8">
        <v>24.945595786726514</v>
      </c>
      <c r="R148" s="8"/>
      <c r="S148" s="8"/>
      <c r="T148" s="10" t="s">
        <v>86</v>
      </c>
      <c r="U148" s="10"/>
      <c r="V148" s="8"/>
      <c r="W148" s="8"/>
      <c r="X148" s="8"/>
      <c r="Y148" s="8"/>
      <c r="Z148" s="8"/>
      <c r="AA148" s="8"/>
      <c r="AB148" s="8"/>
      <c r="AC148" s="8" t="s">
        <v>884</v>
      </c>
      <c r="AD148" s="8"/>
      <c r="AE148" s="8"/>
      <c r="AF148" s="8"/>
      <c r="AG148" s="8"/>
    </row>
    <row r="149" spans="1:33" s="1" customFormat="1" ht="15" customHeight="1" x14ac:dyDescent="0.3">
      <c r="A149" s="3" t="s">
        <v>300</v>
      </c>
      <c r="B149" s="3" t="s">
        <v>301</v>
      </c>
      <c r="C149" s="3" t="s">
        <v>302</v>
      </c>
      <c r="D149" s="3" t="s">
        <v>28</v>
      </c>
      <c r="E149" s="3" t="s">
        <v>303</v>
      </c>
      <c r="F149" s="3" t="s">
        <v>304</v>
      </c>
      <c r="G149" s="34">
        <v>2004</v>
      </c>
      <c r="H149" s="50" t="s">
        <v>317</v>
      </c>
      <c r="I149" s="3">
        <v>46.666666669999998</v>
      </c>
      <c r="J149" s="3">
        <v>-71.166666669999998</v>
      </c>
      <c r="K149" s="2">
        <v>194</v>
      </c>
      <c r="L149" s="3" t="s">
        <v>302</v>
      </c>
      <c r="M149" s="8" t="s">
        <v>205</v>
      </c>
      <c r="N149" s="8"/>
      <c r="O149" s="3" t="s">
        <v>36</v>
      </c>
      <c r="P149" s="8"/>
      <c r="Q149" s="8">
        <v>101.65395315299686</v>
      </c>
      <c r="R149" s="8"/>
      <c r="S149" s="8"/>
      <c r="T149" s="10" t="s">
        <v>86</v>
      </c>
      <c r="U149" s="10"/>
      <c r="V149" s="8"/>
      <c r="W149" s="8"/>
      <c r="X149" s="8"/>
      <c r="Y149" s="8"/>
      <c r="Z149" s="8"/>
      <c r="AA149" s="8"/>
      <c r="AB149" s="8"/>
      <c r="AC149" s="8" t="s">
        <v>884</v>
      </c>
      <c r="AD149" s="8"/>
      <c r="AE149" s="8"/>
      <c r="AF149" s="8"/>
      <c r="AG149" s="8"/>
    </row>
    <row r="150" spans="1:33" s="1" customFormat="1" ht="15" customHeight="1" x14ac:dyDescent="0.3">
      <c r="A150" s="3" t="s">
        <v>300</v>
      </c>
      <c r="B150" s="3" t="s">
        <v>301</v>
      </c>
      <c r="C150" s="3" t="s">
        <v>302</v>
      </c>
      <c r="D150" s="3" t="s">
        <v>28</v>
      </c>
      <c r="E150" s="3" t="s">
        <v>303</v>
      </c>
      <c r="F150" s="3" t="s">
        <v>304</v>
      </c>
      <c r="G150" s="34">
        <v>2004</v>
      </c>
      <c r="H150" s="50" t="s">
        <v>317</v>
      </c>
      <c r="I150" s="3">
        <v>46.666666669999998</v>
      </c>
      <c r="J150" s="3">
        <v>-71.166666669999998</v>
      </c>
      <c r="K150" s="2">
        <v>194</v>
      </c>
      <c r="L150" s="3" t="s">
        <v>302</v>
      </c>
      <c r="M150" s="8" t="s">
        <v>247</v>
      </c>
      <c r="N150" s="8"/>
      <c r="O150" s="3" t="s">
        <v>36</v>
      </c>
      <c r="P150" s="8"/>
      <c r="Q150" s="8">
        <v>122.10430731954563</v>
      </c>
      <c r="R150" s="8"/>
      <c r="S150" s="8">
        <f>AVERAGE(Q150:Q152)</f>
        <v>71.244521496743616</v>
      </c>
      <c r="T150" s="10" t="s">
        <v>86</v>
      </c>
      <c r="U150" s="10"/>
      <c r="V150" s="8"/>
      <c r="W150" s="8"/>
      <c r="X150" s="8"/>
      <c r="Y150" s="8"/>
      <c r="Z150" s="8"/>
      <c r="AA150" s="8"/>
      <c r="AB150" s="8"/>
      <c r="AC150" s="8" t="s">
        <v>884</v>
      </c>
      <c r="AD150" s="8"/>
      <c r="AE150" s="8"/>
      <c r="AF150" s="8"/>
      <c r="AG150" s="8"/>
    </row>
    <row r="151" spans="1:33" s="1" customFormat="1" ht="15" customHeight="1" x14ac:dyDescent="0.3">
      <c r="A151" s="3" t="s">
        <v>300</v>
      </c>
      <c r="B151" s="3" t="s">
        <v>301</v>
      </c>
      <c r="C151" s="3" t="s">
        <v>302</v>
      </c>
      <c r="D151" s="3" t="s">
        <v>28</v>
      </c>
      <c r="E151" s="3" t="s">
        <v>303</v>
      </c>
      <c r="F151" s="3" t="s">
        <v>304</v>
      </c>
      <c r="G151" s="34">
        <v>2004</v>
      </c>
      <c r="H151" s="50" t="s">
        <v>317</v>
      </c>
      <c r="I151" s="3">
        <v>46.666666669999998</v>
      </c>
      <c r="J151" s="3">
        <v>-71.166666669999998</v>
      </c>
      <c r="K151" s="2">
        <v>194</v>
      </c>
      <c r="L151" s="3" t="s">
        <v>302</v>
      </c>
      <c r="M151" s="8" t="s">
        <v>247</v>
      </c>
      <c r="N151" s="8"/>
      <c r="O151" s="3" t="s">
        <v>36</v>
      </c>
      <c r="P151" s="8"/>
      <c r="Q151" s="8">
        <v>23.598553011765446</v>
      </c>
      <c r="R151" s="8"/>
      <c r="S151" s="8"/>
      <c r="T151" s="10" t="s">
        <v>86</v>
      </c>
      <c r="U151" s="10"/>
      <c r="V151" s="8"/>
      <c r="W151" s="8"/>
      <c r="X151" s="8"/>
      <c r="Y151" s="8"/>
      <c r="Z151" s="8"/>
      <c r="AA151" s="8"/>
      <c r="AB151" s="8"/>
      <c r="AC151" s="8" t="s">
        <v>884</v>
      </c>
      <c r="AD151" s="8"/>
      <c r="AE151" s="8"/>
      <c r="AF151" s="8"/>
      <c r="AG151" s="8"/>
    </row>
    <row r="152" spans="1:33" s="1" customFormat="1" ht="15" customHeight="1" x14ac:dyDescent="0.3">
      <c r="A152" s="3" t="s">
        <v>300</v>
      </c>
      <c r="B152" s="3" t="s">
        <v>301</v>
      </c>
      <c r="C152" s="3" t="s">
        <v>302</v>
      </c>
      <c r="D152" s="3" t="s">
        <v>28</v>
      </c>
      <c r="E152" s="3" t="s">
        <v>303</v>
      </c>
      <c r="F152" s="3" t="s">
        <v>304</v>
      </c>
      <c r="G152" s="34">
        <v>2004</v>
      </c>
      <c r="H152" s="50" t="s">
        <v>317</v>
      </c>
      <c r="I152" s="3">
        <v>46.666666669999998</v>
      </c>
      <c r="J152" s="3">
        <v>-71.166666669999998</v>
      </c>
      <c r="K152" s="2">
        <v>194</v>
      </c>
      <c r="L152" s="3" t="s">
        <v>302</v>
      </c>
      <c r="M152" s="8" t="s">
        <v>247</v>
      </c>
      <c r="N152" s="8"/>
      <c r="O152" s="3" t="s">
        <v>36</v>
      </c>
      <c r="P152" s="8"/>
      <c r="Q152" s="8">
        <v>68.030704158919761</v>
      </c>
      <c r="R152" s="8"/>
      <c r="S152" s="8"/>
      <c r="T152" s="10" t="s">
        <v>86</v>
      </c>
      <c r="U152" s="10"/>
      <c r="V152" s="8"/>
      <c r="W152" s="8"/>
      <c r="X152" s="8"/>
      <c r="Y152" s="8"/>
      <c r="Z152" s="8"/>
      <c r="AA152" s="8"/>
      <c r="AB152" s="8"/>
      <c r="AC152" s="8" t="s">
        <v>884</v>
      </c>
      <c r="AD152" s="8"/>
      <c r="AE152" s="8"/>
      <c r="AF152" s="8"/>
      <c r="AG152" s="8"/>
    </row>
    <row r="153" spans="1:33" s="13" customFormat="1" ht="15" customHeight="1" x14ac:dyDescent="0.3">
      <c r="A153" s="3" t="s">
        <v>300</v>
      </c>
      <c r="B153" s="3" t="s">
        <v>301</v>
      </c>
      <c r="C153" s="3" t="s">
        <v>302</v>
      </c>
      <c r="D153" s="3" t="s">
        <v>28</v>
      </c>
      <c r="E153" s="3" t="s">
        <v>303</v>
      </c>
      <c r="F153" s="3" t="s">
        <v>304</v>
      </c>
      <c r="G153" s="2">
        <v>2001</v>
      </c>
      <c r="H153" s="3" t="s">
        <v>318</v>
      </c>
      <c r="I153" s="3">
        <v>46.666666669999998</v>
      </c>
      <c r="J153" s="3">
        <v>-71.166666669999998</v>
      </c>
      <c r="K153" s="2">
        <v>194</v>
      </c>
      <c r="L153" s="3" t="s">
        <v>302</v>
      </c>
      <c r="M153" s="3" t="s">
        <v>319</v>
      </c>
      <c r="N153" s="2"/>
      <c r="O153" s="3" t="s">
        <v>36</v>
      </c>
      <c r="P153" s="5"/>
      <c r="Q153" s="20">
        <f t="shared" ref="Q153:Q157" si="25">S153/0.7488</f>
        <v>57.024572649572654</v>
      </c>
      <c r="R153" s="20"/>
      <c r="S153" s="17">
        <v>42.7</v>
      </c>
      <c r="T153" s="22" t="s">
        <v>104</v>
      </c>
      <c r="U153" s="22"/>
      <c r="V153" s="20"/>
      <c r="W153" s="17"/>
      <c r="X153" s="22"/>
      <c r="Y153" s="22"/>
      <c r="Z153" s="22"/>
      <c r="AA153" s="22"/>
      <c r="AB153" s="22"/>
      <c r="AC153" s="8" t="s">
        <v>883</v>
      </c>
      <c r="AD153" s="3"/>
      <c r="AE153" s="3"/>
      <c r="AF153" s="3"/>
      <c r="AG153" s="3"/>
    </row>
    <row r="154" spans="1:33" s="13" customFormat="1" ht="15" customHeight="1" x14ac:dyDescent="0.3">
      <c r="A154" s="3" t="s">
        <v>300</v>
      </c>
      <c r="B154" s="3" t="s">
        <v>301</v>
      </c>
      <c r="C154" s="3" t="s">
        <v>302</v>
      </c>
      <c r="D154" s="3" t="s">
        <v>28</v>
      </c>
      <c r="E154" s="3" t="s">
        <v>310</v>
      </c>
      <c r="F154" s="3" t="s">
        <v>304</v>
      </c>
      <c r="G154" s="2">
        <v>2001</v>
      </c>
      <c r="H154" s="3" t="s">
        <v>320</v>
      </c>
      <c r="I154" s="3">
        <v>46.666666669999998</v>
      </c>
      <c r="J154" s="3">
        <v>-71.166666669999998</v>
      </c>
      <c r="K154" s="2">
        <v>194</v>
      </c>
      <c r="L154" s="3" t="s">
        <v>302</v>
      </c>
      <c r="M154" s="3" t="s">
        <v>319</v>
      </c>
      <c r="N154" s="2"/>
      <c r="O154" s="3" t="s">
        <v>36</v>
      </c>
      <c r="P154" s="5"/>
      <c r="Q154" s="20">
        <f>S154/0.7488</f>
        <v>21.501068376068378</v>
      </c>
      <c r="R154" s="20"/>
      <c r="S154" s="17">
        <v>16.100000000000001</v>
      </c>
      <c r="T154" s="22" t="s">
        <v>104</v>
      </c>
      <c r="U154" s="22"/>
      <c r="V154" s="20"/>
      <c r="W154" s="17"/>
      <c r="X154" s="22"/>
      <c r="Y154" s="22"/>
      <c r="Z154" s="22"/>
      <c r="AA154" s="22"/>
      <c r="AB154" s="22"/>
      <c r="AC154" s="8" t="s">
        <v>883</v>
      </c>
      <c r="AD154" s="3"/>
      <c r="AE154" s="3"/>
      <c r="AF154" s="3"/>
      <c r="AG154" s="3"/>
    </row>
    <row r="155" spans="1:33" s="13" customFormat="1" ht="15" customHeight="1" x14ac:dyDescent="0.3">
      <c r="A155" s="3" t="s">
        <v>300</v>
      </c>
      <c r="B155" s="3" t="s">
        <v>301</v>
      </c>
      <c r="C155" s="3" t="s">
        <v>302</v>
      </c>
      <c r="D155" s="3" t="s">
        <v>28</v>
      </c>
      <c r="E155" s="3" t="s">
        <v>303</v>
      </c>
      <c r="F155" s="3" t="s">
        <v>304</v>
      </c>
      <c r="G155" s="2">
        <v>2002</v>
      </c>
      <c r="H155" s="3" t="s">
        <v>321</v>
      </c>
      <c r="I155" s="3">
        <v>46.666666669999998</v>
      </c>
      <c r="J155" s="3">
        <v>-71.166666669999998</v>
      </c>
      <c r="K155" s="2">
        <v>194</v>
      </c>
      <c r="L155" s="3" t="s">
        <v>302</v>
      </c>
      <c r="M155" s="3" t="s">
        <v>319</v>
      </c>
      <c r="N155" s="2"/>
      <c r="O155" s="3" t="s">
        <v>36</v>
      </c>
      <c r="P155" s="5"/>
      <c r="Q155" s="20">
        <f>S155/0.7488</f>
        <v>46.073717948717949</v>
      </c>
      <c r="R155" s="20"/>
      <c r="S155" s="17">
        <v>34.5</v>
      </c>
      <c r="T155" s="22" t="s">
        <v>104</v>
      </c>
      <c r="U155" s="22"/>
      <c r="V155" s="20"/>
      <c r="W155" s="17"/>
      <c r="X155" s="22"/>
      <c r="Y155" s="22"/>
      <c r="Z155" s="22"/>
      <c r="AA155" s="22"/>
      <c r="AB155" s="22"/>
      <c r="AC155" s="8" t="s">
        <v>883</v>
      </c>
      <c r="AD155" s="3"/>
      <c r="AE155" s="3"/>
      <c r="AF155" s="3"/>
      <c r="AG155" s="3"/>
    </row>
    <row r="156" spans="1:33" s="13" customFormat="1" ht="15" customHeight="1" x14ac:dyDescent="0.3">
      <c r="A156" s="3" t="s">
        <v>300</v>
      </c>
      <c r="B156" s="3" t="s">
        <v>301</v>
      </c>
      <c r="C156" s="3" t="s">
        <v>302</v>
      </c>
      <c r="D156" s="3" t="s">
        <v>28</v>
      </c>
      <c r="E156" s="3" t="s">
        <v>303</v>
      </c>
      <c r="F156" s="3" t="s">
        <v>304</v>
      </c>
      <c r="G156" s="2">
        <v>2003</v>
      </c>
      <c r="H156" s="3" t="s">
        <v>322</v>
      </c>
      <c r="I156" s="3">
        <v>46.666666669999998</v>
      </c>
      <c r="J156" s="3">
        <v>-71.166666669999998</v>
      </c>
      <c r="K156" s="2">
        <v>194</v>
      </c>
      <c r="L156" s="3" t="s">
        <v>302</v>
      </c>
      <c r="M156" s="3" t="s">
        <v>319</v>
      </c>
      <c r="N156" s="2"/>
      <c r="O156" s="3" t="s">
        <v>36</v>
      </c>
      <c r="P156" s="5"/>
      <c r="Q156" s="20">
        <f t="shared" si="25"/>
        <v>15.224358974358974</v>
      </c>
      <c r="R156" s="20"/>
      <c r="S156" s="17">
        <v>11.4</v>
      </c>
      <c r="T156" s="22" t="s">
        <v>104</v>
      </c>
      <c r="U156" s="22"/>
      <c r="V156" s="20"/>
      <c r="W156" s="17"/>
      <c r="X156" s="22"/>
      <c r="Y156" s="22"/>
      <c r="Z156" s="22"/>
      <c r="AA156" s="22"/>
      <c r="AB156" s="22"/>
      <c r="AC156" s="8" t="s">
        <v>883</v>
      </c>
      <c r="AD156" s="3"/>
      <c r="AE156" s="3"/>
      <c r="AF156" s="3"/>
      <c r="AG156" s="3"/>
    </row>
    <row r="157" spans="1:33" s="13" customFormat="1" ht="15" customHeight="1" x14ac:dyDescent="0.3">
      <c r="A157" s="3" t="s">
        <v>300</v>
      </c>
      <c r="B157" s="3" t="s">
        <v>301</v>
      </c>
      <c r="C157" s="3" t="s">
        <v>302</v>
      </c>
      <c r="D157" s="3" t="s">
        <v>28</v>
      </c>
      <c r="E157" s="3" t="s">
        <v>303</v>
      </c>
      <c r="F157" s="3" t="s">
        <v>304</v>
      </c>
      <c r="G157" s="2">
        <v>2004</v>
      </c>
      <c r="H157" s="3" t="s">
        <v>323</v>
      </c>
      <c r="I157" s="3">
        <v>46.666666669999998</v>
      </c>
      <c r="J157" s="3">
        <v>-71.166666669999998</v>
      </c>
      <c r="K157" s="2">
        <v>194</v>
      </c>
      <c r="L157" s="3" t="s">
        <v>302</v>
      </c>
      <c r="M157" s="3" t="s">
        <v>319</v>
      </c>
      <c r="N157" s="2"/>
      <c r="O157" s="3" t="s">
        <v>36</v>
      </c>
      <c r="P157" s="5"/>
      <c r="Q157" s="20">
        <f t="shared" si="25"/>
        <v>21.501068376068378</v>
      </c>
      <c r="R157" s="20"/>
      <c r="S157" s="17">
        <v>16.100000000000001</v>
      </c>
      <c r="T157" s="22" t="s">
        <v>104</v>
      </c>
      <c r="U157" s="22"/>
      <c r="V157" s="20"/>
      <c r="W157" s="17"/>
      <c r="X157" s="22"/>
      <c r="Y157" s="22"/>
      <c r="Z157" s="22"/>
      <c r="AA157" s="22"/>
      <c r="AB157" s="22"/>
      <c r="AC157" s="8" t="s">
        <v>883</v>
      </c>
      <c r="AD157" s="3"/>
      <c r="AE157" s="3"/>
      <c r="AF157" s="3"/>
      <c r="AG157" s="3"/>
    </row>
    <row r="158" spans="1:33" s="13" customFormat="1" ht="15" customHeight="1" x14ac:dyDescent="0.3">
      <c r="A158" s="3" t="s">
        <v>324</v>
      </c>
      <c r="B158" s="3" t="s">
        <v>301</v>
      </c>
      <c r="C158" s="3" t="s">
        <v>302</v>
      </c>
      <c r="D158" s="3" t="s">
        <v>28</v>
      </c>
      <c r="E158" s="3" t="s">
        <v>303</v>
      </c>
      <c r="F158" s="3" t="s">
        <v>304</v>
      </c>
      <c r="G158" s="2" t="s">
        <v>325</v>
      </c>
      <c r="H158" s="3" t="s">
        <v>326</v>
      </c>
      <c r="I158" s="3">
        <v>46.666666669999998</v>
      </c>
      <c r="J158" s="3">
        <v>-71.166666669999998</v>
      </c>
      <c r="K158" s="2">
        <v>194</v>
      </c>
      <c r="L158" s="3" t="s">
        <v>302</v>
      </c>
      <c r="M158" s="3" t="s">
        <v>327</v>
      </c>
      <c r="N158" s="3"/>
      <c r="O158" s="3" t="s">
        <v>36</v>
      </c>
      <c r="P158" s="3"/>
      <c r="Q158" s="3">
        <v>143.4</v>
      </c>
      <c r="R158" s="3"/>
      <c r="S158" s="3"/>
      <c r="T158" s="10" t="s">
        <v>86</v>
      </c>
      <c r="U158" s="10"/>
      <c r="V158" s="3"/>
      <c r="W158" s="3"/>
      <c r="X158" s="10"/>
      <c r="Y158" s="10"/>
      <c r="Z158" s="10"/>
      <c r="AA158" s="10"/>
      <c r="AB158" s="10"/>
      <c r="AC158" s="8" t="s">
        <v>883</v>
      </c>
      <c r="AD158" s="3" t="s">
        <v>328</v>
      </c>
      <c r="AE158" s="3"/>
      <c r="AF158" s="3"/>
      <c r="AG158" s="3"/>
    </row>
    <row r="159" spans="1:33" s="13" customFormat="1" ht="15" customHeight="1" x14ac:dyDescent="0.3">
      <c r="A159" s="3" t="s">
        <v>324</v>
      </c>
      <c r="B159" s="3" t="s">
        <v>301</v>
      </c>
      <c r="C159" s="3" t="s">
        <v>302</v>
      </c>
      <c r="D159" s="3" t="s">
        <v>28</v>
      </c>
      <c r="E159" s="3" t="s">
        <v>303</v>
      </c>
      <c r="F159" s="3" t="s">
        <v>304</v>
      </c>
      <c r="G159" s="2" t="s">
        <v>325</v>
      </c>
      <c r="H159" s="3" t="s">
        <v>326</v>
      </c>
      <c r="I159" s="3">
        <v>46.666666669999998</v>
      </c>
      <c r="J159" s="3">
        <v>-71.166666669999998</v>
      </c>
      <c r="K159" s="2">
        <v>194</v>
      </c>
      <c r="L159" s="3" t="s">
        <v>302</v>
      </c>
      <c r="M159" s="3" t="s">
        <v>306</v>
      </c>
      <c r="N159" s="3"/>
      <c r="O159" s="3" t="s">
        <v>36</v>
      </c>
      <c r="P159" s="3" t="s">
        <v>329</v>
      </c>
      <c r="Q159" s="3">
        <v>125</v>
      </c>
      <c r="R159" s="3"/>
      <c r="S159" s="3"/>
      <c r="T159" s="10" t="s">
        <v>86</v>
      </c>
      <c r="U159" s="10"/>
      <c r="V159" s="3"/>
      <c r="W159" s="3"/>
      <c r="X159" s="10"/>
      <c r="Y159" s="10"/>
      <c r="Z159" s="10"/>
      <c r="AA159" s="10"/>
      <c r="AB159" s="10"/>
      <c r="AC159" s="8" t="s">
        <v>883</v>
      </c>
      <c r="AD159" s="3" t="s">
        <v>328</v>
      </c>
      <c r="AE159" s="3"/>
      <c r="AF159" s="3"/>
      <c r="AG159" s="3"/>
    </row>
    <row r="160" spans="1:33" s="13" customFormat="1" ht="15" customHeight="1" x14ac:dyDescent="0.3">
      <c r="A160" s="3" t="s">
        <v>324</v>
      </c>
      <c r="B160" s="3" t="s">
        <v>301</v>
      </c>
      <c r="C160" s="3" t="s">
        <v>302</v>
      </c>
      <c r="D160" s="3" t="s">
        <v>28</v>
      </c>
      <c r="E160" s="3" t="s">
        <v>303</v>
      </c>
      <c r="F160" s="3" t="s">
        <v>304</v>
      </c>
      <c r="G160" s="2" t="s">
        <v>325</v>
      </c>
      <c r="H160" s="3" t="s">
        <v>326</v>
      </c>
      <c r="I160" s="3">
        <v>46.666666669999998</v>
      </c>
      <c r="J160" s="3">
        <v>-71.166666669999998</v>
      </c>
      <c r="K160" s="2">
        <v>194</v>
      </c>
      <c r="L160" s="3" t="s">
        <v>302</v>
      </c>
      <c r="M160" s="3" t="s">
        <v>41</v>
      </c>
      <c r="N160" s="3"/>
      <c r="O160" s="3" t="s">
        <v>36</v>
      </c>
      <c r="P160" s="3" t="s">
        <v>330</v>
      </c>
      <c r="Q160" s="3">
        <v>160</v>
      </c>
      <c r="R160" s="3"/>
      <c r="S160" s="3"/>
      <c r="T160" s="10" t="s">
        <v>86</v>
      </c>
      <c r="U160" s="10"/>
      <c r="V160" s="3"/>
      <c r="W160" s="3"/>
      <c r="X160" s="10"/>
      <c r="Y160" s="10"/>
      <c r="Z160" s="10"/>
      <c r="AA160" s="10"/>
      <c r="AB160" s="10"/>
      <c r="AC160" s="8" t="s">
        <v>883</v>
      </c>
      <c r="AD160" s="3" t="s">
        <v>328</v>
      </c>
      <c r="AE160" s="3"/>
      <c r="AF160" s="3"/>
      <c r="AG160" s="3"/>
    </row>
    <row r="161" spans="1:33" s="13" customFormat="1" ht="15" customHeight="1" x14ac:dyDescent="0.3">
      <c r="A161" s="3" t="s">
        <v>324</v>
      </c>
      <c r="B161" s="3" t="s">
        <v>301</v>
      </c>
      <c r="C161" s="3" t="s">
        <v>302</v>
      </c>
      <c r="D161" s="3" t="s">
        <v>28</v>
      </c>
      <c r="E161" s="3" t="s">
        <v>303</v>
      </c>
      <c r="F161" s="3" t="s">
        <v>304</v>
      </c>
      <c r="G161" s="2" t="s">
        <v>325</v>
      </c>
      <c r="H161" s="3" t="s">
        <v>326</v>
      </c>
      <c r="I161" s="3">
        <v>46.666666669999998</v>
      </c>
      <c r="J161" s="3">
        <v>-71.166666669999998</v>
      </c>
      <c r="K161" s="2">
        <v>194</v>
      </c>
      <c r="L161" s="3" t="s">
        <v>302</v>
      </c>
      <c r="M161" s="3" t="s">
        <v>143</v>
      </c>
      <c r="N161" s="3"/>
      <c r="O161" s="3" t="s">
        <v>36</v>
      </c>
      <c r="P161" s="3" t="s">
        <v>331</v>
      </c>
      <c r="Q161" s="3">
        <v>152</v>
      </c>
      <c r="R161" s="3"/>
      <c r="S161" s="3"/>
      <c r="T161" s="10" t="s">
        <v>86</v>
      </c>
      <c r="U161" s="10"/>
      <c r="V161" s="3"/>
      <c r="W161" s="3"/>
      <c r="X161" s="10"/>
      <c r="Y161" s="10"/>
      <c r="Z161" s="10"/>
      <c r="AA161" s="10"/>
      <c r="AB161" s="10"/>
      <c r="AC161" s="8" t="s">
        <v>883</v>
      </c>
      <c r="AD161" s="3" t="s">
        <v>328</v>
      </c>
      <c r="AE161" s="3"/>
      <c r="AF161" s="3"/>
      <c r="AG161" s="3"/>
    </row>
    <row r="162" spans="1:33" s="13" customFormat="1" ht="15" customHeight="1" x14ac:dyDescent="0.3">
      <c r="A162" s="3" t="s">
        <v>324</v>
      </c>
      <c r="B162" s="3" t="s">
        <v>301</v>
      </c>
      <c r="C162" s="3" t="s">
        <v>302</v>
      </c>
      <c r="D162" s="3" t="s">
        <v>28</v>
      </c>
      <c r="E162" s="3" t="s">
        <v>303</v>
      </c>
      <c r="F162" s="3" t="s">
        <v>304</v>
      </c>
      <c r="G162" s="2" t="s">
        <v>325</v>
      </c>
      <c r="H162" s="3" t="s">
        <v>55</v>
      </c>
      <c r="I162" s="3">
        <v>46.666666669999998</v>
      </c>
      <c r="J162" s="3">
        <v>-71.166666669999998</v>
      </c>
      <c r="K162" s="2">
        <v>194</v>
      </c>
      <c r="L162" s="3" t="s">
        <v>302</v>
      </c>
      <c r="M162" s="3" t="s">
        <v>306</v>
      </c>
      <c r="N162" s="3"/>
      <c r="O162" s="3" t="s">
        <v>36</v>
      </c>
      <c r="P162" s="3"/>
      <c r="Q162" s="3"/>
      <c r="R162" s="3"/>
      <c r="S162" s="3"/>
      <c r="T162" s="3"/>
      <c r="U162" s="3"/>
      <c r="V162" s="3">
        <f>V165+V168</f>
        <v>12.899999999999999</v>
      </c>
      <c r="W162" s="3"/>
      <c r="X162" s="10" t="s">
        <v>114</v>
      </c>
      <c r="Y162" s="10"/>
      <c r="Z162" s="10"/>
      <c r="AA162" s="10"/>
      <c r="AB162" s="10"/>
      <c r="AC162" s="8" t="s">
        <v>883</v>
      </c>
      <c r="AD162" s="3"/>
      <c r="AE162" s="3"/>
      <c r="AF162" s="3"/>
      <c r="AG162" s="3"/>
    </row>
    <row r="163" spans="1:33" s="13" customFormat="1" ht="15" customHeight="1" x14ac:dyDescent="0.3">
      <c r="A163" s="3" t="s">
        <v>324</v>
      </c>
      <c r="B163" s="3" t="s">
        <v>301</v>
      </c>
      <c r="C163" s="3" t="s">
        <v>302</v>
      </c>
      <c r="D163" s="3" t="s">
        <v>28</v>
      </c>
      <c r="E163" s="3" t="s">
        <v>303</v>
      </c>
      <c r="F163" s="3" t="s">
        <v>304</v>
      </c>
      <c r="G163" s="2" t="s">
        <v>325</v>
      </c>
      <c r="H163" s="3" t="s">
        <v>55</v>
      </c>
      <c r="I163" s="3">
        <v>46.666666669999998</v>
      </c>
      <c r="J163" s="3">
        <v>-71.166666669999998</v>
      </c>
      <c r="K163" s="2">
        <v>194</v>
      </c>
      <c r="L163" s="3" t="s">
        <v>302</v>
      </c>
      <c r="M163" s="3" t="s">
        <v>41</v>
      </c>
      <c r="N163" s="3"/>
      <c r="O163" s="3" t="s">
        <v>36</v>
      </c>
      <c r="P163" s="3"/>
      <c r="Q163" s="3"/>
      <c r="R163" s="3"/>
      <c r="S163" s="3"/>
      <c r="T163" s="3"/>
      <c r="U163" s="3"/>
      <c r="V163" s="3">
        <f>V166+V169</f>
        <v>19.100000000000001</v>
      </c>
      <c r="W163" s="3"/>
      <c r="X163" s="10" t="s">
        <v>114</v>
      </c>
      <c r="Y163" s="10"/>
      <c r="Z163" s="10"/>
      <c r="AA163" s="10"/>
      <c r="AB163" s="10"/>
      <c r="AC163" s="8" t="s">
        <v>883</v>
      </c>
      <c r="AD163" s="3"/>
      <c r="AE163" s="3"/>
      <c r="AF163" s="3"/>
      <c r="AG163" s="3"/>
    </row>
    <row r="164" spans="1:33" s="13" customFormat="1" ht="15" customHeight="1" x14ac:dyDescent="0.3">
      <c r="A164" s="3" t="s">
        <v>324</v>
      </c>
      <c r="B164" s="3" t="s">
        <v>301</v>
      </c>
      <c r="C164" s="3" t="s">
        <v>302</v>
      </c>
      <c r="D164" s="3" t="s">
        <v>28</v>
      </c>
      <c r="E164" s="3" t="s">
        <v>303</v>
      </c>
      <c r="F164" s="3" t="s">
        <v>304</v>
      </c>
      <c r="G164" s="2" t="s">
        <v>325</v>
      </c>
      <c r="H164" s="3" t="s">
        <v>55</v>
      </c>
      <c r="I164" s="3">
        <v>46.666666669999998</v>
      </c>
      <c r="J164" s="3">
        <v>-71.166666669999998</v>
      </c>
      <c r="K164" s="2">
        <v>194</v>
      </c>
      <c r="L164" s="3" t="s">
        <v>302</v>
      </c>
      <c r="M164" s="3" t="s">
        <v>143</v>
      </c>
      <c r="N164" s="3"/>
      <c r="O164" s="3" t="s">
        <v>36</v>
      </c>
      <c r="P164" s="3"/>
      <c r="Q164" s="3"/>
      <c r="R164" s="3"/>
      <c r="S164" s="3"/>
      <c r="T164" s="3"/>
      <c r="U164" s="3"/>
      <c r="V164" s="3">
        <f>V167+V170</f>
        <v>14.6</v>
      </c>
      <c r="W164" s="3"/>
      <c r="X164" s="10" t="s">
        <v>114</v>
      </c>
      <c r="Y164" s="10"/>
      <c r="Z164" s="10"/>
      <c r="AA164" s="10"/>
      <c r="AB164" s="10"/>
      <c r="AC164" s="8" t="s">
        <v>883</v>
      </c>
      <c r="AD164" s="3"/>
      <c r="AE164" s="3"/>
      <c r="AF164" s="3"/>
      <c r="AG164" s="3"/>
    </row>
    <row r="165" spans="1:33" s="13" customFormat="1" ht="15" customHeight="1" x14ac:dyDescent="0.3">
      <c r="A165" s="3" t="s">
        <v>324</v>
      </c>
      <c r="B165" s="3" t="s">
        <v>301</v>
      </c>
      <c r="C165" s="3" t="s">
        <v>302</v>
      </c>
      <c r="D165" s="3" t="s">
        <v>28</v>
      </c>
      <c r="E165" s="3" t="s">
        <v>303</v>
      </c>
      <c r="F165" s="3" t="s">
        <v>304</v>
      </c>
      <c r="G165" s="2" t="s">
        <v>325</v>
      </c>
      <c r="H165" s="3" t="s">
        <v>332</v>
      </c>
      <c r="I165" s="3">
        <v>46.666666669999998</v>
      </c>
      <c r="J165" s="3">
        <v>-71.166666669999998</v>
      </c>
      <c r="K165" s="2">
        <v>194</v>
      </c>
      <c r="L165" s="3" t="s">
        <v>302</v>
      </c>
      <c r="M165" s="3" t="s">
        <v>306</v>
      </c>
      <c r="N165" s="3"/>
      <c r="O165" s="3" t="s">
        <v>36</v>
      </c>
      <c r="P165" s="3" t="s">
        <v>329</v>
      </c>
      <c r="Q165" s="3"/>
      <c r="R165" s="3"/>
      <c r="S165" s="3"/>
      <c r="T165" s="3"/>
      <c r="U165" s="3"/>
      <c r="V165" s="3">
        <v>3.2</v>
      </c>
      <c r="W165" s="3"/>
      <c r="X165" s="10" t="s">
        <v>81</v>
      </c>
      <c r="Y165" s="10"/>
      <c r="Z165" s="10"/>
      <c r="AA165" s="10"/>
      <c r="AB165" s="10"/>
      <c r="AC165" s="8" t="s">
        <v>883</v>
      </c>
      <c r="AD165" s="3" t="s">
        <v>333</v>
      </c>
      <c r="AE165" s="3"/>
      <c r="AF165" s="3"/>
      <c r="AG165" s="3"/>
    </row>
    <row r="166" spans="1:33" s="13" customFormat="1" ht="15" customHeight="1" x14ac:dyDescent="0.3">
      <c r="A166" s="3" t="s">
        <v>324</v>
      </c>
      <c r="B166" s="3" t="s">
        <v>301</v>
      </c>
      <c r="C166" s="3" t="s">
        <v>302</v>
      </c>
      <c r="D166" s="3" t="s">
        <v>28</v>
      </c>
      <c r="E166" s="3" t="s">
        <v>303</v>
      </c>
      <c r="F166" s="3" t="s">
        <v>304</v>
      </c>
      <c r="G166" s="2" t="s">
        <v>325</v>
      </c>
      <c r="H166" s="3" t="s">
        <v>332</v>
      </c>
      <c r="I166" s="3">
        <v>46.666666669999998</v>
      </c>
      <c r="J166" s="3">
        <v>-71.166666669999998</v>
      </c>
      <c r="K166" s="2">
        <v>194</v>
      </c>
      <c r="L166" s="3" t="s">
        <v>302</v>
      </c>
      <c r="M166" s="3" t="s">
        <v>41</v>
      </c>
      <c r="N166" s="3"/>
      <c r="O166" s="3" t="s">
        <v>36</v>
      </c>
      <c r="P166" s="3" t="s">
        <v>330</v>
      </c>
      <c r="Q166" s="3"/>
      <c r="R166" s="3"/>
      <c r="S166" s="3"/>
      <c r="T166" s="3"/>
      <c r="U166" s="3"/>
      <c r="V166" s="3">
        <v>2.8</v>
      </c>
      <c r="W166" s="3"/>
      <c r="X166" s="10" t="s">
        <v>81</v>
      </c>
      <c r="Y166" s="10"/>
      <c r="Z166" s="10"/>
      <c r="AA166" s="10"/>
      <c r="AB166" s="10"/>
      <c r="AC166" s="8" t="s">
        <v>883</v>
      </c>
      <c r="AD166" s="3" t="s">
        <v>334</v>
      </c>
      <c r="AE166" s="3"/>
      <c r="AF166" s="3"/>
      <c r="AG166" s="3"/>
    </row>
    <row r="167" spans="1:33" s="13" customFormat="1" ht="15" customHeight="1" x14ac:dyDescent="0.3">
      <c r="A167" s="3" t="s">
        <v>324</v>
      </c>
      <c r="B167" s="3" t="s">
        <v>301</v>
      </c>
      <c r="C167" s="3" t="s">
        <v>302</v>
      </c>
      <c r="D167" s="3" t="s">
        <v>28</v>
      </c>
      <c r="E167" s="3" t="s">
        <v>303</v>
      </c>
      <c r="F167" s="3" t="s">
        <v>304</v>
      </c>
      <c r="G167" s="2" t="s">
        <v>325</v>
      </c>
      <c r="H167" s="3" t="s">
        <v>332</v>
      </c>
      <c r="I167" s="3">
        <v>46.666666669999998</v>
      </c>
      <c r="J167" s="3">
        <v>-71.166666669999998</v>
      </c>
      <c r="K167" s="2">
        <v>194</v>
      </c>
      <c r="L167" s="3" t="s">
        <v>302</v>
      </c>
      <c r="M167" s="3" t="s">
        <v>143</v>
      </c>
      <c r="N167" s="3"/>
      <c r="O167" s="3" t="s">
        <v>36</v>
      </c>
      <c r="P167" s="3" t="s">
        <v>331</v>
      </c>
      <c r="Q167" s="3"/>
      <c r="R167" s="3"/>
      <c r="S167" s="3"/>
      <c r="T167" s="3"/>
      <c r="U167" s="3"/>
      <c r="V167" s="3">
        <v>0.1</v>
      </c>
      <c r="W167" s="3"/>
      <c r="X167" s="10" t="s">
        <v>81</v>
      </c>
      <c r="Y167" s="10"/>
      <c r="Z167" s="10"/>
      <c r="AA167" s="10"/>
      <c r="AB167" s="10"/>
      <c r="AC167" s="8" t="s">
        <v>883</v>
      </c>
      <c r="AD167" s="3" t="s">
        <v>335</v>
      </c>
      <c r="AE167" s="3"/>
      <c r="AF167" s="3"/>
      <c r="AG167" s="3"/>
    </row>
    <row r="168" spans="1:33" s="13" customFormat="1" ht="15" customHeight="1" x14ac:dyDescent="0.3">
      <c r="A168" s="3" t="s">
        <v>324</v>
      </c>
      <c r="B168" s="3" t="s">
        <v>301</v>
      </c>
      <c r="C168" s="3" t="s">
        <v>302</v>
      </c>
      <c r="D168" s="3" t="s">
        <v>28</v>
      </c>
      <c r="E168" s="3" t="s">
        <v>303</v>
      </c>
      <c r="F168" s="3" t="s">
        <v>304</v>
      </c>
      <c r="G168" s="2" t="s">
        <v>325</v>
      </c>
      <c r="H168" s="3" t="s">
        <v>326</v>
      </c>
      <c r="I168" s="3">
        <v>46.666666669999998</v>
      </c>
      <c r="J168" s="3">
        <v>-71.166666669999998</v>
      </c>
      <c r="K168" s="2">
        <v>194</v>
      </c>
      <c r="L168" s="3" t="s">
        <v>302</v>
      </c>
      <c r="M168" s="3" t="s">
        <v>306</v>
      </c>
      <c r="N168" s="3"/>
      <c r="O168" s="3" t="s">
        <v>36</v>
      </c>
      <c r="P168" s="3" t="s">
        <v>336</v>
      </c>
      <c r="Q168" s="3"/>
      <c r="R168" s="3"/>
      <c r="S168" s="3"/>
      <c r="T168" s="3"/>
      <c r="U168" s="3"/>
      <c r="V168" s="3">
        <v>9.6999999999999993</v>
      </c>
      <c r="W168" s="3"/>
      <c r="X168" s="10" t="s">
        <v>81</v>
      </c>
      <c r="Y168" s="10"/>
      <c r="Z168" s="10"/>
      <c r="AA168" s="10"/>
      <c r="AB168" s="10"/>
      <c r="AC168" s="8" t="s">
        <v>883</v>
      </c>
      <c r="AD168" s="3"/>
      <c r="AE168" s="3"/>
      <c r="AF168" s="3"/>
      <c r="AG168" s="3"/>
    </row>
    <row r="169" spans="1:33" s="13" customFormat="1" ht="15" customHeight="1" x14ac:dyDescent="0.3">
      <c r="A169" s="3" t="s">
        <v>324</v>
      </c>
      <c r="B169" s="3" t="s">
        <v>301</v>
      </c>
      <c r="C169" s="3" t="s">
        <v>302</v>
      </c>
      <c r="D169" s="3" t="s">
        <v>28</v>
      </c>
      <c r="E169" s="3" t="s">
        <v>303</v>
      </c>
      <c r="F169" s="3" t="s">
        <v>304</v>
      </c>
      <c r="G169" s="2" t="s">
        <v>325</v>
      </c>
      <c r="H169" s="3" t="s">
        <v>326</v>
      </c>
      <c r="I169" s="3">
        <v>46.666666669999998</v>
      </c>
      <c r="J169" s="3">
        <v>-71.166666669999998</v>
      </c>
      <c r="K169" s="2">
        <v>194</v>
      </c>
      <c r="L169" s="3" t="s">
        <v>302</v>
      </c>
      <c r="M169" s="3" t="s">
        <v>41</v>
      </c>
      <c r="N169" s="3"/>
      <c r="O169" s="3" t="s">
        <v>36</v>
      </c>
      <c r="P169" s="3" t="s">
        <v>337</v>
      </c>
      <c r="Q169" s="3"/>
      <c r="R169" s="3"/>
      <c r="S169" s="3"/>
      <c r="T169" s="3"/>
      <c r="U169" s="3"/>
      <c r="V169" s="3">
        <v>16.3</v>
      </c>
      <c r="W169" s="3"/>
      <c r="X169" s="10" t="s">
        <v>81</v>
      </c>
      <c r="Y169" s="10"/>
      <c r="Z169" s="10"/>
      <c r="AA169" s="10"/>
      <c r="AB169" s="10"/>
      <c r="AC169" s="8" t="s">
        <v>883</v>
      </c>
      <c r="AD169" s="3"/>
      <c r="AE169" s="3"/>
      <c r="AF169" s="3"/>
      <c r="AG169" s="3"/>
    </row>
    <row r="170" spans="1:33" s="13" customFormat="1" ht="15" customHeight="1" x14ac:dyDescent="0.3">
      <c r="A170" s="3" t="s">
        <v>324</v>
      </c>
      <c r="B170" s="3" t="s">
        <v>301</v>
      </c>
      <c r="C170" s="3" t="s">
        <v>302</v>
      </c>
      <c r="D170" s="3" t="s">
        <v>28</v>
      </c>
      <c r="E170" s="3" t="s">
        <v>303</v>
      </c>
      <c r="F170" s="3" t="s">
        <v>304</v>
      </c>
      <c r="G170" s="2" t="s">
        <v>325</v>
      </c>
      <c r="H170" s="3" t="s">
        <v>326</v>
      </c>
      <c r="I170" s="3">
        <v>46.666666669999998</v>
      </c>
      <c r="J170" s="3">
        <v>-71.166666669999998</v>
      </c>
      <c r="K170" s="2">
        <v>194</v>
      </c>
      <c r="L170" s="3" t="s">
        <v>302</v>
      </c>
      <c r="M170" s="3" t="s">
        <v>143</v>
      </c>
      <c r="N170" s="3"/>
      <c r="O170" s="3" t="s">
        <v>36</v>
      </c>
      <c r="P170" s="3" t="s">
        <v>338</v>
      </c>
      <c r="Q170" s="3"/>
      <c r="R170" s="3"/>
      <c r="S170" s="3"/>
      <c r="T170" s="3"/>
      <c r="U170" s="3"/>
      <c r="V170" s="3">
        <v>14.5</v>
      </c>
      <c r="W170" s="3"/>
      <c r="X170" s="10" t="s">
        <v>81</v>
      </c>
      <c r="Y170" s="10"/>
      <c r="Z170" s="10"/>
      <c r="AA170" s="10"/>
      <c r="AB170" s="10"/>
      <c r="AC170" s="8" t="s">
        <v>883</v>
      </c>
      <c r="AD170" s="3"/>
      <c r="AE170" s="3"/>
      <c r="AF170" s="3"/>
      <c r="AG170" s="3"/>
    </row>
    <row r="171" spans="1:33" s="18" customFormat="1" ht="15" customHeight="1" x14ac:dyDescent="0.3">
      <c r="A171" s="8" t="s">
        <v>189</v>
      </c>
      <c r="B171" s="8" t="s">
        <v>301</v>
      </c>
      <c r="C171" s="8" t="s">
        <v>339</v>
      </c>
      <c r="D171" s="8" t="s">
        <v>190</v>
      </c>
      <c r="E171" s="8" t="s">
        <v>340</v>
      </c>
      <c r="F171" s="8" t="s">
        <v>175</v>
      </c>
      <c r="G171" s="14">
        <v>1989</v>
      </c>
      <c r="H171" s="8" t="s">
        <v>192</v>
      </c>
      <c r="I171" s="3">
        <v>54.68333333333333</v>
      </c>
      <c r="J171" s="3">
        <v>-113.466666666667</v>
      </c>
      <c r="K171" s="14">
        <v>168</v>
      </c>
      <c r="L171" s="8" t="s">
        <v>341</v>
      </c>
      <c r="M171" s="8" t="s">
        <v>342</v>
      </c>
      <c r="N171" s="14" t="s">
        <v>343</v>
      </c>
      <c r="O171" s="8" t="s">
        <v>36</v>
      </c>
      <c r="P171" s="15" t="s">
        <v>344</v>
      </c>
      <c r="Q171" s="6">
        <v>0.9</v>
      </c>
      <c r="R171" s="6"/>
      <c r="S171" s="6"/>
      <c r="T171" s="6" t="s">
        <v>86</v>
      </c>
      <c r="U171" s="7"/>
      <c r="V171" s="20">
        <v>0.13</v>
      </c>
      <c r="W171" s="8"/>
      <c r="X171" s="3" t="s">
        <v>345</v>
      </c>
      <c r="Y171" s="11" t="s">
        <v>39</v>
      </c>
      <c r="Z171" s="12">
        <f t="shared" ref="Z171" si="26">6.8/1000*(365-K171)</f>
        <v>1.3395999999999999</v>
      </c>
      <c r="AA171" s="12">
        <f>V171</f>
        <v>0.13</v>
      </c>
      <c r="AB171" s="12">
        <f>V171+Z171</f>
        <v>1.4695999999999998</v>
      </c>
      <c r="AC171" s="3" t="s">
        <v>881</v>
      </c>
      <c r="AD171" s="20"/>
      <c r="AE171" s="20"/>
      <c r="AF171" s="20"/>
      <c r="AG171" s="20"/>
    </row>
    <row r="172" spans="1:33" s="18" customFormat="1" ht="15" customHeight="1" x14ac:dyDescent="0.3">
      <c r="A172" s="8" t="s">
        <v>225</v>
      </c>
      <c r="B172" s="8" t="s">
        <v>301</v>
      </c>
      <c r="C172" s="8" t="s">
        <v>339</v>
      </c>
      <c r="D172" s="8" t="s">
        <v>164</v>
      </c>
      <c r="E172" s="8" t="s">
        <v>226</v>
      </c>
      <c r="F172" s="8" t="s">
        <v>200</v>
      </c>
      <c r="G172" s="14" t="s">
        <v>346</v>
      </c>
      <c r="H172" s="8" t="s">
        <v>227</v>
      </c>
      <c r="I172" s="8">
        <v>55.91</v>
      </c>
      <c r="J172" s="8">
        <v>-98.42</v>
      </c>
      <c r="K172" s="14">
        <v>150</v>
      </c>
      <c r="L172" s="8" t="s">
        <v>347</v>
      </c>
      <c r="M172" s="8"/>
      <c r="N172" s="14"/>
      <c r="O172" s="8"/>
      <c r="P172" s="15"/>
      <c r="Q172" s="6">
        <f>AVERAGE(Q173:Q174)</f>
        <v>102.22499999999999</v>
      </c>
      <c r="R172" s="6"/>
      <c r="S172" s="6"/>
      <c r="T172" s="6" t="s">
        <v>86</v>
      </c>
      <c r="U172" s="7">
        <f>Q172*K172/1000</f>
        <v>15.33375</v>
      </c>
      <c r="V172" s="20"/>
      <c r="W172" s="8"/>
      <c r="X172" s="3"/>
      <c r="Y172" s="9" t="s">
        <v>39</v>
      </c>
      <c r="Z172" s="9">
        <f>6.8/1000*(365-K172)</f>
        <v>1.462</v>
      </c>
      <c r="AA172" s="9">
        <f>U172</f>
        <v>15.33375</v>
      </c>
      <c r="AB172" s="9">
        <f>U172+Z172</f>
        <v>16.795750000000002</v>
      </c>
      <c r="AC172" s="3" t="s">
        <v>881</v>
      </c>
      <c r="AD172" s="20"/>
      <c r="AE172" s="20"/>
      <c r="AF172" s="20"/>
      <c r="AG172" s="20"/>
    </row>
    <row r="173" spans="1:33" s="1" customFormat="1" ht="15" customHeight="1" x14ac:dyDescent="0.3">
      <c r="A173" s="8" t="s">
        <v>225</v>
      </c>
      <c r="B173" s="8" t="s">
        <v>301</v>
      </c>
      <c r="C173" s="8" t="s">
        <v>339</v>
      </c>
      <c r="D173" s="8" t="s">
        <v>164</v>
      </c>
      <c r="E173" s="8" t="s">
        <v>226</v>
      </c>
      <c r="F173" s="8" t="s">
        <v>200</v>
      </c>
      <c r="G173" s="14">
        <v>1994</v>
      </c>
      <c r="H173" s="8" t="s">
        <v>227</v>
      </c>
      <c r="I173" s="8">
        <v>55.91</v>
      </c>
      <c r="J173" s="8">
        <v>-98.42</v>
      </c>
      <c r="K173" s="14">
        <v>150</v>
      </c>
      <c r="L173" s="8" t="s">
        <v>347</v>
      </c>
      <c r="M173" s="8" t="s">
        <v>348</v>
      </c>
      <c r="N173" s="14">
        <v>4.4000000000000004</v>
      </c>
      <c r="O173" s="8" t="s">
        <v>36</v>
      </c>
      <c r="P173" s="15" t="s">
        <v>349</v>
      </c>
      <c r="Q173" s="20">
        <f>AVERAGE(60.6,108.3)</f>
        <v>84.45</v>
      </c>
      <c r="R173" s="20"/>
      <c r="S173" s="20"/>
      <c r="T173" s="6" t="s">
        <v>86</v>
      </c>
      <c r="U173" s="6"/>
      <c r="V173" s="20"/>
      <c r="W173" s="8"/>
      <c r="X173" s="8"/>
      <c r="Y173" s="8"/>
      <c r="Z173" s="8"/>
      <c r="AA173" s="8"/>
      <c r="AB173" s="8"/>
      <c r="AC173" s="8" t="s">
        <v>884</v>
      </c>
      <c r="AD173" s="20"/>
      <c r="AE173" s="8"/>
      <c r="AF173" s="8"/>
      <c r="AG173" s="8"/>
    </row>
    <row r="174" spans="1:33" s="1" customFormat="1" ht="15" customHeight="1" x14ac:dyDescent="0.3">
      <c r="A174" s="8" t="s">
        <v>350</v>
      </c>
      <c r="B174" s="8" t="s">
        <v>301</v>
      </c>
      <c r="C174" s="8" t="s">
        <v>339</v>
      </c>
      <c r="D174" s="8" t="s">
        <v>164</v>
      </c>
      <c r="E174" s="8" t="s">
        <v>226</v>
      </c>
      <c r="F174" s="8" t="s">
        <v>200</v>
      </c>
      <c r="G174" s="14">
        <v>1996</v>
      </c>
      <c r="H174" s="8" t="s">
        <v>227</v>
      </c>
      <c r="I174" s="8">
        <v>55.91</v>
      </c>
      <c r="J174" s="8">
        <v>-98.42</v>
      </c>
      <c r="K174" s="14">
        <v>150</v>
      </c>
      <c r="L174" s="8" t="s">
        <v>347</v>
      </c>
      <c r="M174" s="8" t="s">
        <v>234</v>
      </c>
      <c r="N174" s="14">
        <v>4.4000000000000004</v>
      </c>
      <c r="O174" s="8" t="s">
        <v>36</v>
      </c>
      <c r="P174" s="15" t="s">
        <v>349</v>
      </c>
      <c r="Q174" s="6">
        <v>120</v>
      </c>
      <c r="R174" s="6"/>
      <c r="S174" s="6"/>
      <c r="T174" s="6" t="s">
        <v>86</v>
      </c>
      <c r="U174" s="6"/>
      <c r="V174" s="20"/>
      <c r="W174" s="8"/>
      <c r="X174" s="8"/>
      <c r="Y174" s="8"/>
      <c r="Z174" s="8"/>
      <c r="AA174" s="8"/>
      <c r="AB174" s="8"/>
      <c r="AC174" s="8" t="s">
        <v>884</v>
      </c>
      <c r="AD174" s="8"/>
      <c r="AE174" s="8"/>
      <c r="AF174" s="8"/>
      <c r="AG174" s="8"/>
    </row>
    <row r="175" spans="1:33" s="1" customFormat="1" ht="15" customHeight="1" x14ac:dyDescent="0.3">
      <c r="A175" s="8" t="s">
        <v>225</v>
      </c>
      <c r="B175" s="8" t="s">
        <v>301</v>
      </c>
      <c r="C175" s="8" t="s">
        <v>339</v>
      </c>
      <c r="D175" s="8" t="s">
        <v>164</v>
      </c>
      <c r="E175" s="8" t="s">
        <v>226</v>
      </c>
      <c r="F175" s="8" t="s">
        <v>200</v>
      </c>
      <c r="G175" s="14">
        <v>1994</v>
      </c>
      <c r="H175" s="8" t="s">
        <v>227</v>
      </c>
      <c r="I175" s="8">
        <v>55.91</v>
      </c>
      <c r="J175" s="8">
        <v>-98.42</v>
      </c>
      <c r="K175" s="14">
        <v>150</v>
      </c>
      <c r="L175" s="8" t="s">
        <v>351</v>
      </c>
      <c r="M175" s="8" t="s">
        <v>352</v>
      </c>
      <c r="N175" s="14">
        <v>4.7</v>
      </c>
      <c r="O175" s="8" t="s">
        <v>36</v>
      </c>
      <c r="P175" s="15" t="s">
        <v>353</v>
      </c>
      <c r="Q175" s="6">
        <v>19.100000000000001</v>
      </c>
      <c r="R175" s="6"/>
      <c r="S175" s="6"/>
      <c r="T175" s="6" t="s">
        <v>86</v>
      </c>
      <c r="U175" s="7">
        <f t="shared" ref="U175:U188" si="27">Q175*K175/1000</f>
        <v>2.8650000000000002</v>
      </c>
      <c r="V175" s="20"/>
      <c r="W175" s="8"/>
      <c r="X175" s="8"/>
      <c r="Y175" s="9" t="s">
        <v>39</v>
      </c>
      <c r="Z175" s="9">
        <f t="shared" ref="Z175:Z193" si="28">6.8/1000*(365-K175)</f>
        <v>1.462</v>
      </c>
      <c r="AA175" s="9">
        <f t="shared" ref="AA175:AA188" si="29">U175</f>
        <v>2.8650000000000002</v>
      </c>
      <c r="AB175" s="9">
        <f t="shared" ref="AB175:AB188" si="30">U175+Z175</f>
        <v>4.327</v>
      </c>
      <c r="AC175" s="3" t="s">
        <v>881</v>
      </c>
      <c r="AD175" s="8"/>
      <c r="AE175" s="8"/>
      <c r="AF175" s="8"/>
      <c r="AG175" s="8"/>
    </row>
    <row r="176" spans="1:33" s="1" customFormat="1" ht="15" customHeight="1" x14ac:dyDescent="0.3">
      <c r="A176" s="8" t="s">
        <v>198</v>
      </c>
      <c r="B176" s="8" t="s">
        <v>301</v>
      </c>
      <c r="C176" s="8" t="s">
        <v>339</v>
      </c>
      <c r="D176" s="8" t="s">
        <v>74</v>
      </c>
      <c r="E176" s="8" t="s">
        <v>199</v>
      </c>
      <c r="F176" s="8" t="s">
        <v>200</v>
      </c>
      <c r="G176" s="14">
        <v>1991</v>
      </c>
      <c r="H176" s="8" t="s">
        <v>192</v>
      </c>
      <c r="I176" s="8">
        <v>49</v>
      </c>
      <c r="J176" s="8">
        <v>-80</v>
      </c>
      <c r="K176" s="14">
        <v>165</v>
      </c>
      <c r="L176" s="8" t="s">
        <v>354</v>
      </c>
      <c r="M176" s="8" t="s">
        <v>355</v>
      </c>
      <c r="N176" s="14">
        <v>4.8</v>
      </c>
      <c r="O176" s="8" t="s">
        <v>36</v>
      </c>
      <c r="P176" s="15" t="s">
        <v>210</v>
      </c>
      <c r="Q176" s="6">
        <v>22.7</v>
      </c>
      <c r="R176" s="6"/>
      <c r="S176" s="6"/>
      <c r="T176" s="6" t="s">
        <v>86</v>
      </c>
      <c r="U176" s="7">
        <f t="shared" si="27"/>
        <v>3.7454999999999998</v>
      </c>
      <c r="V176" s="20"/>
      <c r="W176" s="8"/>
      <c r="X176" s="8"/>
      <c r="Y176" s="9" t="s">
        <v>39</v>
      </c>
      <c r="Z176" s="9">
        <f t="shared" si="28"/>
        <v>1.3599999999999999</v>
      </c>
      <c r="AA176" s="9">
        <f t="shared" si="29"/>
        <v>3.7454999999999998</v>
      </c>
      <c r="AB176" s="9">
        <f t="shared" si="30"/>
        <v>5.1054999999999993</v>
      </c>
      <c r="AC176" s="3" t="s">
        <v>881</v>
      </c>
      <c r="AD176" s="8"/>
      <c r="AE176" s="8"/>
      <c r="AF176" s="8"/>
      <c r="AG176" s="8"/>
    </row>
    <row r="177" spans="1:33" s="1" customFormat="1" ht="15" customHeight="1" x14ac:dyDescent="0.3">
      <c r="A177" s="8" t="s">
        <v>198</v>
      </c>
      <c r="B177" s="8" t="s">
        <v>301</v>
      </c>
      <c r="C177" s="8" t="s">
        <v>339</v>
      </c>
      <c r="D177" s="8" t="s">
        <v>74</v>
      </c>
      <c r="E177" s="8" t="s">
        <v>199</v>
      </c>
      <c r="F177" s="8" t="s">
        <v>200</v>
      </c>
      <c r="G177" s="14">
        <v>1991</v>
      </c>
      <c r="H177" s="8" t="s">
        <v>192</v>
      </c>
      <c r="I177" s="8">
        <v>49</v>
      </c>
      <c r="J177" s="8">
        <v>-80</v>
      </c>
      <c r="K177" s="14">
        <v>165</v>
      </c>
      <c r="L177" s="8" t="s">
        <v>356</v>
      </c>
      <c r="M177" s="8" t="s">
        <v>143</v>
      </c>
      <c r="N177" s="14">
        <v>4.9000000000000004</v>
      </c>
      <c r="O177" s="8" t="s">
        <v>36</v>
      </c>
      <c r="P177" s="15" t="s">
        <v>357</v>
      </c>
      <c r="Q177" s="6">
        <v>56.3</v>
      </c>
      <c r="R177" s="6"/>
      <c r="S177" s="6"/>
      <c r="T177" s="6" t="s">
        <v>358</v>
      </c>
      <c r="U177" s="7">
        <f t="shared" si="27"/>
        <v>9.2895000000000003</v>
      </c>
      <c r="V177" s="20"/>
      <c r="W177" s="8"/>
      <c r="X177" s="8"/>
      <c r="Y177" s="9" t="s">
        <v>39</v>
      </c>
      <c r="Z177" s="9">
        <f t="shared" si="28"/>
        <v>1.3599999999999999</v>
      </c>
      <c r="AA177" s="9">
        <f t="shared" si="29"/>
        <v>9.2895000000000003</v>
      </c>
      <c r="AB177" s="9">
        <f t="shared" si="30"/>
        <v>10.6495</v>
      </c>
      <c r="AC177" s="3" t="s">
        <v>881</v>
      </c>
      <c r="AD177" s="8"/>
      <c r="AE177" s="8"/>
      <c r="AF177" s="8"/>
      <c r="AG177" s="8"/>
    </row>
    <row r="178" spans="1:33" s="1" customFormat="1" ht="15" customHeight="1" x14ac:dyDescent="0.3">
      <c r="A178" s="8" t="s">
        <v>198</v>
      </c>
      <c r="B178" s="8" t="s">
        <v>301</v>
      </c>
      <c r="C178" s="8" t="s">
        <v>339</v>
      </c>
      <c r="D178" s="8" t="s">
        <v>74</v>
      </c>
      <c r="E178" s="8" t="s">
        <v>199</v>
      </c>
      <c r="F178" s="8" t="s">
        <v>200</v>
      </c>
      <c r="G178" s="14">
        <v>1991</v>
      </c>
      <c r="H178" s="8" t="s">
        <v>192</v>
      </c>
      <c r="I178" s="8">
        <v>49</v>
      </c>
      <c r="J178" s="8">
        <v>-80</v>
      </c>
      <c r="K178" s="14">
        <v>165</v>
      </c>
      <c r="L178" s="8" t="s">
        <v>359</v>
      </c>
      <c r="M178" s="8" t="s">
        <v>355</v>
      </c>
      <c r="N178" s="14">
        <v>4.7</v>
      </c>
      <c r="O178" s="8" t="s">
        <v>36</v>
      </c>
      <c r="P178" s="15" t="s">
        <v>357</v>
      </c>
      <c r="Q178" s="6">
        <v>29.3</v>
      </c>
      <c r="R178" s="6"/>
      <c r="S178" s="6"/>
      <c r="T178" s="6" t="s">
        <v>360</v>
      </c>
      <c r="U178" s="7">
        <f t="shared" si="27"/>
        <v>4.8345000000000002</v>
      </c>
      <c r="V178" s="20"/>
      <c r="W178" s="8"/>
      <c r="X178" s="8"/>
      <c r="Y178" s="9" t="s">
        <v>39</v>
      </c>
      <c r="Z178" s="9">
        <f t="shared" si="28"/>
        <v>1.3599999999999999</v>
      </c>
      <c r="AA178" s="9">
        <f t="shared" si="29"/>
        <v>4.8345000000000002</v>
      </c>
      <c r="AB178" s="9">
        <f t="shared" si="30"/>
        <v>6.1944999999999997</v>
      </c>
      <c r="AC178" s="3" t="s">
        <v>881</v>
      </c>
      <c r="AD178" s="8"/>
      <c r="AE178" s="8"/>
      <c r="AF178" s="8"/>
      <c r="AG178" s="8"/>
    </row>
    <row r="179" spans="1:33" s="1" customFormat="1" ht="15" customHeight="1" x14ac:dyDescent="0.3">
      <c r="A179" s="8" t="s">
        <v>198</v>
      </c>
      <c r="B179" s="8" t="s">
        <v>301</v>
      </c>
      <c r="C179" s="8" t="s">
        <v>339</v>
      </c>
      <c r="D179" s="8" t="s">
        <v>74</v>
      </c>
      <c r="E179" s="8" t="s">
        <v>199</v>
      </c>
      <c r="F179" s="8" t="s">
        <v>200</v>
      </c>
      <c r="G179" s="14">
        <v>1991</v>
      </c>
      <c r="H179" s="8" t="s">
        <v>192</v>
      </c>
      <c r="I179" s="8">
        <v>49</v>
      </c>
      <c r="J179" s="8">
        <v>-80</v>
      </c>
      <c r="K179" s="14">
        <v>165</v>
      </c>
      <c r="L179" s="8" t="s">
        <v>361</v>
      </c>
      <c r="M179" s="8" t="s">
        <v>71</v>
      </c>
      <c r="N179" s="14">
        <v>5</v>
      </c>
      <c r="O179" s="8" t="s">
        <v>36</v>
      </c>
      <c r="P179" s="15" t="s">
        <v>202</v>
      </c>
      <c r="Q179" s="6">
        <v>2.8</v>
      </c>
      <c r="R179" s="6"/>
      <c r="S179" s="6"/>
      <c r="T179" s="6" t="s">
        <v>86</v>
      </c>
      <c r="U179" s="7">
        <f t="shared" si="27"/>
        <v>0.46199999999999997</v>
      </c>
      <c r="V179" s="20"/>
      <c r="W179" s="8"/>
      <c r="X179" s="8"/>
      <c r="Y179" s="9" t="s">
        <v>39</v>
      </c>
      <c r="Z179" s="9">
        <f t="shared" si="28"/>
        <v>1.3599999999999999</v>
      </c>
      <c r="AA179" s="9">
        <f t="shared" si="29"/>
        <v>0.46199999999999997</v>
      </c>
      <c r="AB179" s="9">
        <f t="shared" si="30"/>
        <v>1.8219999999999998</v>
      </c>
      <c r="AC179" s="3" t="s">
        <v>881</v>
      </c>
      <c r="AD179" s="8"/>
      <c r="AE179" s="8"/>
      <c r="AF179" s="8"/>
      <c r="AG179" s="8"/>
    </row>
    <row r="180" spans="1:33" s="1" customFormat="1" ht="15" customHeight="1" x14ac:dyDescent="0.3">
      <c r="A180" s="8" t="s">
        <v>198</v>
      </c>
      <c r="B180" s="8" t="s">
        <v>301</v>
      </c>
      <c r="C180" s="8" t="s">
        <v>339</v>
      </c>
      <c r="D180" s="8" t="s">
        <v>74</v>
      </c>
      <c r="E180" s="8" t="s">
        <v>199</v>
      </c>
      <c r="F180" s="8" t="s">
        <v>200</v>
      </c>
      <c r="G180" s="14">
        <v>1991</v>
      </c>
      <c r="H180" s="8" t="s">
        <v>192</v>
      </c>
      <c r="I180" s="8">
        <v>49</v>
      </c>
      <c r="J180" s="8">
        <v>-80</v>
      </c>
      <c r="K180" s="14">
        <v>165</v>
      </c>
      <c r="L180" s="8" t="s">
        <v>362</v>
      </c>
      <c r="M180" s="8" t="s">
        <v>234</v>
      </c>
      <c r="N180" s="14">
        <v>4.8</v>
      </c>
      <c r="O180" s="8" t="s">
        <v>36</v>
      </c>
      <c r="P180" s="15" t="s">
        <v>357</v>
      </c>
      <c r="Q180" s="6">
        <v>72.599999999999994</v>
      </c>
      <c r="R180" s="6"/>
      <c r="S180" s="6"/>
      <c r="T180" s="6" t="s">
        <v>360</v>
      </c>
      <c r="U180" s="7">
        <f t="shared" si="27"/>
        <v>11.978999999999997</v>
      </c>
      <c r="V180" s="20"/>
      <c r="W180" s="8"/>
      <c r="X180" s="8"/>
      <c r="Y180" s="9" t="s">
        <v>39</v>
      </c>
      <c r="Z180" s="9">
        <f t="shared" si="28"/>
        <v>1.3599999999999999</v>
      </c>
      <c r="AA180" s="9">
        <f t="shared" si="29"/>
        <v>11.978999999999997</v>
      </c>
      <c r="AB180" s="9">
        <f t="shared" si="30"/>
        <v>13.338999999999997</v>
      </c>
      <c r="AC180" s="3" t="s">
        <v>881</v>
      </c>
      <c r="AD180" s="8"/>
      <c r="AE180" s="8"/>
      <c r="AF180" s="8"/>
      <c r="AG180" s="8"/>
    </row>
    <row r="181" spans="1:33" s="1" customFormat="1" ht="15" customHeight="1" x14ac:dyDescent="0.3">
      <c r="A181" s="8" t="s">
        <v>211</v>
      </c>
      <c r="B181" s="8" t="s">
        <v>301</v>
      </c>
      <c r="C181" s="8" t="s">
        <v>339</v>
      </c>
      <c r="D181" s="8" t="s">
        <v>363</v>
      </c>
      <c r="E181" s="8" t="s">
        <v>212</v>
      </c>
      <c r="F181" s="8" t="s">
        <v>200</v>
      </c>
      <c r="G181" s="14">
        <v>1991</v>
      </c>
      <c r="H181" s="8" t="s">
        <v>192</v>
      </c>
      <c r="I181" s="8">
        <v>49.1</v>
      </c>
      <c r="J181" s="8">
        <v>-82.45</v>
      </c>
      <c r="K181" s="14">
        <v>167</v>
      </c>
      <c r="L181" s="8" t="s">
        <v>364</v>
      </c>
      <c r="M181" s="8" t="s">
        <v>71</v>
      </c>
      <c r="N181" s="14">
        <v>4.8</v>
      </c>
      <c r="O181" s="8" t="s">
        <v>36</v>
      </c>
      <c r="P181" s="15" t="s">
        <v>365</v>
      </c>
      <c r="Q181" s="6">
        <v>2.8</v>
      </c>
      <c r="R181" s="6"/>
      <c r="S181" s="6"/>
      <c r="T181" s="6" t="s">
        <v>86</v>
      </c>
      <c r="U181" s="7">
        <f t="shared" si="27"/>
        <v>0.46759999999999996</v>
      </c>
      <c r="V181" s="20"/>
      <c r="W181" s="8"/>
      <c r="X181" s="8"/>
      <c r="Y181" s="9" t="s">
        <v>39</v>
      </c>
      <c r="Z181" s="9">
        <f t="shared" si="28"/>
        <v>1.3463999999999998</v>
      </c>
      <c r="AA181" s="9">
        <f t="shared" si="29"/>
        <v>0.46759999999999996</v>
      </c>
      <c r="AB181" s="9">
        <f t="shared" si="30"/>
        <v>1.8139999999999998</v>
      </c>
      <c r="AC181" s="3" t="s">
        <v>881</v>
      </c>
      <c r="AD181" s="20"/>
      <c r="AE181" s="8"/>
      <c r="AF181" s="8"/>
      <c r="AG181" s="8"/>
    </row>
    <row r="182" spans="1:33" s="1" customFormat="1" ht="15" customHeight="1" x14ac:dyDescent="0.3">
      <c r="A182" s="8" t="s">
        <v>211</v>
      </c>
      <c r="B182" s="8" t="s">
        <v>301</v>
      </c>
      <c r="C182" s="8" t="s">
        <v>339</v>
      </c>
      <c r="D182" s="8" t="s">
        <v>363</v>
      </c>
      <c r="E182" s="8" t="s">
        <v>212</v>
      </c>
      <c r="F182" s="8" t="s">
        <v>200</v>
      </c>
      <c r="G182" s="14">
        <v>1991</v>
      </c>
      <c r="H182" s="8" t="s">
        <v>192</v>
      </c>
      <c r="I182" s="8">
        <v>49.1</v>
      </c>
      <c r="J182" s="8">
        <v>-82.45</v>
      </c>
      <c r="K182" s="14">
        <v>167</v>
      </c>
      <c r="L182" s="8" t="s">
        <v>364</v>
      </c>
      <c r="M182" s="8" t="s">
        <v>143</v>
      </c>
      <c r="N182" s="14">
        <v>4.8</v>
      </c>
      <c r="O182" s="8" t="s">
        <v>36</v>
      </c>
      <c r="P182" s="15" t="s">
        <v>366</v>
      </c>
      <c r="Q182" s="6">
        <v>64.45</v>
      </c>
      <c r="R182" s="6"/>
      <c r="S182" s="6"/>
      <c r="T182" s="6" t="s">
        <v>86</v>
      </c>
      <c r="U182" s="7">
        <f t="shared" si="27"/>
        <v>10.76315</v>
      </c>
      <c r="V182" s="20"/>
      <c r="W182" s="8"/>
      <c r="X182" s="8"/>
      <c r="Y182" s="9" t="s">
        <v>39</v>
      </c>
      <c r="Z182" s="9">
        <f t="shared" si="28"/>
        <v>1.3463999999999998</v>
      </c>
      <c r="AA182" s="9">
        <f t="shared" si="29"/>
        <v>10.76315</v>
      </c>
      <c r="AB182" s="9">
        <f t="shared" si="30"/>
        <v>12.109549999999999</v>
      </c>
      <c r="AC182" s="3" t="s">
        <v>881</v>
      </c>
      <c r="AD182" s="20"/>
      <c r="AE182" s="8"/>
      <c r="AF182" s="8"/>
      <c r="AG182" s="8"/>
    </row>
    <row r="183" spans="1:33" s="1" customFormat="1" ht="15" customHeight="1" x14ac:dyDescent="0.3">
      <c r="A183" s="8" t="s">
        <v>211</v>
      </c>
      <c r="B183" s="8" t="s">
        <v>301</v>
      </c>
      <c r="C183" s="8" t="s">
        <v>339</v>
      </c>
      <c r="D183" s="8" t="s">
        <v>363</v>
      </c>
      <c r="E183" s="8" t="s">
        <v>212</v>
      </c>
      <c r="F183" s="8" t="s">
        <v>200</v>
      </c>
      <c r="G183" s="14">
        <v>1991</v>
      </c>
      <c r="H183" s="8" t="s">
        <v>192</v>
      </c>
      <c r="I183" s="8">
        <v>49.1</v>
      </c>
      <c r="J183" s="8">
        <v>-82.45</v>
      </c>
      <c r="K183" s="14">
        <v>167</v>
      </c>
      <c r="L183" s="8" t="s">
        <v>364</v>
      </c>
      <c r="M183" s="8" t="s">
        <v>355</v>
      </c>
      <c r="N183" s="14">
        <v>4.8</v>
      </c>
      <c r="O183" s="8" t="s">
        <v>36</v>
      </c>
      <c r="P183" s="15" t="s">
        <v>367</v>
      </c>
      <c r="Q183" s="6">
        <v>26</v>
      </c>
      <c r="R183" s="6"/>
      <c r="S183" s="6"/>
      <c r="T183" s="6" t="s">
        <v>86</v>
      </c>
      <c r="U183" s="7">
        <f t="shared" si="27"/>
        <v>4.3419999999999996</v>
      </c>
      <c r="V183" s="20"/>
      <c r="W183" s="8"/>
      <c r="X183" s="8"/>
      <c r="Y183" s="9" t="s">
        <v>39</v>
      </c>
      <c r="Z183" s="9">
        <f t="shared" si="28"/>
        <v>1.3463999999999998</v>
      </c>
      <c r="AA183" s="9">
        <f t="shared" si="29"/>
        <v>4.3419999999999996</v>
      </c>
      <c r="AB183" s="9">
        <f t="shared" si="30"/>
        <v>5.6883999999999997</v>
      </c>
      <c r="AC183" s="3" t="s">
        <v>881</v>
      </c>
      <c r="AD183" s="20"/>
      <c r="AE183" s="8"/>
      <c r="AF183" s="8"/>
      <c r="AG183" s="8"/>
    </row>
    <row r="184" spans="1:33" s="1" customFormat="1" ht="15" customHeight="1" x14ac:dyDescent="0.3">
      <c r="A184" s="8" t="s">
        <v>236</v>
      </c>
      <c r="B184" s="8" t="s">
        <v>301</v>
      </c>
      <c r="C184" s="8" t="s">
        <v>339</v>
      </c>
      <c r="D184" s="8" t="s">
        <v>74</v>
      </c>
      <c r="E184" s="8" t="s">
        <v>368</v>
      </c>
      <c r="F184" s="8" t="s">
        <v>200</v>
      </c>
      <c r="G184" s="14">
        <v>1990</v>
      </c>
      <c r="H184" s="8" t="s">
        <v>192</v>
      </c>
      <c r="I184" s="3">
        <v>45.06666666666667</v>
      </c>
      <c r="J184" s="3">
        <v>-78.75</v>
      </c>
      <c r="K184" s="14">
        <v>195</v>
      </c>
      <c r="L184" s="8" t="s">
        <v>369</v>
      </c>
      <c r="M184" s="8"/>
      <c r="N184" s="14">
        <v>4.8</v>
      </c>
      <c r="O184" s="8" t="s">
        <v>36</v>
      </c>
      <c r="P184" s="15" t="s">
        <v>370</v>
      </c>
      <c r="Q184" s="6">
        <v>3</v>
      </c>
      <c r="R184" s="6"/>
      <c r="S184" s="6"/>
      <c r="T184" s="10" t="s">
        <v>86</v>
      </c>
      <c r="U184" s="7">
        <f t="shared" si="27"/>
        <v>0.58499999999999996</v>
      </c>
      <c r="V184" s="20"/>
      <c r="W184" s="8"/>
      <c r="X184" s="8"/>
      <c r="Y184" s="9" t="s">
        <v>39</v>
      </c>
      <c r="Z184" s="9">
        <f t="shared" si="28"/>
        <v>1.1559999999999999</v>
      </c>
      <c r="AA184" s="9">
        <f t="shared" si="29"/>
        <v>0.58499999999999996</v>
      </c>
      <c r="AB184" s="9">
        <f t="shared" si="30"/>
        <v>1.7409999999999999</v>
      </c>
      <c r="AC184" s="3" t="s">
        <v>881</v>
      </c>
      <c r="AD184" s="8"/>
      <c r="AE184" s="8"/>
      <c r="AF184" s="8"/>
      <c r="AG184" s="8"/>
    </row>
    <row r="185" spans="1:33" s="1" customFormat="1" ht="15" customHeight="1" x14ac:dyDescent="0.3">
      <c r="A185" s="3" t="s">
        <v>371</v>
      </c>
      <c r="B185" s="3" t="s">
        <v>301</v>
      </c>
      <c r="C185" s="8" t="s">
        <v>339</v>
      </c>
      <c r="D185" s="3" t="s">
        <v>74</v>
      </c>
      <c r="E185" s="3" t="s">
        <v>372</v>
      </c>
      <c r="F185" s="3" t="s">
        <v>200</v>
      </c>
      <c r="G185" s="2" t="s">
        <v>373</v>
      </c>
      <c r="H185" s="3" t="s">
        <v>374</v>
      </c>
      <c r="I185" s="3">
        <v>48.35</v>
      </c>
      <c r="J185" s="3">
        <v>85.35</v>
      </c>
      <c r="K185" s="14">
        <v>168</v>
      </c>
      <c r="L185" s="3" t="s">
        <v>339</v>
      </c>
      <c r="M185" s="8"/>
      <c r="N185" s="2"/>
      <c r="O185" s="3" t="s">
        <v>36</v>
      </c>
      <c r="P185" s="15"/>
      <c r="Q185" s="6">
        <v>8.7997515228561252</v>
      </c>
      <c r="R185" s="6"/>
      <c r="S185" s="6"/>
      <c r="T185" s="10" t="s">
        <v>86</v>
      </c>
      <c r="U185" s="7">
        <f t="shared" si="27"/>
        <v>1.4783582558398292</v>
      </c>
      <c r="V185" s="20"/>
      <c r="W185" s="8"/>
      <c r="X185" s="8"/>
      <c r="Y185" s="9" t="s">
        <v>39</v>
      </c>
      <c r="Z185" s="9">
        <f t="shared" si="28"/>
        <v>1.3395999999999999</v>
      </c>
      <c r="AA185" s="9">
        <f t="shared" si="29"/>
        <v>1.4783582558398292</v>
      </c>
      <c r="AB185" s="9">
        <f t="shared" si="30"/>
        <v>2.8179582558398293</v>
      </c>
      <c r="AC185" s="3" t="s">
        <v>881</v>
      </c>
      <c r="AD185" s="8"/>
      <c r="AE185" s="8"/>
      <c r="AF185" s="8"/>
      <c r="AG185" s="8"/>
    </row>
    <row r="186" spans="1:33" s="13" customFormat="1" ht="15" customHeight="1" x14ac:dyDescent="0.3">
      <c r="A186" s="3" t="s">
        <v>269</v>
      </c>
      <c r="B186" s="3" t="s">
        <v>301</v>
      </c>
      <c r="C186" s="3" t="s">
        <v>339</v>
      </c>
      <c r="D186" s="3" t="s">
        <v>270</v>
      </c>
      <c r="E186" s="3" t="s">
        <v>271</v>
      </c>
      <c r="F186" s="3" t="s">
        <v>272</v>
      </c>
      <c r="G186" s="2">
        <v>1995</v>
      </c>
      <c r="H186" s="3" t="s">
        <v>273</v>
      </c>
      <c r="I186" s="3">
        <v>62.466666666666669</v>
      </c>
      <c r="J186" s="3">
        <v>122.26666666666667</v>
      </c>
      <c r="K186" s="2">
        <v>134</v>
      </c>
      <c r="L186" s="3" t="s">
        <v>375</v>
      </c>
      <c r="M186" s="3"/>
      <c r="N186" s="2" t="s">
        <v>343</v>
      </c>
      <c r="O186" s="3" t="s">
        <v>36</v>
      </c>
      <c r="P186" s="5" t="s">
        <v>376</v>
      </c>
      <c r="Q186" s="3">
        <v>165.25</v>
      </c>
      <c r="R186" s="3"/>
      <c r="S186" s="3"/>
      <c r="T186" s="10" t="s">
        <v>86</v>
      </c>
      <c r="U186" s="7">
        <f t="shared" si="27"/>
        <v>22.1435</v>
      </c>
      <c r="V186" s="20"/>
      <c r="W186" s="3"/>
      <c r="X186" s="3"/>
      <c r="Y186" s="9" t="s">
        <v>39</v>
      </c>
      <c r="Z186" s="9">
        <f t="shared" si="28"/>
        <v>1.5708</v>
      </c>
      <c r="AA186" s="9">
        <f t="shared" si="29"/>
        <v>22.1435</v>
      </c>
      <c r="AB186" s="9">
        <f t="shared" si="30"/>
        <v>23.714299999999998</v>
      </c>
      <c r="AC186" s="3" t="s">
        <v>881</v>
      </c>
      <c r="AD186" s="3"/>
      <c r="AE186" s="3"/>
      <c r="AF186" s="3"/>
      <c r="AG186" s="3"/>
    </row>
    <row r="187" spans="1:33" s="13" customFormat="1" ht="15" customHeight="1" x14ac:dyDescent="0.3">
      <c r="A187" s="3" t="s">
        <v>198</v>
      </c>
      <c r="B187" s="3" t="s">
        <v>301</v>
      </c>
      <c r="C187" s="3" t="s">
        <v>339</v>
      </c>
      <c r="D187" s="3" t="s">
        <v>28</v>
      </c>
      <c r="E187" s="3" t="s">
        <v>377</v>
      </c>
      <c r="F187" s="3" t="s">
        <v>293</v>
      </c>
      <c r="G187" s="2">
        <v>1992</v>
      </c>
      <c r="H187" s="3" t="s">
        <v>378</v>
      </c>
      <c r="I187" s="3">
        <v>54.8</v>
      </c>
      <c r="J187" s="3">
        <v>-66.6666666666667</v>
      </c>
      <c r="K187" s="2">
        <v>129</v>
      </c>
      <c r="L187" s="3" t="s">
        <v>302</v>
      </c>
      <c r="M187" s="3" t="s">
        <v>355</v>
      </c>
      <c r="N187" s="2">
        <v>4.8</v>
      </c>
      <c r="O187" s="3" t="s">
        <v>36</v>
      </c>
      <c r="P187" s="5" t="s">
        <v>379</v>
      </c>
      <c r="Q187" s="3">
        <v>7.6</v>
      </c>
      <c r="R187" s="3"/>
      <c r="S187" s="3"/>
      <c r="T187" s="10" t="s">
        <v>86</v>
      </c>
      <c r="U187" s="7">
        <f t="shared" si="27"/>
        <v>0.98039999999999994</v>
      </c>
      <c r="V187" s="20"/>
      <c r="W187" s="3"/>
      <c r="X187" s="3"/>
      <c r="Y187" s="9" t="s">
        <v>39</v>
      </c>
      <c r="Z187" s="9">
        <f t="shared" si="28"/>
        <v>1.6048</v>
      </c>
      <c r="AA187" s="9">
        <f t="shared" si="29"/>
        <v>0.98039999999999994</v>
      </c>
      <c r="AB187" s="9">
        <f t="shared" si="30"/>
        <v>2.5851999999999999</v>
      </c>
      <c r="AC187" s="3" t="s">
        <v>881</v>
      </c>
      <c r="AD187" s="3"/>
      <c r="AE187" s="3"/>
      <c r="AF187" s="3"/>
      <c r="AG187" s="3"/>
    </row>
    <row r="188" spans="1:33" s="13" customFormat="1" ht="15" customHeight="1" x14ac:dyDescent="0.3">
      <c r="A188" s="3" t="s">
        <v>198</v>
      </c>
      <c r="B188" s="3" t="s">
        <v>301</v>
      </c>
      <c r="C188" s="3" t="s">
        <v>339</v>
      </c>
      <c r="D188" s="3" t="s">
        <v>28</v>
      </c>
      <c r="E188" s="3" t="s">
        <v>377</v>
      </c>
      <c r="F188" s="3" t="s">
        <v>293</v>
      </c>
      <c r="G188" s="2">
        <v>1992</v>
      </c>
      <c r="H188" s="3" t="s">
        <v>378</v>
      </c>
      <c r="I188" s="3">
        <v>54.8</v>
      </c>
      <c r="J188" s="3">
        <v>-66.6666666666667</v>
      </c>
      <c r="K188" s="2">
        <v>129</v>
      </c>
      <c r="L188" s="3" t="s">
        <v>302</v>
      </c>
      <c r="M188" s="3" t="s">
        <v>234</v>
      </c>
      <c r="N188" s="2">
        <v>4.5999999999999996</v>
      </c>
      <c r="O188" s="3" t="s">
        <v>36</v>
      </c>
      <c r="P188" s="5" t="s">
        <v>380</v>
      </c>
      <c r="Q188" s="3">
        <v>73.25</v>
      </c>
      <c r="R188" s="3"/>
      <c r="S188" s="3"/>
      <c r="T188" s="10" t="s">
        <v>86</v>
      </c>
      <c r="U188" s="7">
        <f t="shared" si="27"/>
        <v>9.4492499999999993</v>
      </c>
      <c r="V188" s="20"/>
      <c r="W188" s="3"/>
      <c r="X188" s="3"/>
      <c r="Y188" s="9" t="s">
        <v>39</v>
      </c>
      <c r="Z188" s="9">
        <f t="shared" si="28"/>
        <v>1.6048</v>
      </c>
      <c r="AA188" s="9">
        <f t="shared" si="29"/>
        <v>9.4492499999999993</v>
      </c>
      <c r="AB188" s="9">
        <f t="shared" si="30"/>
        <v>11.05405</v>
      </c>
      <c r="AC188" s="3" t="s">
        <v>881</v>
      </c>
      <c r="AD188" s="3"/>
      <c r="AE188" s="3"/>
      <c r="AF188" s="3"/>
      <c r="AG188" s="3"/>
    </row>
    <row r="189" spans="1:33" s="13" customFormat="1" ht="15" customHeight="1" x14ac:dyDescent="0.3">
      <c r="A189" s="3" t="s">
        <v>107</v>
      </c>
      <c r="B189" s="3" t="s">
        <v>301</v>
      </c>
      <c r="C189" s="3" t="s">
        <v>339</v>
      </c>
      <c r="D189" s="3" t="s">
        <v>28</v>
      </c>
      <c r="E189" s="3" t="s">
        <v>377</v>
      </c>
      <c r="F189" s="3" t="s">
        <v>293</v>
      </c>
      <c r="G189" s="2" t="s">
        <v>109</v>
      </c>
      <c r="H189" s="3" t="s">
        <v>110</v>
      </c>
      <c r="I189" s="3">
        <v>54.8</v>
      </c>
      <c r="J189" s="3">
        <v>-66.6666666666667</v>
      </c>
      <c r="K189" s="2">
        <v>129</v>
      </c>
      <c r="L189" s="3" t="s">
        <v>381</v>
      </c>
      <c r="M189" s="3" t="s">
        <v>382</v>
      </c>
      <c r="N189" s="2">
        <v>3.6</v>
      </c>
      <c r="O189" s="3" t="s">
        <v>36</v>
      </c>
      <c r="P189" s="5" t="s">
        <v>383</v>
      </c>
      <c r="Q189" s="10"/>
      <c r="R189" s="30">
        <f t="shared" ref="R189:R193" si="31">V189/K189*1000</f>
        <v>10.077519379844961</v>
      </c>
      <c r="S189" s="10"/>
      <c r="T189" s="10"/>
      <c r="U189" s="10"/>
      <c r="V189" s="20">
        <v>1.3</v>
      </c>
      <c r="W189" s="3"/>
      <c r="X189" s="3" t="s">
        <v>114</v>
      </c>
      <c r="Y189" s="12" t="s">
        <v>115</v>
      </c>
      <c r="Z189" s="12">
        <f t="shared" si="28"/>
        <v>1.6048</v>
      </c>
      <c r="AA189" s="12">
        <f t="shared" ref="AA189:AA196" si="32">V189</f>
        <v>1.3</v>
      </c>
      <c r="AB189" s="12">
        <f t="shared" ref="AB189:AB196" si="33">V189+Z189</f>
        <v>2.9047999999999998</v>
      </c>
      <c r="AC189" s="3" t="s">
        <v>881</v>
      </c>
      <c r="AD189" s="3"/>
      <c r="AE189" s="3"/>
      <c r="AF189" s="3"/>
      <c r="AG189" s="3"/>
    </row>
    <row r="190" spans="1:33" s="13" customFormat="1" ht="15" customHeight="1" x14ac:dyDescent="0.3">
      <c r="A190" s="3" t="s">
        <v>107</v>
      </c>
      <c r="B190" s="3" t="s">
        <v>301</v>
      </c>
      <c r="C190" s="3" t="s">
        <v>339</v>
      </c>
      <c r="D190" s="3" t="s">
        <v>28</v>
      </c>
      <c r="E190" s="3" t="s">
        <v>377</v>
      </c>
      <c r="F190" s="3" t="s">
        <v>293</v>
      </c>
      <c r="G190" s="2" t="s">
        <v>109</v>
      </c>
      <c r="H190" s="3" t="s">
        <v>110</v>
      </c>
      <c r="I190" s="3">
        <v>54.8</v>
      </c>
      <c r="J190" s="3">
        <v>-66.6666666666667</v>
      </c>
      <c r="K190" s="2">
        <v>129</v>
      </c>
      <c r="L190" s="3" t="s">
        <v>381</v>
      </c>
      <c r="M190" s="3" t="s">
        <v>384</v>
      </c>
      <c r="N190" s="2">
        <v>3.7</v>
      </c>
      <c r="O190" s="3" t="s">
        <v>36</v>
      </c>
      <c r="P190" s="5" t="s">
        <v>385</v>
      </c>
      <c r="Q190" s="10"/>
      <c r="R190" s="30">
        <f t="shared" si="31"/>
        <v>34.883720930232556</v>
      </c>
      <c r="S190" s="10"/>
      <c r="T190" s="10"/>
      <c r="U190" s="10"/>
      <c r="V190" s="20">
        <v>4.5</v>
      </c>
      <c r="W190" s="3"/>
      <c r="X190" s="3" t="s">
        <v>114</v>
      </c>
      <c r="Y190" s="12" t="s">
        <v>115</v>
      </c>
      <c r="Z190" s="12">
        <f t="shared" si="28"/>
        <v>1.6048</v>
      </c>
      <c r="AA190" s="12">
        <f t="shared" si="32"/>
        <v>4.5</v>
      </c>
      <c r="AB190" s="12">
        <f t="shared" si="33"/>
        <v>6.1048</v>
      </c>
      <c r="AC190" s="3" t="s">
        <v>881</v>
      </c>
      <c r="AD190" s="3"/>
      <c r="AE190" s="3"/>
      <c r="AF190" s="3"/>
      <c r="AG190" s="3"/>
    </row>
    <row r="191" spans="1:33" s="13" customFormat="1" ht="15" customHeight="1" x14ac:dyDescent="0.3">
      <c r="A191" s="3" t="s">
        <v>107</v>
      </c>
      <c r="B191" s="3" t="s">
        <v>301</v>
      </c>
      <c r="C191" s="3" t="s">
        <v>339</v>
      </c>
      <c r="D191" s="3" t="s">
        <v>28</v>
      </c>
      <c r="E191" s="3" t="s">
        <v>377</v>
      </c>
      <c r="F191" s="3" t="s">
        <v>293</v>
      </c>
      <c r="G191" s="2" t="s">
        <v>109</v>
      </c>
      <c r="H191" s="3" t="s">
        <v>110</v>
      </c>
      <c r="I191" s="3">
        <v>54.8</v>
      </c>
      <c r="J191" s="3">
        <v>-66.6666666666667</v>
      </c>
      <c r="K191" s="2">
        <v>129</v>
      </c>
      <c r="L191" s="3" t="s">
        <v>386</v>
      </c>
      <c r="M191" s="3" t="s">
        <v>387</v>
      </c>
      <c r="N191" s="2">
        <v>4</v>
      </c>
      <c r="O191" s="3" t="s">
        <v>36</v>
      </c>
      <c r="P191" s="5" t="s">
        <v>388</v>
      </c>
      <c r="Q191" s="10"/>
      <c r="R191" s="30">
        <f t="shared" si="31"/>
        <v>75.968992248062008</v>
      </c>
      <c r="S191" s="10"/>
      <c r="T191" s="10"/>
      <c r="U191" s="10"/>
      <c r="V191" s="20">
        <v>9.8000000000000007</v>
      </c>
      <c r="W191" s="3"/>
      <c r="X191" s="3" t="s">
        <v>114</v>
      </c>
      <c r="Y191" s="12" t="s">
        <v>115</v>
      </c>
      <c r="Z191" s="12">
        <f t="shared" si="28"/>
        <v>1.6048</v>
      </c>
      <c r="AA191" s="12">
        <f t="shared" si="32"/>
        <v>9.8000000000000007</v>
      </c>
      <c r="AB191" s="12">
        <f t="shared" si="33"/>
        <v>11.404800000000002</v>
      </c>
      <c r="AC191" s="3" t="s">
        <v>881</v>
      </c>
      <c r="AD191" s="3"/>
      <c r="AE191" s="3"/>
      <c r="AF191" s="3"/>
      <c r="AG191" s="3"/>
    </row>
    <row r="192" spans="1:33" s="13" customFormat="1" ht="15" customHeight="1" x14ac:dyDescent="0.3">
      <c r="A192" s="3" t="s">
        <v>389</v>
      </c>
      <c r="B192" s="3" t="s">
        <v>301</v>
      </c>
      <c r="C192" s="3" t="s">
        <v>339</v>
      </c>
      <c r="D192" s="3" t="s">
        <v>28</v>
      </c>
      <c r="E192" s="3" t="s">
        <v>377</v>
      </c>
      <c r="F192" s="3" t="s">
        <v>293</v>
      </c>
      <c r="G192" s="2">
        <v>1987</v>
      </c>
      <c r="H192" s="3" t="s">
        <v>390</v>
      </c>
      <c r="I192" s="3">
        <v>54.8</v>
      </c>
      <c r="J192" s="3">
        <v>-66.6666666666667</v>
      </c>
      <c r="K192" s="2">
        <v>129</v>
      </c>
      <c r="L192" s="3" t="s">
        <v>381</v>
      </c>
      <c r="M192" s="3" t="s">
        <v>382</v>
      </c>
      <c r="N192" s="2">
        <v>3.6</v>
      </c>
      <c r="O192" s="3" t="s">
        <v>36</v>
      </c>
      <c r="P192" s="5" t="s">
        <v>383</v>
      </c>
      <c r="Q192" s="10"/>
      <c r="R192" s="30">
        <f t="shared" si="31"/>
        <v>12.403100775193799</v>
      </c>
      <c r="S192" s="10"/>
      <c r="T192" s="10"/>
      <c r="U192" s="10"/>
      <c r="V192" s="20">
        <v>1.6</v>
      </c>
      <c r="W192" s="3"/>
      <c r="X192" s="3" t="s">
        <v>114</v>
      </c>
      <c r="Y192" s="12" t="s">
        <v>115</v>
      </c>
      <c r="Z192" s="12">
        <f t="shared" si="28"/>
        <v>1.6048</v>
      </c>
      <c r="AA192" s="12">
        <f t="shared" si="32"/>
        <v>1.6</v>
      </c>
      <c r="AB192" s="12">
        <f t="shared" si="33"/>
        <v>3.2048000000000001</v>
      </c>
      <c r="AC192" s="3" t="s">
        <v>881</v>
      </c>
      <c r="AD192" s="3"/>
      <c r="AE192" s="3"/>
      <c r="AF192" s="3"/>
      <c r="AG192" s="3"/>
    </row>
    <row r="193" spans="1:33" s="13" customFormat="1" ht="15" customHeight="1" x14ac:dyDescent="0.3">
      <c r="A193" s="3" t="s">
        <v>389</v>
      </c>
      <c r="B193" s="3" t="s">
        <v>301</v>
      </c>
      <c r="C193" s="3" t="s">
        <v>339</v>
      </c>
      <c r="D193" s="3" t="s">
        <v>28</v>
      </c>
      <c r="E193" s="3" t="s">
        <v>377</v>
      </c>
      <c r="F193" s="3" t="s">
        <v>293</v>
      </c>
      <c r="G193" s="2">
        <v>1987</v>
      </c>
      <c r="H193" s="3" t="s">
        <v>390</v>
      </c>
      <c r="I193" s="3">
        <v>54.8</v>
      </c>
      <c r="J193" s="3">
        <v>-66.6666666666667</v>
      </c>
      <c r="K193" s="2">
        <v>129</v>
      </c>
      <c r="L193" s="3" t="s">
        <v>381</v>
      </c>
      <c r="M193" s="3" t="s">
        <v>384</v>
      </c>
      <c r="N193" s="2">
        <v>3.7</v>
      </c>
      <c r="O193" s="3" t="s">
        <v>36</v>
      </c>
      <c r="P193" s="5" t="s">
        <v>385</v>
      </c>
      <c r="Q193" s="10"/>
      <c r="R193" s="30">
        <f t="shared" si="31"/>
        <v>62.015503875968989</v>
      </c>
      <c r="S193" s="10"/>
      <c r="T193" s="10"/>
      <c r="U193" s="10"/>
      <c r="V193" s="20">
        <v>8</v>
      </c>
      <c r="W193" s="3"/>
      <c r="X193" s="3" t="s">
        <v>114</v>
      </c>
      <c r="Y193" s="12" t="s">
        <v>115</v>
      </c>
      <c r="Z193" s="12">
        <f t="shared" si="28"/>
        <v>1.6048</v>
      </c>
      <c r="AA193" s="12">
        <f t="shared" si="32"/>
        <v>8</v>
      </c>
      <c r="AB193" s="12">
        <f t="shared" si="33"/>
        <v>9.6048000000000009</v>
      </c>
      <c r="AC193" s="3" t="s">
        <v>881</v>
      </c>
      <c r="AD193" s="3"/>
      <c r="AE193" s="3"/>
      <c r="AF193" s="3"/>
      <c r="AG193" s="3"/>
    </row>
    <row r="194" spans="1:33" s="13" customFormat="1" ht="15" customHeight="1" x14ac:dyDescent="0.3">
      <c r="A194" s="3" t="s">
        <v>84</v>
      </c>
      <c r="B194" s="3" t="s">
        <v>301</v>
      </c>
      <c r="C194" s="3" t="s">
        <v>391</v>
      </c>
      <c r="D194" s="3" t="s">
        <v>74</v>
      </c>
      <c r="E194" s="3" t="s">
        <v>117</v>
      </c>
      <c r="F194" s="3" t="s">
        <v>118</v>
      </c>
      <c r="G194" s="2" t="s">
        <v>119</v>
      </c>
      <c r="H194" s="3" t="s">
        <v>120</v>
      </c>
      <c r="I194" s="3">
        <v>52.7</v>
      </c>
      <c r="J194" s="3">
        <v>83.9</v>
      </c>
      <c r="K194" s="2">
        <v>151</v>
      </c>
      <c r="L194" s="3"/>
      <c r="M194" s="3"/>
      <c r="N194" s="2"/>
      <c r="O194" s="3" t="s">
        <v>85</v>
      </c>
      <c r="P194" s="5"/>
      <c r="Q194" s="10">
        <v>51</v>
      </c>
      <c r="R194" s="10"/>
      <c r="S194" s="10"/>
      <c r="T194" s="10" t="s">
        <v>86</v>
      </c>
      <c r="U194" s="10"/>
      <c r="V194" s="20">
        <v>4.7</v>
      </c>
      <c r="W194" s="3"/>
      <c r="X194" s="3" t="s">
        <v>81</v>
      </c>
      <c r="Y194" s="11" t="s">
        <v>39</v>
      </c>
      <c r="Z194" s="12">
        <f t="shared" ref="Z194:Z196" si="34">6.8/1000*(365-K194)</f>
        <v>1.4551999999999998</v>
      </c>
      <c r="AA194" s="12">
        <f t="shared" si="32"/>
        <v>4.7</v>
      </c>
      <c r="AB194" s="12">
        <f t="shared" si="33"/>
        <v>6.1551999999999998</v>
      </c>
      <c r="AC194" s="3" t="s">
        <v>881</v>
      </c>
      <c r="AD194" s="3"/>
      <c r="AE194" s="3"/>
      <c r="AF194" s="3"/>
      <c r="AG194" s="3"/>
    </row>
    <row r="195" spans="1:33" s="13" customFormat="1" ht="15" customHeight="1" x14ac:dyDescent="0.3">
      <c r="A195" s="3" t="s">
        <v>138</v>
      </c>
      <c r="B195" s="3" t="s">
        <v>301</v>
      </c>
      <c r="C195" s="3" t="s">
        <v>391</v>
      </c>
      <c r="D195" s="3" t="s">
        <v>74</v>
      </c>
      <c r="E195" s="3" t="s">
        <v>392</v>
      </c>
      <c r="F195" s="3" t="s">
        <v>118</v>
      </c>
      <c r="G195" s="2">
        <v>1990</v>
      </c>
      <c r="H195" s="3" t="s">
        <v>140</v>
      </c>
      <c r="I195" s="3">
        <v>51.47</v>
      </c>
      <c r="J195" s="3">
        <v>-80.616666666666703</v>
      </c>
      <c r="K195" s="2">
        <v>160</v>
      </c>
      <c r="L195" s="3" t="s">
        <v>393</v>
      </c>
      <c r="M195" s="3" t="s">
        <v>394</v>
      </c>
      <c r="N195" s="2">
        <v>6.3</v>
      </c>
      <c r="O195" s="3" t="s">
        <v>36</v>
      </c>
      <c r="P195" s="21" t="s">
        <v>395</v>
      </c>
      <c r="Q195" s="10"/>
      <c r="R195" s="30">
        <f t="shared" ref="R195:R196" si="35">V195/K195*1000</f>
        <v>9</v>
      </c>
      <c r="S195" s="10"/>
      <c r="T195" s="10"/>
      <c r="U195" s="10"/>
      <c r="V195" s="20">
        <v>1.44</v>
      </c>
      <c r="W195" s="20"/>
      <c r="X195" s="3" t="s">
        <v>81</v>
      </c>
      <c r="Y195" s="11" t="s">
        <v>39</v>
      </c>
      <c r="Z195" s="12">
        <f t="shared" si="34"/>
        <v>1.3939999999999999</v>
      </c>
      <c r="AA195" s="12">
        <f t="shared" si="32"/>
        <v>1.44</v>
      </c>
      <c r="AB195" s="12">
        <f t="shared" si="33"/>
        <v>2.8339999999999996</v>
      </c>
      <c r="AC195" s="3" t="s">
        <v>881</v>
      </c>
      <c r="AD195" s="3"/>
      <c r="AE195" s="3"/>
      <c r="AF195" s="3"/>
      <c r="AG195" s="3"/>
    </row>
    <row r="196" spans="1:33" s="13" customFormat="1" ht="15" customHeight="1" x14ac:dyDescent="0.3">
      <c r="A196" s="3" t="s">
        <v>138</v>
      </c>
      <c r="B196" s="3" t="s">
        <v>301</v>
      </c>
      <c r="C196" s="3" t="s">
        <v>391</v>
      </c>
      <c r="D196" s="3" t="s">
        <v>74</v>
      </c>
      <c r="E196" s="3" t="s">
        <v>396</v>
      </c>
      <c r="F196" s="3" t="s">
        <v>118</v>
      </c>
      <c r="G196" s="2">
        <v>1990</v>
      </c>
      <c r="H196" s="3" t="s">
        <v>140</v>
      </c>
      <c r="I196" s="3">
        <v>51.3</v>
      </c>
      <c r="J196" s="3">
        <v>-80.633333333333297</v>
      </c>
      <c r="K196" s="2">
        <v>162</v>
      </c>
      <c r="L196" s="3" t="s">
        <v>397</v>
      </c>
      <c r="M196" s="3" t="s">
        <v>71</v>
      </c>
      <c r="N196" s="2">
        <v>6.4</v>
      </c>
      <c r="O196" s="3" t="s">
        <v>36</v>
      </c>
      <c r="P196" s="5" t="s">
        <v>398</v>
      </c>
      <c r="Q196" s="10"/>
      <c r="R196" s="30">
        <f t="shared" si="35"/>
        <v>3.7345679012345676</v>
      </c>
      <c r="S196" s="10"/>
      <c r="T196" s="10"/>
      <c r="U196" s="10"/>
      <c r="V196" s="20">
        <f>AVERAGE(V197:V198)</f>
        <v>0.60499999999999998</v>
      </c>
      <c r="W196" s="3"/>
      <c r="X196" s="3" t="s">
        <v>81</v>
      </c>
      <c r="Y196" s="11" t="s">
        <v>39</v>
      </c>
      <c r="Z196" s="12">
        <f t="shared" si="34"/>
        <v>1.3803999999999998</v>
      </c>
      <c r="AA196" s="12">
        <f t="shared" si="32"/>
        <v>0.60499999999999998</v>
      </c>
      <c r="AB196" s="12">
        <f t="shared" si="33"/>
        <v>1.9853999999999998</v>
      </c>
      <c r="AC196" s="3" t="s">
        <v>881</v>
      </c>
      <c r="AD196" s="3"/>
      <c r="AE196" s="3"/>
      <c r="AF196" s="3"/>
      <c r="AG196" s="3"/>
    </row>
    <row r="197" spans="1:33" s="13" customFormat="1" ht="15" customHeight="1" x14ac:dyDescent="0.3">
      <c r="A197" s="3" t="s">
        <v>138</v>
      </c>
      <c r="B197" s="3" t="s">
        <v>301</v>
      </c>
      <c r="C197" s="3" t="s">
        <v>391</v>
      </c>
      <c r="D197" s="3" t="s">
        <v>74</v>
      </c>
      <c r="E197" s="3" t="s">
        <v>396</v>
      </c>
      <c r="F197" s="3" t="s">
        <v>118</v>
      </c>
      <c r="G197" s="2">
        <v>1990</v>
      </c>
      <c r="H197" s="3" t="s">
        <v>140</v>
      </c>
      <c r="I197" s="3">
        <v>51.3</v>
      </c>
      <c r="J197" s="3">
        <v>-80.633333333333297</v>
      </c>
      <c r="K197" s="2">
        <v>162</v>
      </c>
      <c r="L197" s="3" t="s">
        <v>397</v>
      </c>
      <c r="M197" s="3" t="s">
        <v>71</v>
      </c>
      <c r="N197" s="2">
        <v>6.4</v>
      </c>
      <c r="O197" s="3" t="s">
        <v>36</v>
      </c>
      <c r="P197" s="5" t="s">
        <v>398</v>
      </c>
      <c r="Q197" s="10"/>
      <c r="R197" s="10"/>
      <c r="S197" s="10"/>
      <c r="T197" s="10"/>
      <c r="U197" s="10"/>
      <c r="V197" s="20">
        <v>0.62</v>
      </c>
      <c r="W197" s="3"/>
      <c r="X197" s="3" t="s">
        <v>81</v>
      </c>
      <c r="Y197" s="3"/>
      <c r="Z197" s="3"/>
      <c r="AA197" s="3"/>
      <c r="AB197" s="3"/>
      <c r="AC197" s="8" t="s">
        <v>884</v>
      </c>
      <c r="AD197" s="3"/>
      <c r="AE197" s="3"/>
      <c r="AF197" s="3"/>
      <c r="AG197" s="3"/>
    </row>
    <row r="198" spans="1:33" s="13" customFormat="1" ht="15" customHeight="1" x14ac:dyDescent="0.3">
      <c r="A198" s="3" t="s">
        <v>138</v>
      </c>
      <c r="B198" s="3" t="s">
        <v>301</v>
      </c>
      <c r="C198" s="3" t="s">
        <v>391</v>
      </c>
      <c r="D198" s="3" t="s">
        <v>74</v>
      </c>
      <c r="E198" s="3" t="s">
        <v>396</v>
      </c>
      <c r="F198" s="3" t="s">
        <v>118</v>
      </c>
      <c r="G198" s="2">
        <v>1990</v>
      </c>
      <c r="H198" s="3" t="s">
        <v>140</v>
      </c>
      <c r="I198" s="3">
        <v>51.3</v>
      </c>
      <c r="J198" s="3">
        <v>-80.633333333333297</v>
      </c>
      <c r="K198" s="2">
        <v>162</v>
      </c>
      <c r="L198" s="3" t="s">
        <v>397</v>
      </c>
      <c r="M198" s="3" t="s">
        <v>71</v>
      </c>
      <c r="N198" s="2">
        <v>6.4</v>
      </c>
      <c r="O198" s="3" t="s">
        <v>36</v>
      </c>
      <c r="P198" s="5" t="s">
        <v>399</v>
      </c>
      <c r="Q198" s="10"/>
      <c r="R198" s="10"/>
      <c r="S198" s="10"/>
      <c r="T198" s="10"/>
      <c r="U198" s="10"/>
      <c r="V198" s="20">
        <v>0.59</v>
      </c>
      <c r="W198" s="3"/>
      <c r="X198" s="3" t="s">
        <v>81</v>
      </c>
      <c r="Y198" s="3"/>
      <c r="Z198" s="3"/>
      <c r="AA198" s="3"/>
      <c r="AB198" s="3"/>
      <c r="AC198" s="8" t="s">
        <v>884</v>
      </c>
      <c r="AD198" s="3"/>
      <c r="AE198" s="3"/>
      <c r="AF198" s="3"/>
      <c r="AG198" s="3"/>
    </row>
    <row r="199" spans="1:33" s="13" customFormat="1" ht="15" customHeight="1" x14ac:dyDescent="0.3">
      <c r="A199" s="3" t="s">
        <v>138</v>
      </c>
      <c r="B199" s="3" t="s">
        <v>301</v>
      </c>
      <c r="C199" s="3" t="s">
        <v>391</v>
      </c>
      <c r="D199" s="3" t="s">
        <v>74</v>
      </c>
      <c r="E199" s="3" t="s">
        <v>396</v>
      </c>
      <c r="F199" s="3" t="s">
        <v>118</v>
      </c>
      <c r="G199" s="2">
        <v>1990</v>
      </c>
      <c r="H199" s="3" t="s">
        <v>140</v>
      </c>
      <c r="I199" s="3">
        <v>51.3</v>
      </c>
      <c r="J199" s="3">
        <v>-80.633333333333297</v>
      </c>
      <c r="K199" s="2">
        <v>162</v>
      </c>
      <c r="L199" s="3" t="s">
        <v>397</v>
      </c>
      <c r="M199" s="3" t="s">
        <v>143</v>
      </c>
      <c r="N199" s="2">
        <v>6.4</v>
      </c>
      <c r="O199" s="3" t="s">
        <v>36</v>
      </c>
      <c r="P199" s="5" t="s">
        <v>398</v>
      </c>
      <c r="Q199" s="10"/>
      <c r="R199" s="30">
        <f>V199/K199*1000</f>
        <v>13.086419753086419</v>
      </c>
      <c r="S199" s="10"/>
      <c r="T199" s="10"/>
      <c r="U199" s="10"/>
      <c r="V199" s="20">
        <f>AVERAGE(V200:V201)</f>
        <v>2.12</v>
      </c>
      <c r="W199" s="3"/>
      <c r="X199" s="3" t="s">
        <v>81</v>
      </c>
      <c r="Y199" s="11" t="s">
        <v>39</v>
      </c>
      <c r="Z199" s="12">
        <f t="shared" ref="Z199" si="36">6.8/1000*(365-K199)</f>
        <v>1.3803999999999998</v>
      </c>
      <c r="AA199" s="12">
        <f>V199</f>
        <v>2.12</v>
      </c>
      <c r="AB199" s="12">
        <f>V199+Z199</f>
        <v>3.5004</v>
      </c>
      <c r="AC199" s="3" t="s">
        <v>881</v>
      </c>
      <c r="AD199" s="3"/>
      <c r="AE199" s="3"/>
      <c r="AF199" s="3"/>
      <c r="AG199" s="3"/>
    </row>
    <row r="200" spans="1:33" s="13" customFormat="1" ht="15" customHeight="1" x14ac:dyDescent="0.3">
      <c r="A200" s="3" t="s">
        <v>138</v>
      </c>
      <c r="B200" s="3" t="s">
        <v>301</v>
      </c>
      <c r="C200" s="3" t="s">
        <v>391</v>
      </c>
      <c r="D200" s="3" t="s">
        <v>74</v>
      </c>
      <c r="E200" s="3" t="s">
        <v>396</v>
      </c>
      <c r="F200" s="3" t="s">
        <v>118</v>
      </c>
      <c r="G200" s="2">
        <v>1990</v>
      </c>
      <c r="H200" s="3" t="s">
        <v>140</v>
      </c>
      <c r="I200" s="3">
        <v>51.3</v>
      </c>
      <c r="J200" s="3">
        <v>-80.633333333333297</v>
      </c>
      <c r="K200" s="2">
        <v>162</v>
      </c>
      <c r="L200" s="3" t="s">
        <v>397</v>
      </c>
      <c r="M200" s="3" t="s">
        <v>143</v>
      </c>
      <c r="N200" s="2">
        <v>6.4</v>
      </c>
      <c r="O200" s="3" t="s">
        <v>36</v>
      </c>
      <c r="P200" s="5" t="s">
        <v>398</v>
      </c>
      <c r="Q200" s="10"/>
      <c r="R200" s="10"/>
      <c r="S200" s="10"/>
      <c r="T200" s="10"/>
      <c r="U200" s="10"/>
      <c r="V200" s="20">
        <v>2.21</v>
      </c>
      <c r="W200" s="3"/>
      <c r="X200" s="3" t="s">
        <v>81</v>
      </c>
      <c r="Y200" s="3"/>
      <c r="Z200" s="3"/>
      <c r="AA200" s="3"/>
      <c r="AB200" s="3"/>
      <c r="AC200" s="8" t="s">
        <v>884</v>
      </c>
      <c r="AD200" s="3"/>
      <c r="AE200" s="3"/>
      <c r="AF200" s="3"/>
      <c r="AG200" s="3"/>
    </row>
    <row r="201" spans="1:33" s="13" customFormat="1" ht="15" customHeight="1" x14ac:dyDescent="0.3">
      <c r="A201" s="3" t="s">
        <v>138</v>
      </c>
      <c r="B201" s="3" t="s">
        <v>301</v>
      </c>
      <c r="C201" s="3" t="s">
        <v>391</v>
      </c>
      <c r="D201" s="3" t="s">
        <v>74</v>
      </c>
      <c r="E201" s="3" t="s">
        <v>396</v>
      </c>
      <c r="F201" s="3" t="s">
        <v>118</v>
      </c>
      <c r="G201" s="2">
        <v>1990</v>
      </c>
      <c r="H201" s="3" t="s">
        <v>140</v>
      </c>
      <c r="I201" s="3">
        <v>51.3</v>
      </c>
      <c r="J201" s="3">
        <v>-80.633333333333297</v>
      </c>
      <c r="K201" s="2">
        <v>162</v>
      </c>
      <c r="L201" s="3" t="s">
        <v>397</v>
      </c>
      <c r="M201" s="3" t="s">
        <v>143</v>
      </c>
      <c r="N201" s="2">
        <v>6.4</v>
      </c>
      <c r="O201" s="3" t="s">
        <v>36</v>
      </c>
      <c r="P201" s="5" t="s">
        <v>399</v>
      </c>
      <c r="Q201" s="10"/>
      <c r="R201" s="10"/>
      <c r="S201" s="10"/>
      <c r="T201" s="10"/>
      <c r="U201" s="10"/>
      <c r="V201" s="20">
        <v>2.0299999999999998</v>
      </c>
      <c r="W201" s="3"/>
      <c r="X201" s="3" t="s">
        <v>81</v>
      </c>
      <c r="Y201" s="3"/>
      <c r="Z201" s="3"/>
      <c r="AA201" s="3"/>
      <c r="AB201" s="3"/>
      <c r="AC201" s="8" t="s">
        <v>884</v>
      </c>
      <c r="AD201" s="3"/>
      <c r="AE201" s="3"/>
      <c r="AF201" s="3"/>
      <c r="AG201" s="3"/>
    </row>
    <row r="202" spans="1:33" s="13" customFormat="1" ht="15" customHeight="1" x14ac:dyDescent="0.3">
      <c r="A202" s="3" t="s">
        <v>125</v>
      </c>
      <c r="B202" s="3" t="s">
        <v>301</v>
      </c>
      <c r="C202" s="3" t="s">
        <v>391</v>
      </c>
      <c r="D202" s="3" t="s">
        <v>74</v>
      </c>
      <c r="E202" s="3" t="s">
        <v>400</v>
      </c>
      <c r="F202" s="3" t="s">
        <v>118</v>
      </c>
      <c r="G202" s="2">
        <v>1990</v>
      </c>
      <c r="H202" s="3" t="s">
        <v>127</v>
      </c>
      <c r="I202" s="3">
        <v>51.3</v>
      </c>
      <c r="J202" s="3">
        <v>-80.633333333333297</v>
      </c>
      <c r="K202" s="2">
        <v>162</v>
      </c>
      <c r="L202" s="3" t="s">
        <v>401</v>
      </c>
      <c r="M202" s="3" t="s">
        <v>129</v>
      </c>
      <c r="N202" s="2">
        <v>6.75</v>
      </c>
      <c r="O202" s="3" t="s">
        <v>36</v>
      </c>
      <c r="P202" s="5" t="s">
        <v>402</v>
      </c>
      <c r="Q202" s="10">
        <v>0.1</v>
      </c>
      <c r="R202" s="10"/>
      <c r="S202" s="10"/>
      <c r="T202" s="10" t="s">
        <v>86</v>
      </c>
      <c r="U202" s="7">
        <f>Q202*K202/1000</f>
        <v>1.6199999999999999E-2</v>
      </c>
      <c r="V202" s="20"/>
      <c r="W202" s="3"/>
      <c r="X202" s="3"/>
      <c r="Y202" s="9" t="s">
        <v>39</v>
      </c>
      <c r="Z202" s="9">
        <f t="shared" ref="Z202:Z204" si="37">6.8/1000*(365-K202)</f>
        <v>1.3803999999999998</v>
      </c>
      <c r="AA202" s="9">
        <f>U202</f>
        <v>1.6199999999999999E-2</v>
      </c>
      <c r="AB202" s="9">
        <f>U202+Z202</f>
        <v>1.3965999999999998</v>
      </c>
      <c r="AC202" s="3" t="s">
        <v>881</v>
      </c>
      <c r="AD202" s="3"/>
      <c r="AE202" s="3"/>
      <c r="AF202" s="3"/>
      <c r="AG202" s="3"/>
    </row>
    <row r="203" spans="1:33" s="18" customFormat="1" ht="15" customHeight="1" x14ac:dyDescent="0.3">
      <c r="A203" s="3" t="s">
        <v>125</v>
      </c>
      <c r="B203" s="3" t="s">
        <v>301</v>
      </c>
      <c r="C203" s="3" t="s">
        <v>391</v>
      </c>
      <c r="D203" s="3" t="s">
        <v>74</v>
      </c>
      <c r="E203" s="3" t="s">
        <v>403</v>
      </c>
      <c r="F203" s="3" t="s">
        <v>118</v>
      </c>
      <c r="G203" s="2">
        <v>1990</v>
      </c>
      <c r="H203" s="3" t="s">
        <v>127</v>
      </c>
      <c r="I203" s="3">
        <v>51.511666666666699</v>
      </c>
      <c r="J203" s="3">
        <v>-80.88</v>
      </c>
      <c r="K203" s="2">
        <v>159</v>
      </c>
      <c r="L203" s="3" t="s">
        <v>404</v>
      </c>
      <c r="M203" s="3" t="s">
        <v>136</v>
      </c>
      <c r="N203" s="2">
        <v>6.48</v>
      </c>
      <c r="O203" s="3" t="s">
        <v>36</v>
      </c>
      <c r="P203" s="5" t="s">
        <v>405</v>
      </c>
      <c r="Q203" s="10">
        <v>12.35</v>
      </c>
      <c r="R203" s="10"/>
      <c r="S203" s="10"/>
      <c r="T203" s="10" t="s">
        <v>86</v>
      </c>
      <c r="U203" s="7">
        <f>Q203*K203/1000</f>
        <v>1.9636499999999999</v>
      </c>
      <c r="V203" s="20"/>
      <c r="W203" s="3"/>
      <c r="X203" s="3"/>
      <c r="Y203" s="9" t="s">
        <v>39</v>
      </c>
      <c r="Z203" s="9">
        <f t="shared" si="37"/>
        <v>1.4007999999999998</v>
      </c>
      <c r="AA203" s="9">
        <f>U203</f>
        <v>1.9636499999999999</v>
      </c>
      <c r="AB203" s="9">
        <f>U203+Z203</f>
        <v>3.3644499999999997</v>
      </c>
      <c r="AC203" s="3" t="s">
        <v>881</v>
      </c>
      <c r="AD203" s="3"/>
      <c r="AE203" s="20"/>
      <c r="AF203" s="20"/>
      <c r="AG203" s="20"/>
    </row>
    <row r="204" spans="1:33" s="13" customFormat="1" ht="15" customHeight="1" x14ac:dyDescent="0.3">
      <c r="A204" s="3" t="s">
        <v>138</v>
      </c>
      <c r="B204" s="3" t="s">
        <v>301</v>
      </c>
      <c r="C204" s="3" t="s">
        <v>391</v>
      </c>
      <c r="D204" s="3" t="s">
        <v>74</v>
      </c>
      <c r="E204" s="3" t="s">
        <v>406</v>
      </c>
      <c r="F204" s="3" t="s">
        <v>118</v>
      </c>
      <c r="G204" s="2">
        <v>1990</v>
      </c>
      <c r="H204" s="3" t="s">
        <v>140</v>
      </c>
      <c r="I204" s="3">
        <v>51.516666666666701</v>
      </c>
      <c r="J204" s="3">
        <v>-80.45</v>
      </c>
      <c r="K204" s="2">
        <v>160</v>
      </c>
      <c r="L204" s="3" t="s">
        <v>393</v>
      </c>
      <c r="M204" s="3" t="s">
        <v>407</v>
      </c>
      <c r="N204" s="2">
        <v>7</v>
      </c>
      <c r="O204" s="3" t="s">
        <v>36</v>
      </c>
      <c r="P204" s="5" t="s">
        <v>408</v>
      </c>
      <c r="Q204" s="10"/>
      <c r="R204" s="30">
        <f>V204/K204*1000</f>
        <v>8</v>
      </c>
      <c r="S204" s="10"/>
      <c r="T204" s="10"/>
      <c r="U204" s="10"/>
      <c r="V204" s="20">
        <f>AVERAGE(V205:V206)</f>
        <v>1.28</v>
      </c>
      <c r="W204" s="3"/>
      <c r="X204" s="3" t="s">
        <v>81</v>
      </c>
      <c r="Y204" s="11" t="s">
        <v>39</v>
      </c>
      <c r="Z204" s="12">
        <f t="shared" si="37"/>
        <v>1.3939999999999999</v>
      </c>
      <c r="AA204" s="12">
        <f>V204</f>
        <v>1.28</v>
      </c>
      <c r="AB204" s="12">
        <f>V204+Z204</f>
        <v>2.6739999999999999</v>
      </c>
      <c r="AC204" s="3" t="s">
        <v>881</v>
      </c>
      <c r="AD204" s="3"/>
      <c r="AE204" s="3"/>
      <c r="AF204" s="3"/>
      <c r="AG204" s="3"/>
    </row>
    <row r="205" spans="1:33" s="13" customFormat="1" ht="15" customHeight="1" x14ac:dyDescent="0.3">
      <c r="A205" s="3" t="s">
        <v>138</v>
      </c>
      <c r="B205" s="3" t="s">
        <v>301</v>
      </c>
      <c r="C205" s="3" t="s">
        <v>391</v>
      </c>
      <c r="D205" s="3" t="s">
        <v>74</v>
      </c>
      <c r="E205" s="3" t="s">
        <v>406</v>
      </c>
      <c r="F205" s="3" t="s">
        <v>118</v>
      </c>
      <c r="G205" s="2">
        <v>1990</v>
      </c>
      <c r="H205" s="3" t="s">
        <v>140</v>
      </c>
      <c r="I205" s="3">
        <v>51.516666666666701</v>
      </c>
      <c r="J205" s="3">
        <v>-80.45</v>
      </c>
      <c r="K205" s="2">
        <v>160</v>
      </c>
      <c r="L205" s="3" t="s">
        <v>393</v>
      </c>
      <c r="M205" s="3" t="s">
        <v>407</v>
      </c>
      <c r="N205" s="2">
        <v>7</v>
      </c>
      <c r="O205" s="3" t="s">
        <v>36</v>
      </c>
      <c r="P205" s="5" t="s">
        <v>408</v>
      </c>
      <c r="Q205" s="10"/>
      <c r="R205" s="10"/>
      <c r="S205" s="10"/>
      <c r="T205" s="10"/>
      <c r="U205" s="10"/>
      <c r="V205" s="20">
        <v>0.89</v>
      </c>
      <c r="W205" s="3"/>
      <c r="X205" s="3" t="s">
        <v>81</v>
      </c>
      <c r="Y205" s="3"/>
      <c r="Z205" s="3"/>
      <c r="AA205" s="3"/>
      <c r="AB205" s="3"/>
      <c r="AC205" s="8" t="s">
        <v>884</v>
      </c>
      <c r="AD205" s="3"/>
      <c r="AE205" s="3"/>
      <c r="AF205" s="3"/>
      <c r="AG205" s="3"/>
    </row>
    <row r="206" spans="1:33" s="13" customFormat="1" ht="15" customHeight="1" x14ac:dyDescent="0.3">
      <c r="A206" s="3" t="s">
        <v>138</v>
      </c>
      <c r="B206" s="3" t="s">
        <v>301</v>
      </c>
      <c r="C206" s="3" t="s">
        <v>391</v>
      </c>
      <c r="D206" s="3" t="s">
        <v>74</v>
      </c>
      <c r="E206" s="3" t="s">
        <v>406</v>
      </c>
      <c r="F206" s="3" t="s">
        <v>118</v>
      </c>
      <c r="G206" s="2">
        <v>1990</v>
      </c>
      <c r="H206" s="3" t="s">
        <v>140</v>
      </c>
      <c r="I206" s="3">
        <v>51.516666666666666</v>
      </c>
      <c r="J206" s="3">
        <v>-80.45</v>
      </c>
      <c r="K206" s="2">
        <v>160</v>
      </c>
      <c r="L206" s="3" t="s">
        <v>393</v>
      </c>
      <c r="M206" s="3" t="s">
        <v>407</v>
      </c>
      <c r="N206" s="2">
        <v>7</v>
      </c>
      <c r="O206" s="3" t="s">
        <v>36</v>
      </c>
      <c r="P206" s="5" t="s">
        <v>409</v>
      </c>
      <c r="Q206" s="10"/>
      <c r="R206" s="10"/>
      <c r="S206" s="10"/>
      <c r="T206" s="10"/>
      <c r="U206" s="10"/>
      <c r="V206" s="20">
        <v>1.67</v>
      </c>
      <c r="W206" s="3"/>
      <c r="X206" s="3" t="s">
        <v>81</v>
      </c>
      <c r="Y206" s="3"/>
      <c r="Z206" s="3"/>
      <c r="AA206" s="3"/>
      <c r="AB206" s="3"/>
      <c r="AC206" s="8" t="s">
        <v>884</v>
      </c>
      <c r="AD206" s="3"/>
      <c r="AE206" s="3"/>
      <c r="AF206" s="3"/>
      <c r="AG206" s="3"/>
    </row>
    <row r="207" spans="1:33" s="13" customFormat="1" ht="15" customHeight="1" x14ac:dyDescent="0.3">
      <c r="A207" s="3" t="s">
        <v>138</v>
      </c>
      <c r="B207" s="3" t="s">
        <v>301</v>
      </c>
      <c r="C207" s="3" t="s">
        <v>391</v>
      </c>
      <c r="D207" s="3" t="s">
        <v>74</v>
      </c>
      <c r="E207" s="3" t="s">
        <v>406</v>
      </c>
      <c r="F207" s="3" t="s">
        <v>118</v>
      </c>
      <c r="G207" s="2">
        <v>1990</v>
      </c>
      <c r="H207" s="3" t="s">
        <v>140</v>
      </c>
      <c r="I207" s="3">
        <v>51.516666666666666</v>
      </c>
      <c r="J207" s="3">
        <v>-80.45</v>
      </c>
      <c r="K207" s="2">
        <v>160</v>
      </c>
      <c r="L207" s="3" t="s">
        <v>410</v>
      </c>
      <c r="M207" s="3" t="s">
        <v>411</v>
      </c>
      <c r="N207" s="2">
        <v>7.1</v>
      </c>
      <c r="O207" s="3" t="s">
        <v>36</v>
      </c>
      <c r="P207" s="5" t="s">
        <v>412</v>
      </c>
      <c r="Q207" s="10"/>
      <c r="R207" s="30">
        <f t="shared" ref="R207:R208" si="38">V207/K207*1000</f>
        <v>0.3125</v>
      </c>
      <c r="S207" s="10"/>
      <c r="T207" s="10"/>
      <c r="U207" s="10"/>
      <c r="V207" s="20">
        <v>0.05</v>
      </c>
      <c r="W207" s="3"/>
      <c r="X207" s="3" t="s">
        <v>81</v>
      </c>
      <c r="Y207" s="11" t="s">
        <v>39</v>
      </c>
      <c r="Z207" s="12">
        <f t="shared" ref="Z207:Z208" si="39">6.8/1000*(365-K207)</f>
        <v>1.3939999999999999</v>
      </c>
      <c r="AA207" s="12">
        <f>V207</f>
        <v>0.05</v>
      </c>
      <c r="AB207" s="12">
        <f>V207+Z207</f>
        <v>1.444</v>
      </c>
      <c r="AC207" s="3" t="s">
        <v>881</v>
      </c>
      <c r="AD207" s="3"/>
      <c r="AE207" s="3"/>
      <c r="AF207" s="3"/>
      <c r="AG207" s="3"/>
    </row>
    <row r="208" spans="1:33" s="13" customFormat="1" ht="15" customHeight="1" x14ac:dyDescent="0.3">
      <c r="A208" s="3" t="s">
        <v>138</v>
      </c>
      <c r="B208" s="3" t="s">
        <v>301</v>
      </c>
      <c r="C208" s="3" t="s">
        <v>391</v>
      </c>
      <c r="D208" s="3" t="s">
        <v>74</v>
      </c>
      <c r="E208" s="3" t="s">
        <v>406</v>
      </c>
      <c r="F208" s="3" t="s">
        <v>118</v>
      </c>
      <c r="G208" s="2">
        <v>1990</v>
      </c>
      <c r="H208" s="3" t="s">
        <v>140</v>
      </c>
      <c r="I208" s="3">
        <v>51.516666666666666</v>
      </c>
      <c r="J208" s="3">
        <v>-80.45</v>
      </c>
      <c r="K208" s="2">
        <v>160</v>
      </c>
      <c r="L208" s="3" t="s">
        <v>413</v>
      </c>
      <c r="M208" s="3" t="s">
        <v>407</v>
      </c>
      <c r="N208" s="2" t="s">
        <v>414</v>
      </c>
      <c r="O208" s="3" t="s">
        <v>36</v>
      </c>
      <c r="P208" s="5" t="s">
        <v>415</v>
      </c>
      <c r="Q208" s="10"/>
      <c r="R208" s="30">
        <f t="shared" si="38"/>
        <v>5.1249999999999991</v>
      </c>
      <c r="S208" s="10"/>
      <c r="T208" s="10"/>
      <c r="U208" s="10"/>
      <c r="V208" s="20">
        <v>0.82</v>
      </c>
      <c r="W208" s="3"/>
      <c r="X208" s="3" t="s">
        <v>81</v>
      </c>
      <c r="Y208" s="11" t="s">
        <v>39</v>
      </c>
      <c r="Z208" s="12">
        <f t="shared" si="39"/>
        <v>1.3939999999999999</v>
      </c>
      <c r="AA208" s="12">
        <f>V208</f>
        <v>0.82</v>
      </c>
      <c r="AB208" s="12">
        <f>V208+Z208</f>
        <v>2.214</v>
      </c>
      <c r="AC208" s="3" t="s">
        <v>881</v>
      </c>
      <c r="AD208" s="3"/>
      <c r="AE208" s="3"/>
      <c r="AF208" s="3"/>
      <c r="AG208" s="3"/>
    </row>
    <row r="209" spans="1:33" s="13" customFormat="1" ht="15" customHeight="1" x14ac:dyDescent="0.3">
      <c r="A209" s="3" t="s">
        <v>125</v>
      </c>
      <c r="B209" s="3" t="s">
        <v>301</v>
      </c>
      <c r="C209" s="3" t="s">
        <v>391</v>
      </c>
      <c r="D209" s="3" t="s">
        <v>74</v>
      </c>
      <c r="E209" s="3" t="s">
        <v>416</v>
      </c>
      <c r="F209" s="3" t="s">
        <v>118</v>
      </c>
      <c r="G209" s="2">
        <v>1990</v>
      </c>
      <c r="H209" s="3" t="s">
        <v>127</v>
      </c>
      <c r="I209" s="3">
        <v>51.47</v>
      </c>
      <c r="J209" s="3">
        <v>-80.616666666666703</v>
      </c>
      <c r="K209" s="2">
        <v>160</v>
      </c>
      <c r="L209" s="3" t="s">
        <v>417</v>
      </c>
      <c r="M209" s="3" t="s">
        <v>418</v>
      </c>
      <c r="N209" s="2">
        <v>6.86</v>
      </c>
      <c r="O209" s="3" t="s">
        <v>36</v>
      </c>
      <c r="P209" s="5" t="s">
        <v>419</v>
      </c>
      <c r="Q209" s="10">
        <v>37.1</v>
      </c>
      <c r="R209" s="10"/>
      <c r="S209" s="10"/>
      <c r="T209" s="10" t="s">
        <v>86</v>
      </c>
      <c r="U209" s="7">
        <f>Q209*K209/1000</f>
        <v>5.9359999999999999</v>
      </c>
      <c r="V209" s="20"/>
      <c r="W209" s="3"/>
      <c r="X209" s="3"/>
      <c r="Y209" s="9" t="s">
        <v>39</v>
      </c>
      <c r="Z209" s="9">
        <f>6.8/1000*(365-K209)</f>
        <v>1.3939999999999999</v>
      </c>
      <c r="AA209" s="9">
        <f>U209</f>
        <v>5.9359999999999999</v>
      </c>
      <c r="AB209" s="9">
        <f>U209+Z209</f>
        <v>7.33</v>
      </c>
      <c r="AC209" s="3" t="s">
        <v>881</v>
      </c>
      <c r="AD209" s="3"/>
      <c r="AE209" s="3"/>
      <c r="AF209" s="3"/>
      <c r="AG209" s="3"/>
    </row>
    <row r="210" spans="1:33" s="13" customFormat="1" ht="15" customHeight="1" x14ac:dyDescent="0.3">
      <c r="A210" s="3" t="s">
        <v>138</v>
      </c>
      <c r="B210" s="3" t="s">
        <v>301</v>
      </c>
      <c r="C210" s="3" t="s">
        <v>391</v>
      </c>
      <c r="D210" s="3" t="s">
        <v>74</v>
      </c>
      <c r="E210" s="3" t="s">
        <v>392</v>
      </c>
      <c r="F210" s="3" t="s">
        <v>118</v>
      </c>
      <c r="G210" s="2">
        <v>1990</v>
      </c>
      <c r="H210" s="3" t="s">
        <v>140</v>
      </c>
      <c r="I210" s="3">
        <v>51.47</v>
      </c>
      <c r="J210" s="3">
        <v>80.61666666666666</v>
      </c>
      <c r="K210" s="2">
        <v>160</v>
      </c>
      <c r="L210" s="3" t="s">
        <v>413</v>
      </c>
      <c r="M210" s="3" t="s">
        <v>418</v>
      </c>
      <c r="N210" s="2">
        <v>7</v>
      </c>
      <c r="O210" s="3" t="s">
        <v>36</v>
      </c>
      <c r="P210" s="21" t="s">
        <v>420</v>
      </c>
      <c r="Q210" s="10"/>
      <c r="R210" s="30">
        <f t="shared" ref="R210:R212" si="40">V210/K210*1000</f>
        <v>2.6249999999999996</v>
      </c>
      <c r="S210" s="10"/>
      <c r="T210" s="10"/>
      <c r="U210" s="10"/>
      <c r="V210" s="20">
        <v>0.42</v>
      </c>
      <c r="W210" s="20"/>
      <c r="X210" s="3" t="s">
        <v>81</v>
      </c>
      <c r="Y210" s="11" t="s">
        <v>39</v>
      </c>
      <c r="Z210" s="12">
        <f t="shared" ref="Z210:Z212" si="41">6.8/1000*(365-K210)</f>
        <v>1.3939999999999999</v>
      </c>
      <c r="AA210" s="12">
        <f>V210</f>
        <v>0.42</v>
      </c>
      <c r="AB210" s="12">
        <f>V210+Z210</f>
        <v>1.8139999999999998</v>
      </c>
      <c r="AC210" s="3" t="s">
        <v>881</v>
      </c>
      <c r="AD210" s="3"/>
      <c r="AE210" s="3"/>
      <c r="AF210" s="3"/>
      <c r="AG210" s="3"/>
    </row>
    <row r="211" spans="1:33" s="3" customFormat="1" ht="15" customHeight="1" x14ac:dyDescent="0.3">
      <c r="A211" s="3" t="s">
        <v>138</v>
      </c>
      <c r="B211" s="3" t="s">
        <v>301</v>
      </c>
      <c r="C211" s="3" t="s">
        <v>391</v>
      </c>
      <c r="D211" s="3" t="s">
        <v>74</v>
      </c>
      <c r="E211" s="3" t="s">
        <v>392</v>
      </c>
      <c r="F211" s="3" t="s">
        <v>118</v>
      </c>
      <c r="G211" s="2">
        <v>1990</v>
      </c>
      <c r="H211" s="3" t="s">
        <v>140</v>
      </c>
      <c r="I211" s="3">
        <v>51.47</v>
      </c>
      <c r="J211" s="3">
        <v>-80.616666666666703</v>
      </c>
      <c r="K211" s="2">
        <v>160</v>
      </c>
      <c r="L211" s="3" t="s">
        <v>397</v>
      </c>
      <c r="M211" s="3" t="s">
        <v>71</v>
      </c>
      <c r="N211" s="2" t="s">
        <v>414</v>
      </c>
      <c r="O211" s="3" t="s">
        <v>36</v>
      </c>
      <c r="P211" s="5" t="s">
        <v>421</v>
      </c>
      <c r="Q211" s="10"/>
      <c r="R211" s="30">
        <f t="shared" si="40"/>
        <v>0.81250000000000011</v>
      </c>
      <c r="S211" s="10"/>
      <c r="T211" s="10"/>
      <c r="U211" s="10"/>
      <c r="V211" s="20">
        <v>0.13</v>
      </c>
      <c r="X211" s="3" t="s">
        <v>81</v>
      </c>
      <c r="Y211" s="11" t="s">
        <v>39</v>
      </c>
      <c r="Z211" s="12">
        <f t="shared" si="41"/>
        <v>1.3939999999999999</v>
      </c>
      <c r="AA211" s="12">
        <f>V211</f>
        <v>0.13</v>
      </c>
      <c r="AB211" s="12">
        <f>V211+Z211</f>
        <v>1.524</v>
      </c>
      <c r="AC211" s="3" t="s">
        <v>881</v>
      </c>
    </row>
    <row r="212" spans="1:33" s="3" customFormat="1" ht="15" customHeight="1" x14ac:dyDescent="0.3">
      <c r="A212" s="3" t="s">
        <v>138</v>
      </c>
      <c r="B212" s="3" t="s">
        <v>301</v>
      </c>
      <c r="C212" s="3" t="s">
        <v>391</v>
      </c>
      <c r="D212" s="3" t="s">
        <v>74</v>
      </c>
      <c r="E212" s="3" t="s">
        <v>422</v>
      </c>
      <c r="F212" s="3" t="s">
        <v>118</v>
      </c>
      <c r="G212" s="2">
        <v>1990</v>
      </c>
      <c r="H212" s="3" t="s">
        <v>140</v>
      </c>
      <c r="I212" s="3">
        <v>51.47</v>
      </c>
      <c r="J212" s="3">
        <v>-80.616666666666703</v>
      </c>
      <c r="K212" s="2">
        <v>160</v>
      </c>
      <c r="L212" s="3" t="s">
        <v>397</v>
      </c>
      <c r="M212" s="3" t="s">
        <v>143</v>
      </c>
      <c r="N212" s="2" t="s">
        <v>414</v>
      </c>
      <c r="O212" s="3" t="s">
        <v>36</v>
      </c>
      <c r="P212" s="5" t="s">
        <v>423</v>
      </c>
      <c r="Q212" s="10"/>
      <c r="R212" s="30">
        <f t="shared" si="40"/>
        <v>2.8125</v>
      </c>
      <c r="S212" s="10"/>
      <c r="T212" s="10"/>
      <c r="U212" s="10"/>
      <c r="V212" s="20">
        <v>0.45</v>
      </c>
      <c r="X212" s="3" t="s">
        <v>81</v>
      </c>
      <c r="Y212" s="11" t="s">
        <v>39</v>
      </c>
      <c r="Z212" s="12">
        <f t="shared" si="41"/>
        <v>1.3939999999999999</v>
      </c>
      <c r="AA212" s="12">
        <f>V212</f>
        <v>0.45</v>
      </c>
      <c r="AB212" s="12">
        <f>V212+Z212</f>
        <v>1.8439999999999999</v>
      </c>
      <c r="AC212" s="3" t="s">
        <v>881</v>
      </c>
    </row>
    <row r="213" spans="1:33" s="13" customFormat="1" ht="15" customHeight="1" x14ac:dyDescent="0.3">
      <c r="A213" s="32" t="s">
        <v>158</v>
      </c>
      <c r="B213" s="3" t="s">
        <v>301</v>
      </c>
      <c r="C213" s="3" t="s">
        <v>391</v>
      </c>
      <c r="D213" s="3" t="s">
        <v>164</v>
      </c>
      <c r="E213" s="3" t="s">
        <v>424</v>
      </c>
      <c r="F213" s="3" t="s">
        <v>118</v>
      </c>
      <c r="G213" s="2">
        <v>1990</v>
      </c>
      <c r="H213" s="3" t="s">
        <v>378</v>
      </c>
      <c r="I213" s="3">
        <v>58</v>
      </c>
      <c r="J213" s="3">
        <v>-94</v>
      </c>
      <c r="K213" s="2">
        <v>126</v>
      </c>
      <c r="L213" s="3" t="s">
        <v>121</v>
      </c>
      <c r="M213" s="3" t="s">
        <v>425</v>
      </c>
      <c r="N213" s="2" t="s">
        <v>414</v>
      </c>
      <c r="O213" s="3" t="s">
        <v>36</v>
      </c>
      <c r="P213" s="5" t="s">
        <v>426</v>
      </c>
      <c r="Q213" s="10">
        <v>78.599999999999994</v>
      </c>
      <c r="R213" s="10"/>
      <c r="S213" s="10"/>
      <c r="T213" s="10" t="s">
        <v>86</v>
      </c>
      <c r="U213" s="10"/>
      <c r="V213" s="20">
        <v>6.68</v>
      </c>
      <c r="W213" s="20">
        <v>6.68</v>
      </c>
      <c r="X213" s="3" t="s">
        <v>81</v>
      </c>
      <c r="Y213" s="11" t="s">
        <v>39</v>
      </c>
      <c r="Z213" s="12">
        <f>6.8/1000*(365-K213)</f>
        <v>1.6252</v>
      </c>
      <c r="AA213" s="12"/>
      <c r="AB213" s="12">
        <f>V213+Z213</f>
        <v>8.3051999999999992</v>
      </c>
      <c r="AC213" s="3" t="s">
        <v>883</v>
      </c>
      <c r="AD213" s="3"/>
      <c r="AE213" s="3"/>
      <c r="AF213" s="3"/>
      <c r="AG213" s="3"/>
    </row>
    <row r="214" spans="1:33" s="13" customFormat="1" ht="15" customHeight="1" x14ac:dyDescent="0.3">
      <c r="A214" s="39" t="s">
        <v>163</v>
      </c>
      <c r="B214" s="3" t="s">
        <v>301</v>
      </c>
      <c r="C214" s="3" t="s">
        <v>391</v>
      </c>
      <c r="D214" s="3" t="s">
        <v>164</v>
      </c>
      <c r="E214" s="3" t="s">
        <v>165</v>
      </c>
      <c r="F214" s="3" t="s">
        <v>118</v>
      </c>
      <c r="G214" s="2" t="s">
        <v>427</v>
      </c>
      <c r="H214" s="3" t="s">
        <v>428</v>
      </c>
      <c r="I214" s="3">
        <v>58.75</v>
      </c>
      <c r="J214" s="3">
        <v>-94.07</v>
      </c>
      <c r="K214" s="2">
        <v>121</v>
      </c>
      <c r="L214" s="3" t="s">
        <v>429</v>
      </c>
      <c r="M214" s="3" t="s">
        <v>430</v>
      </c>
      <c r="N214" s="2" t="s">
        <v>414</v>
      </c>
      <c r="O214" s="3" t="s">
        <v>36</v>
      </c>
      <c r="P214" s="5" t="s">
        <v>169</v>
      </c>
      <c r="Q214" s="10">
        <f>AVERAGE(Q215:Q216)</f>
        <v>42.1</v>
      </c>
      <c r="R214" s="10"/>
      <c r="S214" s="10"/>
      <c r="T214" s="10" t="s">
        <v>86</v>
      </c>
      <c r="U214" s="7">
        <f>Q214*K214/1000</f>
        <v>5.0941000000000001</v>
      </c>
      <c r="V214" s="20"/>
      <c r="W214" s="17"/>
      <c r="X214" s="17"/>
      <c r="Y214" s="9" t="s">
        <v>39</v>
      </c>
      <c r="Z214" s="9">
        <f>6.8/1000*(365-K214)</f>
        <v>1.6592</v>
      </c>
      <c r="AA214" s="9">
        <f>U214</f>
        <v>5.0941000000000001</v>
      </c>
      <c r="AB214" s="9">
        <f>U214+Z214</f>
        <v>6.7533000000000003</v>
      </c>
      <c r="AC214" s="3" t="s">
        <v>881</v>
      </c>
      <c r="AD214" s="3"/>
      <c r="AE214" s="3"/>
      <c r="AF214" s="3"/>
      <c r="AG214" s="3"/>
    </row>
    <row r="215" spans="1:33" s="13" customFormat="1" ht="15" customHeight="1" x14ac:dyDescent="0.3">
      <c r="A215" s="39" t="s">
        <v>163</v>
      </c>
      <c r="B215" s="3" t="s">
        <v>301</v>
      </c>
      <c r="C215" s="3" t="s">
        <v>391</v>
      </c>
      <c r="D215" s="3" t="s">
        <v>164</v>
      </c>
      <c r="E215" s="3" t="s">
        <v>165</v>
      </c>
      <c r="F215" s="3" t="s">
        <v>118</v>
      </c>
      <c r="G215" s="2">
        <v>1989</v>
      </c>
      <c r="H215" s="3" t="s">
        <v>170</v>
      </c>
      <c r="I215" s="3">
        <v>58.75</v>
      </c>
      <c r="J215" s="3">
        <v>-94.07</v>
      </c>
      <c r="K215" s="2">
        <v>121</v>
      </c>
      <c r="L215" s="3" t="s">
        <v>429</v>
      </c>
      <c r="M215" s="3" t="s">
        <v>430</v>
      </c>
      <c r="N215" s="2" t="s">
        <v>414</v>
      </c>
      <c r="O215" s="3" t="s">
        <v>36</v>
      </c>
      <c r="P215" s="5" t="s">
        <v>169</v>
      </c>
      <c r="Q215" s="10">
        <v>22.2</v>
      </c>
      <c r="R215" s="10"/>
      <c r="S215" s="10"/>
      <c r="T215" s="10" t="s">
        <v>86</v>
      </c>
      <c r="U215" s="10"/>
      <c r="V215" s="20"/>
      <c r="W215" s="17"/>
      <c r="X215" s="17"/>
      <c r="Y215" s="17"/>
      <c r="Z215" s="17"/>
      <c r="AA215" s="17"/>
      <c r="AB215" s="17"/>
      <c r="AC215" s="8" t="s">
        <v>884</v>
      </c>
      <c r="AD215" s="3"/>
      <c r="AE215" s="3"/>
      <c r="AF215" s="3"/>
      <c r="AG215" s="3"/>
    </row>
    <row r="216" spans="1:33" s="13" customFormat="1" ht="15" customHeight="1" x14ac:dyDescent="0.3">
      <c r="A216" s="39" t="s">
        <v>163</v>
      </c>
      <c r="B216" s="3" t="s">
        <v>301</v>
      </c>
      <c r="C216" s="3" t="s">
        <v>391</v>
      </c>
      <c r="D216" s="3" t="s">
        <v>164</v>
      </c>
      <c r="E216" s="3" t="s">
        <v>165</v>
      </c>
      <c r="F216" s="3" t="s">
        <v>118</v>
      </c>
      <c r="G216" s="2">
        <v>1990</v>
      </c>
      <c r="H216" s="3" t="s">
        <v>431</v>
      </c>
      <c r="I216" s="3">
        <v>58.75</v>
      </c>
      <c r="J216" s="3">
        <v>-94.07</v>
      </c>
      <c r="K216" s="2">
        <v>121</v>
      </c>
      <c r="L216" s="3" t="s">
        <v>429</v>
      </c>
      <c r="M216" s="3" t="s">
        <v>430</v>
      </c>
      <c r="N216" s="2" t="s">
        <v>414</v>
      </c>
      <c r="O216" s="3" t="s">
        <v>36</v>
      </c>
      <c r="P216" s="5" t="s">
        <v>169</v>
      </c>
      <c r="Q216" s="10">
        <v>62</v>
      </c>
      <c r="R216" s="10"/>
      <c r="S216" s="10"/>
      <c r="T216" s="10" t="s">
        <v>86</v>
      </c>
      <c r="U216" s="10"/>
      <c r="V216" s="20"/>
      <c r="W216" s="17"/>
      <c r="X216" s="17"/>
      <c r="Y216" s="17"/>
      <c r="Z216" s="17"/>
      <c r="AA216" s="17"/>
      <c r="AB216" s="17"/>
      <c r="AC216" s="8" t="s">
        <v>884</v>
      </c>
      <c r="AD216" s="3"/>
      <c r="AE216" s="3"/>
      <c r="AF216" s="3"/>
      <c r="AG216" s="3"/>
    </row>
    <row r="217" spans="1:33" s="13" customFormat="1" ht="15" customHeight="1" x14ac:dyDescent="0.3">
      <c r="A217" s="39" t="s">
        <v>163</v>
      </c>
      <c r="B217" s="3" t="s">
        <v>301</v>
      </c>
      <c r="C217" s="3" t="s">
        <v>391</v>
      </c>
      <c r="D217" s="3" t="s">
        <v>164</v>
      </c>
      <c r="E217" s="3" t="s">
        <v>165</v>
      </c>
      <c r="F217" s="3" t="s">
        <v>118</v>
      </c>
      <c r="G217" s="2" t="s">
        <v>427</v>
      </c>
      <c r="H217" s="3" t="s">
        <v>428</v>
      </c>
      <c r="I217" s="3">
        <v>58.75</v>
      </c>
      <c r="J217" s="3">
        <v>-94.07</v>
      </c>
      <c r="K217" s="2">
        <v>121</v>
      </c>
      <c r="L217" s="3" t="s">
        <v>429</v>
      </c>
      <c r="M217" s="3" t="s">
        <v>430</v>
      </c>
      <c r="N217" s="2" t="s">
        <v>414</v>
      </c>
      <c r="O217" s="3" t="s">
        <v>36</v>
      </c>
      <c r="P217" s="5" t="s">
        <v>169</v>
      </c>
      <c r="Q217" s="10">
        <f>AVERAGE(Q218:Q219)</f>
        <v>92.35</v>
      </c>
      <c r="R217" s="10"/>
      <c r="S217" s="10"/>
      <c r="T217" s="10" t="s">
        <v>86</v>
      </c>
      <c r="U217" s="7">
        <f>Q217*K217/1000</f>
        <v>11.174349999999999</v>
      </c>
      <c r="V217" s="20"/>
      <c r="W217" s="17"/>
      <c r="X217" s="17"/>
      <c r="Y217" s="9" t="s">
        <v>39</v>
      </c>
      <c r="Z217" s="9">
        <f>6.8/1000*(365-K217)</f>
        <v>1.6592</v>
      </c>
      <c r="AA217" s="9">
        <f>U217</f>
        <v>11.174349999999999</v>
      </c>
      <c r="AB217" s="9">
        <f>U217+Z217</f>
        <v>12.833549999999999</v>
      </c>
      <c r="AC217" s="3" t="s">
        <v>881</v>
      </c>
      <c r="AD217" s="3"/>
      <c r="AE217" s="3"/>
      <c r="AF217" s="3"/>
      <c r="AG217" s="3"/>
    </row>
    <row r="218" spans="1:33" s="13" customFormat="1" ht="15" customHeight="1" x14ac:dyDescent="0.3">
      <c r="A218" s="39" t="s">
        <v>163</v>
      </c>
      <c r="B218" s="3" t="s">
        <v>301</v>
      </c>
      <c r="C218" s="3" t="s">
        <v>391</v>
      </c>
      <c r="D218" s="3" t="s">
        <v>164</v>
      </c>
      <c r="E218" s="3" t="s">
        <v>165</v>
      </c>
      <c r="F218" s="3" t="s">
        <v>118</v>
      </c>
      <c r="G218" s="2">
        <v>1989</v>
      </c>
      <c r="H218" s="3" t="s">
        <v>170</v>
      </c>
      <c r="I218" s="3">
        <v>58.75</v>
      </c>
      <c r="J218" s="3">
        <v>-94.07</v>
      </c>
      <c r="K218" s="2">
        <v>121</v>
      </c>
      <c r="L218" s="3" t="s">
        <v>429</v>
      </c>
      <c r="M218" s="3" t="s">
        <v>432</v>
      </c>
      <c r="N218" s="2" t="s">
        <v>414</v>
      </c>
      <c r="O218" s="3" t="s">
        <v>36</v>
      </c>
      <c r="P218" s="5" t="s">
        <v>169</v>
      </c>
      <c r="Q218" s="10">
        <v>51.5</v>
      </c>
      <c r="R218" s="10"/>
      <c r="S218" s="10"/>
      <c r="T218" s="10" t="s">
        <v>86</v>
      </c>
      <c r="U218" s="10"/>
      <c r="V218" s="20"/>
      <c r="W218" s="17"/>
      <c r="X218" s="17"/>
      <c r="Y218" s="17"/>
      <c r="Z218" s="17"/>
      <c r="AA218" s="17"/>
      <c r="AB218" s="17"/>
      <c r="AC218" s="8" t="s">
        <v>884</v>
      </c>
      <c r="AD218" s="3"/>
      <c r="AE218" s="3"/>
      <c r="AF218" s="3"/>
      <c r="AG218" s="3"/>
    </row>
    <row r="219" spans="1:33" s="13" customFormat="1" ht="15" customHeight="1" x14ac:dyDescent="0.3">
      <c r="A219" s="39" t="s">
        <v>163</v>
      </c>
      <c r="B219" s="3" t="s">
        <v>301</v>
      </c>
      <c r="C219" s="3" t="s">
        <v>391</v>
      </c>
      <c r="D219" s="3" t="s">
        <v>164</v>
      </c>
      <c r="E219" s="3" t="s">
        <v>165</v>
      </c>
      <c r="F219" s="3" t="s">
        <v>118</v>
      </c>
      <c r="G219" s="2">
        <v>1990</v>
      </c>
      <c r="H219" s="3" t="s">
        <v>431</v>
      </c>
      <c r="I219" s="3">
        <v>58.75</v>
      </c>
      <c r="J219" s="3">
        <v>-94.07</v>
      </c>
      <c r="K219" s="2">
        <v>121</v>
      </c>
      <c r="L219" s="3" t="s">
        <v>429</v>
      </c>
      <c r="M219" s="3" t="s">
        <v>432</v>
      </c>
      <c r="N219" s="2" t="s">
        <v>414</v>
      </c>
      <c r="O219" s="3" t="s">
        <v>36</v>
      </c>
      <c r="P219" s="5" t="s">
        <v>169</v>
      </c>
      <c r="Q219" s="10">
        <v>133.19999999999999</v>
      </c>
      <c r="R219" s="10"/>
      <c r="S219" s="10"/>
      <c r="T219" s="10" t="s">
        <v>86</v>
      </c>
      <c r="U219" s="10"/>
      <c r="V219" s="20"/>
      <c r="W219" s="17"/>
      <c r="X219" s="17"/>
      <c r="Y219" s="17"/>
      <c r="Z219" s="17"/>
      <c r="AA219" s="17"/>
      <c r="AB219" s="17"/>
      <c r="AC219" s="8" t="s">
        <v>884</v>
      </c>
      <c r="AD219" s="3"/>
      <c r="AE219" s="3"/>
      <c r="AF219" s="3"/>
      <c r="AG219" s="3"/>
    </row>
    <row r="220" spans="1:33" s="13" customFormat="1" ht="15" customHeight="1" x14ac:dyDescent="0.3">
      <c r="A220" s="51" t="s">
        <v>433</v>
      </c>
      <c r="B220" s="3" t="s">
        <v>301</v>
      </c>
      <c r="C220" s="3" t="s">
        <v>391</v>
      </c>
      <c r="D220" s="3" t="s">
        <v>164</v>
      </c>
      <c r="E220" s="3" t="s">
        <v>165</v>
      </c>
      <c r="F220" s="3" t="s">
        <v>118</v>
      </c>
      <c r="G220" s="2" t="s">
        <v>434</v>
      </c>
      <c r="H220" s="3" t="s">
        <v>294</v>
      </c>
      <c r="I220" s="3">
        <v>58.75</v>
      </c>
      <c r="J220" s="3">
        <v>-94.07</v>
      </c>
      <c r="K220" s="2">
        <v>121</v>
      </c>
      <c r="L220" s="3" t="s">
        <v>429</v>
      </c>
      <c r="M220" s="3" t="s">
        <v>425</v>
      </c>
      <c r="N220" s="2" t="s">
        <v>414</v>
      </c>
      <c r="O220" s="3" t="s">
        <v>36</v>
      </c>
      <c r="P220" s="5"/>
      <c r="Q220" s="10"/>
      <c r="R220" s="10"/>
      <c r="S220" s="10"/>
      <c r="T220" s="10"/>
      <c r="U220" s="10"/>
      <c r="V220" s="20">
        <f>AVERAGE(V221:V225)</f>
        <v>6.8376068376068373</v>
      </c>
      <c r="W220" s="20"/>
      <c r="X220" s="17" t="s">
        <v>98</v>
      </c>
      <c r="Y220" s="26" t="s">
        <v>54</v>
      </c>
      <c r="Z220" s="26"/>
      <c r="AA220" s="26"/>
      <c r="AB220" s="26">
        <f>V220</f>
        <v>6.8376068376068373</v>
      </c>
      <c r="AC220" s="3" t="s">
        <v>883</v>
      </c>
      <c r="AD220" s="3"/>
      <c r="AE220" s="3"/>
      <c r="AF220" s="3"/>
      <c r="AG220" s="3"/>
    </row>
    <row r="221" spans="1:33" s="13" customFormat="1" ht="15" customHeight="1" x14ac:dyDescent="0.3">
      <c r="A221" s="51" t="s">
        <v>433</v>
      </c>
      <c r="B221" s="3" t="s">
        <v>301</v>
      </c>
      <c r="C221" s="3" t="s">
        <v>391</v>
      </c>
      <c r="D221" s="3" t="s">
        <v>164</v>
      </c>
      <c r="E221" s="3" t="s">
        <v>165</v>
      </c>
      <c r="F221" s="3" t="s">
        <v>118</v>
      </c>
      <c r="G221" s="2">
        <v>1994</v>
      </c>
      <c r="H221" s="3" t="s">
        <v>294</v>
      </c>
      <c r="I221" s="3">
        <v>58.75</v>
      </c>
      <c r="J221" s="3">
        <v>-94.07</v>
      </c>
      <c r="K221" s="2">
        <v>121</v>
      </c>
      <c r="L221" s="3" t="s">
        <v>429</v>
      </c>
      <c r="M221" s="3" t="s">
        <v>425</v>
      </c>
      <c r="N221" s="2" t="s">
        <v>414</v>
      </c>
      <c r="O221" s="3" t="s">
        <v>36</v>
      </c>
      <c r="P221" s="5" t="s">
        <v>169</v>
      </c>
      <c r="Q221" s="10"/>
      <c r="R221" s="10"/>
      <c r="S221" s="10"/>
      <c r="T221" s="10"/>
      <c r="U221" s="10"/>
      <c r="V221" s="20">
        <f>W221/0.7488</f>
        <v>2.0032051282051282</v>
      </c>
      <c r="W221" s="17">
        <v>1.5</v>
      </c>
      <c r="X221" s="17" t="s">
        <v>98</v>
      </c>
      <c r="Y221" s="17"/>
      <c r="Z221" s="17"/>
      <c r="AA221" s="17"/>
      <c r="AB221" s="17"/>
      <c r="AC221" s="3" t="s">
        <v>883</v>
      </c>
      <c r="AD221" s="3"/>
      <c r="AE221" s="3"/>
      <c r="AF221" s="3"/>
      <c r="AG221" s="3"/>
    </row>
    <row r="222" spans="1:33" s="13" customFormat="1" ht="15" customHeight="1" x14ac:dyDescent="0.3">
      <c r="A222" s="51" t="s">
        <v>433</v>
      </c>
      <c r="B222" s="3" t="s">
        <v>301</v>
      </c>
      <c r="C222" s="3" t="s">
        <v>391</v>
      </c>
      <c r="D222" s="3" t="s">
        <v>164</v>
      </c>
      <c r="E222" s="3" t="s">
        <v>165</v>
      </c>
      <c r="F222" s="3" t="s">
        <v>118</v>
      </c>
      <c r="G222" s="2">
        <v>1996</v>
      </c>
      <c r="H222" s="3" t="s">
        <v>294</v>
      </c>
      <c r="I222" s="3">
        <v>58.75</v>
      </c>
      <c r="J222" s="3">
        <v>-94.07</v>
      </c>
      <c r="K222" s="2">
        <v>121</v>
      </c>
      <c r="L222" s="3" t="s">
        <v>429</v>
      </c>
      <c r="M222" s="3" t="s">
        <v>425</v>
      </c>
      <c r="N222" s="2" t="s">
        <v>414</v>
      </c>
      <c r="O222" s="3" t="s">
        <v>36</v>
      </c>
      <c r="P222" s="5" t="s">
        <v>169</v>
      </c>
      <c r="Q222" s="10"/>
      <c r="R222" s="10"/>
      <c r="S222" s="10"/>
      <c r="T222" s="10"/>
      <c r="U222" s="10"/>
      <c r="V222" s="20">
        <f>W222/0.7488</f>
        <v>11.08440170940171</v>
      </c>
      <c r="W222" s="17">
        <v>8.3000000000000007</v>
      </c>
      <c r="X222" s="17" t="s">
        <v>98</v>
      </c>
      <c r="Y222" s="17"/>
      <c r="Z222" s="17"/>
      <c r="AA222" s="17"/>
      <c r="AB222" s="17"/>
      <c r="AC222" s="3" t="s">
        <v>883</v>
      </c>
      <c r="AD222" s="3"/>
      <c r="AE222" s="3"/>
      <c r="AF222" s="3"/>
      <c r="AG222" s="3"/>
    </row>
    <row r="223" spans="1:33" s="13" customFormat="1" ht="15" customHeight="1" x14ac:dyDescent="0.3">
      <c r="A223" s="51" t="s">
        <v>433</v>
      </c>
      <c r="B223" s="3" t="s">
        <v>301</v>
      </c>
      <c r="C223" s="3" t="s">
        <v>391</v>
      </c>
      <c r="D223" s="3" t="s">
        <v>164</v>
      </c>
      <c r="E223" s="3" t="s">
        <v>165</v>
      </c>
      <c r="F223" s="3" t="s">
        <v>118</v>
      </c>
      <c r="G223" s="2">
        <v>1997</v>
      </c>
      <c r="H223" s="3" t="s">
        <v>294</v>
      </c>
      <c r="I223" s="3">
        <v>58.75</v>
      </c>
      <c r="J223" s="3">
        <v>-94.07</v>
      </c>
      <c r="K223" s="2">
        <v>121</v>
      </c>
      <c r="L223" s="3" t="s">
        <v>429</v>
      </c>
      <c r="M223" s="3" t="s">
        <v>425</v>
      </c>
      <c r="N223" s="2" t="s">
        <v>414</v>
      </c>
      <c r="O223" s="3" t="s">
        <v>36</v>
      </c>
      <c r="P223" s="5" t="s">
        <v>169</v>
      </c>
      <c r="Q223" s="10"/>
      <c r="R223" s="10"/>
      <c r="S223" s="10"/>
      <c r="T223" s="10"/>
      <c r="U223" s="10"/>
      <c r="V223" s="20">
        <f>W223/0.7488</f>
        <v>6.0096153846153841</v>
      </c>
      <c r="W223" s="17">
        <v>4.5</v>
      </c>
      <c r="X223" s="17" t="s">
        <v>98</v>
      </c>
      <c r="Y223" s="17"/>
      <c r="Z223" s="17"/>
      <c r="AA223" s="17"/>
      <c r="AB223" s="17"/>
      <c r="AC223" s="3" t="s">
        <v>883</v>
      </c>
      <c r="AD223" s="3"/>
      <c r="AE223" s="3"/>
      <c r="AF223" s="3"/>
      <c r="AG223" s="3"/>
    </row>
    <row r="224" spans="1:33" s="13" customFormat="1" ht="15" customHeight="1" x14ac:dyDescent="0.3">
      <c r="A224" s="51" t="s">
        <v>433</v>
      </c>
      <c r="B224" s="3" t="s">
        <v>301</v>
      </c>
      <c r="C224" s="3" t="s">
        <v>391</v>
      </c>
      <c r="D224" s="3" t="s">
        <v>164</v>
      </c>
      <c r="E224" s="3" t="s">
        <v>165</v>
      </c>
      <c r="F224" s="3" t="s">
        <v>118</v>
      </c>
      <c r="G224" s="2">
        <v>1998</v>
      </c>
      <c r="H224" s="3" t="s">
        <v>294</v>
      </c>
      <c r="I224" s="3">
        <v>58.75</v>
      </c>
      <c r="J224" s="3">
        <v>-94.07</v>
      </c>
      <c r="K224" s="2">
        <v>121</v>
      </c>
      <c r="L224" s="3" t="s">
        <v>429</v>
      </c>
      <c r="M224" s="3" t="s">
        <v>425</v>
      </c>
      <c r="N224" s="2" t="s">
        <v>414</v>
      </c>
      <c r="O224" s="3" t="s">
        <v>36</v>
      </c>
      <c r="P224" s="5" t="s">
        <v>169</v>
      </c>
      <c r="Q224" s="10"/>
      <c r="R224" s="10"/>
      <c r="S224" s="10"/>
      <c r="T224" s="10"/>
      <c r="U224" s="10"/>
      <c r="V224" s="20">
        <f>W224/0.7488</f>
        <v>10.016025641025641</v>
      </c>
      <c r="W224" s="17">
        <v>7.5</v>
      </c>
      <c r="X224" s="17" t="s">
        <v>98</v>
      </c>
      <c r="Y224" s="17"/>
      <c r="Z224" s="17"/>
      <c r="AA224" s="17"/>
      <c r="AB224" s="17"/>
      <c r="AC224" s="3" t="s">
        <v>883</v>
      </c>
      <c r="AD224" s="3"/>
      <c r="AE224" s="3"/>
      <c r="AF224" s="3"/>
      <c r="AG224" s="3"/>
    </row>
    <row r="225" spans="1:33" s="13" customFormat="1" ht="15" customHeight="1" x14ac:dyDescent="0.3">
      <c r="A225" s="51" t="s">
        <v>433</v>
      </c>
      <c r="B225" s="3" t="s">
        <v>301</v>
      </c>
      <c r="C225" s="3" t="s">
        <v>391</v>
      </c>
      <c r="D225" s="3" t="s">
        <v>164</v>
      </c>
      <c r="E225" s="3" t="s">
        <v>165</v>
      </c>
      <c r="F225" s="3" t="s">
        <v>118</v>
      </c>
      <c r="G225" s="2">
        <v>1999</v>
      </c>
      <c r="H225" s="3" t="s">
        <v>294</v>
      </c>
      <c r="I225" s="3">
        <v>58.75</v>
      </c>
      <c r="J225" s="3">
        <v>-94.07</v>
      </c>
      <c r="K225" s="2">
        <v>121</v>
      </c>
      <c r="L225" s="3" t="s">
        <v>429</v>
      </c>
      <c r="M225" s="3" t="s">
        <v>425</v>
      </c>
      <c r="N225" s="2" t="s">
        <v>414</v>
      </c>
      <c r="O225" s="3" t="s">
        <v>36</v>
      </c>
      <c r="P225" s="5" t="s">
        <v>169</v>
      </c>
      <c r="Q225" s="10"/>
      <c r="R225" s="10"/>
      <c r="S225" s="10"/>
      <c r="T225" s="10"/>
      <c r="U225" s="10"/>
      <c r="V225" s="20">
        <f>W225/0.7488</f>
        <v>5.0747863247863245</v>
      </c>
      <c r="W225" s="17">
        <v>3.8</v>
      </c>
      <c r="X225" s="17" t="s">
        <v>98</v>
      </c>
      <c r="Y225" s="17"/>
      <c r="Z225" s="17"/>
      <c r="AA225" s="17"/>
      <c r="AB225" s="17"/>
      <c r="AC225" s="3" t="s">
        <v>883</v>
      </c>
      <c r="AD225" s="3"/>
      <c r="AE225" s="3"/>
      <c r="AF225" s="3"/>
      <c r="AG225" s="3"/>
    </row>
    <row r="226" spans="1:33" s="13" customFormat="1" ht="15" customHeight="1" x14ac:dyDescent="0.3">
      <c r="A226" s="32" t="s">
        <v>158</v>
      </c>
      <c r="B226" s="3" t="s">
        <v>301</v>
      </c>
      <c r="C226" s="3" t="s">
        <v>391</v>
      </c>
      <c r="D226" s="3" t="s">
        <v>74</v>
      </c>
      <c r="E226" s="3" t="s">
        <v>159</v>
      </c>
      <c r="F226" s="3" t="s">
        <v>118</v>
      </c>
      <c r="G226" s="2">
        <v>1990</v>
      </c>
      <c r="H226" s="3" t="s">
        <v>140</v>
      </c>
      <c r="I226" s="3">
        <v>51</v>
      </c>
      <c r="J226" s="3">
        <v>-80.5</v>
      </c>
      <c r="K226" s="2">
        <v>163</v>
      </c>
      <c r="L226" s="3" t="s">
        <v>417</v>
      </c>
      <c r="M226" s="3" t="s">
        <v>425</v>
      </c>
      <c r="N226" s="2" t="s">
        <v>414</v>
      </c>
      <c r="O226" s="3" t="s">
        <v>36</v>
      </c>
      <c r="P226" s="5" t="s">
        <v>402</v>
      </c>
      <c r="Q226" s="10">
        <v>2.5</v>
      </c>
      <c r="R226" s="10"/>
      <c r="S226" s="10"/>
      <c r="T226" s="10" t="s">
        <v>86</v>
      </c>
      <c r="U226" s="10"/>
      <c r="V226" s="20">
        <v>0.37</v>
      </c>
      <c r="W226" s="20">
        <v>0.37</v>
      </c>
      <c r="X226" s="3" t="s">
        <v>81</v>
      </c>
      <c r="Y226" s="11" t="s">
        <v>39</v>
      </c>
      <c r="Z226" s="12">
        <f t="shared" ref="Z226:Z235" si="42">6.8/1000*(365-K226)</f>
        <v>1.3735999999999999</v>
      </c>
      <c r="AA226" s="12">
        <f t="shared" ref="AA226:AA236" si="43">V226</f>
        <v>0.37</v>
      </c>
      <c r="AB226" s="12">
        <f t="shared" ref="AB226:AB236" si="44">V226+Z226</f>
        <v>1.7435999999999998</v>
      </c>
      <c r="AC226" s="3" t="s">
        <v>881</v>
      </c>
      <c r="AD226" s="3"/>
      <c r="AE226" s="3"/>
      <c r="AF226" s="3"/>
      <c r="AG226" s="3"/>
    </row>
    <row r="227" spans="1:33" s="13" customFormat="1" ht="15" customHeight="1" x14ac:dyDescent="0.3">
      <c r="A227" s="32" t="s">
        <v>158</v>
      </c>
      <c r="B227" s="3" t="s">
        <v>301</v>
      </c>
      <c r="C227" s="3" t="s">
        <v>391</v>
      </c>
      <c r="D227" s="3" t="s">
        <v>74</v>
      </c>
      <c r="E227" s="3" t="s">
        <v>159</v>
      </c>
      <c r="F227" s="3" t="s">
        <v>118</v>
      </c>
      <c r="G227" s="2">
        <v>1990</v>
      </c>
      <c r="H227" s="3" t="s">
        <v>140</v>
      </c>
      <c r="I227" s="3">
        <v>51</v>
      </c>
      <c r="J227" s="3">
        <v>-80.5</v>
      </c>
      <c r="K227" s="2">
        <v>163</v>
      </c>
      <c r="L227" s="3" t="s">
        <v>121</v>
      </c>
      <c r="M227" s="3" t="s">
        <v>425</v>
      </c>
      <c r="N227" s="2" t="s">
        <v>414</v>
      </c>
      <c r="O227" s="3" t="s">
        <v>36</v>
      </c>
      <c r="P227" s="5"/>
      <c r="Q227" s="10">
        <v>7.9</v>
      </c>
      <c r="R227" s="10"/>
      <c r="S227" s="10"/>
      <c r="T227" s="10" t="s">
        <v>86</v>
      </c>
      <c r="U227" s="10"/>
      <c r="V227" s="20">
        <v>0.66</v>
      </c>
      <c r="W227" s="20">
        <v>0.66</v>
      </c>
      <c r="X227" s="3" t="s">
        <v>81</v>
      </c>
      <c r="Y227" s="11" t="s">
        <v>39</v>
      </c>
      <c r="Z227" s="12">
        <f t="shared" si="42"/>
        <v>1.3735999999999999</v>
      </c>
      <c r="AA227" s="12">
        <f t="shared" si="43"/>
        <v>0.66</v>
      </c>
      <c r="AB227" s="12">
        <f t="shared" si="44"/>
        <v>2.0335999999999999</v>
      </c>
      <c r="AC227" s="3" t="s">
        <v>881</v>
      </c>
      <c r="AD227" s="3"/>
      <c r="AE227" s="3"/>
      <c r="AF227" s="3"/>
      <c r="AG227" s="3"/>
    </row>
    <row r="228" spans="1:33" s="13" customFormat="1" ht="15" customHeight="1" x14ac:dyDescent="0.3">
      <c r="A228" s="32" t="s">
        <v>435</v>
      </c>
      <c r="B228" s="3" t="s">
        <v>301</v>
      </c>
      <c r="C228" s="3" t="s">
        <v>391</v>
      </c>
      <c r="D228" s="3" t="s">
        <v>190</v>
      </c>
      <c r="E228" s="3" t="s">
        <v>436</v>
      </c>
      <c r="F228" s="3" t="s">
        <v>175</v>
      </c>
      <c r="G228" s="2">
        <v>2007</v>
      </c>
      <c r="H228" s="3" t="s">
        <v>437</v>
      </c>
      <c r="I228" s="3">
        <v>54.953840999999997</v>
      </c>
      <c r="J228" s="3">
        <v>-112.46698000000001</v>
      </c>
      <c r="K228" s="2">
        <v>169</v>
      </c>
      <c r="L228" s="40" t="s">
        <v>438</v>
      </c>
      <c r="M228" s="3" t="s">
        <v>439</v>
      </c>
      <c r="N228" s="3"/>
      <c r="O228" s="3" t="s">
        <v>85</v>
      </c>
      <c r="P228" s="5" t="s">
        <v>440</v>
      </c>
      <c r="Q228" s="20">
        <v>25</v>
      </c>
      <c r="R228" s="20"/>
      <c r="S228" s="20"/>
      <c r="T228" s="10" t="s">
        <v>86</v>
      </c>
      <c r="U228" s="10"/>
      <c r="V228" s="20">
        <v>3.2</v>
      </c>
      <c r="W228" s="17"/>
      <c r="X228" s="3" t="s">
        <v>81</v>
      </c>
      <c r="Y228" s="11" t="s">
        <v>39</v>
      </c>
      <c r="Z228" s="12">
        <f t="shared" si="42"/>
        <v>1.3328</v>
      </c>
      <c r="AA228" s="12">
        <f t="shared" si="43"/>
        <v>3.2</v>
      </c>
      <c r="AB228" s="12">
        <f t="shared" si="44"/>
        <v>4.5327999999999999</v>
      </c>
      <c r="AC228" s="3" t="s">
        <v>881</v>
      </c>
      <c r="AD228" s="3"/>
      <c r="AE228" s="3"/>
      <c r="AF228" s="3"/>
      <c r="AG228" s="3"/>
    </row>
    <row r="229" spans="1:33" s="13" customFormat="1" ht="15" customHeight="1" x14ac:dyDescent="0.3">
      <c r="A229" s="3" t="s">
        <v>441</v>
      </c>
      <c r="B229" s="3" t="s">
        <v>301</v>
      </c>
      <c r="C229" s="3" t="s">
        <v>391</v>
      </c>
      <c r="D229" s="3" t="s">
        <v>182</v>
      </c>
      <c r="E229" s="3" t="s">
        <v>442</v>
      </c>
      <c r="F229" s="3" t="s">
        <v>175</v>
      </c>
      <c r="G229" s="2">
        <v>1994</v>
      </c>
      <c r="H229" s="3" t="s">
        <v>443</v>
      </c>
      <c r="I229" s="3">
        <v>53.95</v>
      </c>
      <c r="J229" s="3">
        <v>105.95</v>
      </c>
      <c r="K229" s="2">
        <v>167</v>
      </c>
      <c r="L229" s="3" t="s">
        <v>209</v>
      </c>
      <c r="M229" s="3" t="s">
        <v>444</v>
      </c>
      <c r="N229" s="2">
        <v>7.1</v>
      </c>
      <c r="O229" s="3" t="s">
        <v>85</v>
      </c>
      <c r="P229" s="5" t="s">
        <v>445</v>
      </c>
      <c r="Q229" s="10">
        <f>S229*24</f>
        <v>194.39999999999998</v>
      </c>
      <c r="R229" s="10"/>
      <c r="S229" s="10">
        <v>8.1</v>
      </c>
      <c r="T229" s="10" t="s">
        <v>446</v>
      </c>
      <c r="U229" s="10"/>
      <c r="V229" s="20">
        <f>W229/0.7488</f>
        <v>21.768162393162392</v>
      </c>
      <c r="W229" s="17">
        <v>16.3</v>
      </c>
      <c r="X229" s="17" t="s">
        <v>447</v>
      </c>
      <c r="Y229" s="11" t="s">
        <v>39</v>
      </c>
      <c r="Z229" s="12">
        <f t="shared" si="42"/>
        <v>1.3463999999999998</v>
      </c>
      <c r="AA229" s="12">
        <f t="shared" si="43"/>
        <v>21.768162393162392</v>
      </c>
      <c r="AB229" s="12">
        <f t="shared" si="44"/>
        <v>23.114562393162391</v>
      </c>
      <c r="AC229" s="3" t="s">
        <v>881</v>
      </c>
      <c r="AD229" s="3"/>
      <c r="AE229" s="3"/>
      <c r="AF229" s="3"/>
      <c r="AG229" s="3"/>
    </row>
    <row r="230" spans="1:33" s="13" customFormat="1" ht="15" customHeight="1" x14ac:dyDescent="0.3">
      <c r="A230" s="3" t="s">
        <v>189</v>
      </c>
      <c r="B230" s="3" t="s">
        <v>301</v>
      </c>
      <c r="C230" s="3" t="s">
        <v>391</v>
      </c>
      <c r="D230" s="3" t="s">
        <v>190</v>
      </c>
      <c r="E230" s="3" t="s">
        <v>448</v>
      </c>
      <c r="F230" s="3" t="s">
        <v>175</v>
      </c>
      <c r="G230" s="2">
        <v>1989</v>
      </c>
      <c r="H230" s="3" t="s">
        <v>192</v>
      </c>
      <c r="I230" s="3">
        <v>54.466666666666669</v>
      </c>
      <c r="J230" s="3">
        <v>-113.283333333333</v>
      </c>
      <c r="K230" s="2">
        <v>165</v>
      </c>
      <c r="L230" s="3" t="s">
        <v>449</v>
      </c>
      <c r="M230" s="3" t="s">
        <v>450</v>
      </c>
      <c r="N230" s="2" t="s">
        <v>444</v>
      </c>
      <c r="O230" s="3" t="s">
        <v>36</v>
      </c>
      <c r="P230" s="5" t="s">
        <v>451</v>
      </c>
      <c r="Q230" s="10">
        <v>23.4</v>
      </c>
      <c r="R230" s="10"/>
      <c r="S230" s="10">
        <v>23.4</v>
      </c>
      <c r="T230" s="10" t="s">
        <v>86</v>
      </c>
      <c r="U230" s="10"/>
      <c r="V230" s="20">
        <v>3.4</v>
      </c>
      <c r="W230" s="3"/>
      <c r="X230" s="3" t="s">
        <v>345</v>
      </c>
      <c r="Y230" s="11" t="s">
        <v>39</v>
      </c>
      <c r="Z230" s="12">
        <f t="shared" si="42"/>
        <v>1.3599999999999999</v>
      </c>
      <c r="AA230" s="12">
        <f t="shared" si="43"/>
        <v>3.4</v>
      </c>
      <c r="AB230" s="12">
        <f t="shared" si="44"/>
        <v>4.76</v>
      </c>
      <c r="AC230" s="3" t="s">
        <v>881</v>
      </c>
      <c r="AD230" s="3"/>
      <c r="AE230" s="3"/>
      <c r="AF230" s="3"/>
      <c r="AG230" s="3"/>
    </row>
    <row r="231" spans="1:33" s="13" customFormat="1" ht="15" customHeight="1" x14ac:dyDescent="0.3">
      <c r="A231" s="3" t="s">
        <v>189</v>
      </c>
      <c r="B231" s="3" t="s">
        <v>301</v>
      </c>
      <c r="C231" s="3" t="s">
        <v>391</v>
      </c>
      <c r="D231" s="3" t="s">
        <v>190</v>
      </c>
      <c r="E231" s="3" t="s">
        <v>448</v>
      </c>
      <c r="F231" s="3" t="s">
        <v>175</v>
      </c>
      <c r="G231" s="2">
        <v>1989</v>
      </c>
      <c r="H231" s="3" t="s">
        <v>192</v>
      </c>
      <c r="I231" s="3">
        <v>54.466666666666669</v>
      </c>
      <c r="J231" s="3">
        <v>-113.283333333333</v>
      </c>
      <c r="K231" s="2">
        <v>165</v>
      </c>
      <c r="L231" s="3" t="s">
        <v>452</v>
      </c>
      <c r="M231" s="3" t="s">
        <v>234</v>
      </c>
      <c r="N231" s="2" t="s">
        <v>444</v>
      </c>
      <c r="O231" s="3" t="s">
        <v>36</v>
      </c>
      <c r="P231" s="5" t="s">
        <v>453</v>
      </c>
      <c r="Q231" s="10">
        <v>64.900000000000006</v>
      </c>
      <c r="R231" s="10"/>
      <c r="S231" s="10">
        <v>64.900000000000006</v>
      </c>
      <c r="T231" s="10" t="s">
        <v>86</v>
      </c>
      <c r="U231" s="10"/>
      <c r="V231" s="20">
        <v>9.5</v>
      </c>
      <c r="W231" s="3"/>
      <c r="X231" s="3" t="s">
        <v>345</v>
      </c>
      <c r="Y231" s="11" t="s">
        <v>39</v>
      </c>
      <c r="Z231" s="12">
        <f t="shared" si="42"/>
        <v>1.3599999999999999</v>
      </c>
      <c r="AA231" s="12">
        <f t="shared" si="43"/>
        <v>9.5</v>
      </c>
      <c r="AB231" s="12">
        <f t="shared" si="44"/>
        <v>10.86</v>
      </c>
      <c r="AC231" s="3" t="s">
        <v>881</v>
      </c>
      <c r="AD231" s="3"/>
      <c r="AE231" s="3"/>
      <c r="AF231" s="3"/>
      <c r="AG231" s="3"/>
    </row>
    <row r="232" spans="1:33" s="13" customFormat="1" ht="15" customHeight="1" x14ac:dyDescent="0.3">
      <c r="A232" s="32" t="s">
        <v>454</v>
      </c>
      <c r="B232" s="3" t="s">
        <v>301</v>
      </c>
      <c r="C232" s="3" t="s">
        <v>391</v>
      </c>
      <c r="D232" s="3" t="s">
        <v>182</v>
      </c>
      <c r="E232" s="3" t="s">
        <v>455</v>
      </c>
      <c r="F232" s="3" t="s">
        <v>175</v>
      </c>
      <c r="G232" s="2" t="s">
        <v>456</v>
      </c>
      <c r="H232" s="3" t="s">
        <v>457</v>
      </c>
      <c r="I232" s="3">
        <v>53.46</v>
      </c>
      <c r="J232" s="3">
        <v>-104.36</v>
      </c>
      <c r="K232" s="2">
        <v>166</v>
      </c>
      <c r="L232" s="3" t="s">
        <v>458</v>
      </c>
      <c r="M232" s="3" t="s">
        <v>459</v>
      </c>
      <c r="N232" s="2" t="s">
        <v>460</v>
      </c>
      <c r="O232" s="3" t="s">
        <v>36</v>
      </c>
      <c r="P232" s="5" t="s">
        <v>461</v>
      </c>
      <c r="Q232" s="20">
        <f>S232*16.04</f>
        <v>17.162800000000001</v>
      </c>
      <c r="R232" s="20"/>
      <c r="S232" s="17">
        <v>1.07</v>
      </c>
      <c r="T232" s="22" t="s">
        <v>188</v>
      </c>
      <c r="U232" s="22"/>
      <c r="V232" s="20">
        <f>W232/1000*16.04</f>
        <v>0.60951999999999995</v>
      </c>
      <c r="W232" s="17">
        <v>38</v>
      </c>
      <c r="X232" s="22" t="s">
        <v>462</v>
      </c>
      <c r="Y232" s="11" t="s">
        <v>39</v>
      </c>
      <c r="Z232" s="12">
        <f t="shared" si="42"/>
        <v>1.3532</v>
      </c>
      <c r="AA232" s="12">
        <f t="shared" si="43"/>
        <v>0.60951999999999995</v>
      </c>
      <c r="AB232" s="12">
        <f t="shared" si="44"/>
        <v>1.96272</v>
      </c>
      <c r="AC232" s="3" t="s">
        <v>881</v>
      </c>
      <c r="AD232" s="3"/>
      <c r="AE232" s="3"/>
      <c r="AF232" s="3"/>
      <c r="AG232" s="3"/>
    </row>
    <row r="233" spans="1:33" s="13" customFormat="1" ht="15" customHeight="1" x14ac:dyDescent="0.3">
      <c r="A233" s="32" t="s">
        <v>454</v>
      </c>
      <c r="B233" s="3" t="s">
        <v>301</v>
      </c>
      <c r="C233" s="3" t="s">
        <v>391</v>
      </c>
      <c r="D233" s="3" t="s">
        <v>182</v>
      </c>
      <c r="E233" s="3" t="s">
        <v>455</v>
      </c>
      <c r="F233" s="3" t="s">
        <v>175</v>
      </c>
      <c r="G233" s="2" t="s">
        <v>456</v>
      </c>
      <c r="H233" s="3" t="s">
        <v>457</v>
      </c>
      <c r="I233" s="3">
        <v>53.46</v>
      </c>
      <c r="J233" s="3">
        <v>-104.36</v>
      </c>
      <c r="K233" s="2">
        <v>166</v>
      </c>
      <c r="L233" s="3" t="s">
        <v>458</v>
      </c>
      <c r="M233" s="3" t="s">
        <v>463</v>
      </c>
      <c r="N233" s="2" t="s">
        <v>460</v>
      </c>
      <c r="O233" s="3" t="s">
        <v>36</v>
      </c>
      <c r="P233" s="5" t="s">
        <v>461</v>
      </c>
      <c r="Q233" s="20">
        <f t="shared" ref="Q233:Q236" si="45">S233*16.04</f>
        <v>119.01679999999999</v>
      </c>
      <c r="R233" s="20"/>
      <c r="S233" s="17">
        <v>7.42</v>
      </c>
      <c r="T233" s="22" t="s">
        <v>188</v>
      </c>
      <c r="U233" s="22"/>
      <c r="V233" s="20">
        <f>W233/1000*16.04</f>
        <v>19.408399999999997</v>
      </c>
      <c r="W233" s="17">
        <v>1210</v>
      </c>
      <c r="X233" s="22" t="s">
        <v>462</v>
      </c>
      <c r="Y233" s="11" t="s">
        <v>39</v>
      </c>
      <c r="Z233" s="12">
        <f t="shared" si="42"/>
        <v>1.3532</v>
      </c>
      <c r="AA233" s="12">
        <f t="shared" si="43"/>
        <v>19.408399999999997</v>
      </c>
      <c r="AB233" s="12">
        <f t="shared" si="44"/>
        <v>20.761599999999998</v>
      </c>
      <c r="AC233" s="3" t="s">
        <v>881</v>
      </c>
      <c r="AD233" s="3"/>
      <c r="AE233" s="3"/>
      <c r="AF233" s="3"/>
      <c r="AG233" s="3"/>
    </row>
    <row r="234" spans="1:33" s="13" customFormat="1" ht="15" customHeight="1" x14ac:dyDescent="0.3">
      <c r="A234" s="32" t="s">
        <v>454</v>
      </c>
      <c r="B234" s="3" t="s">
        <v>301</v>
      </c>
      <c r="C234" s="3" t="s">
        <v>391</v>
      </c>
      <c r="D234" s="3" t="s">
        <v>182</v>
      </c>
      <c r="E234" s="3" t="s">
        <v>455</v>
      </c>
      <c r="F234" s="3" t="s">
        <v>175</v>
      </c>
      <c r="G234" s="2" t="s">
        <v>456</v>
      </c>
      <c r="H234" s="3" t="s">
        <v>457</v>
      </c>
      <c r="I234" s="3">
        <v>53.46</v>
      </c>
      <c r="J234" s="3">
        <v>-104.36</v>
      </c>
      <c r="K234" s="2">
        <v>166</v>
      </c>
      <c r="L234" s="3" t="s">
        <v>458</v>
      </c>
      <c r="M234" s="3" t="s">
        <v>464</v>
      </c>
      <c r="N234" s="2" t="s">
        <v>460</v>
      </c>
      <c r="O234" s="3" t="s">
        <v>36</v>
      </c>
      <c r="P234" s="5" t="s">
        <v>461</v>
      </c>
      <c r="Q234" s="20">
        <f t="shared" si="45"/>
        <v>221.352</v>
      </c>
      <c r="R234" s="20"/>
      <c r="S234" s="17">
        <v>13.8</v>
      </c>
      <c r="T234" s="22" t="s">
        <v>188</v>
      </c>
      <c r="U234" s="22"/>
      <c r="V234" s="20">
        <f>W234/1000*16.04</f>
        <v>36.089999999999996</v>
      </c>
      <c r="W234" s="17">
        <v>2250</v>
      </c>
      <c r="X234" s="22" t="s">
        <v>462</v>
      </c>
      <c r="Y234" s="11" t="s">
        <v>39</v>
      </c>
      <c r="Z234" s="12">
        <f t="shared" si="42"/>
        <v>1.3532</v>
      </c>
      <c r="AA234" s="12">
        <f t="shared" si="43"/>
        <v>36.089999999999996</v>
      </c>
      <c r="AB234" s="12">
        <f t="shared" si="44"/>
        <v>37.443199999999997</v>
      </c>
      <c r="AC234" s="3" t="s">
        <v>881</v>
      </c>
      <c r="AD234" s="3"/>
      <c r="AE234" s="3"/>
      <c r="AF234" s="3"/>
      <c r="AG234" s="3"/>
    </row>
    <row r="235" spans="1:33" s="13" customFormat="1" ht="15" customHeight="1" x14ac:dyDescent="0.3">
      <c r="A235" s="32" t="s">
        <v>454</v>
      </c>
      <c r="B235" s="3" t="s">
        <v>301</v>
      </c>
      <c r="C235" s="3" t="s">
        <v>391</v>
      </c>
      <c r="D235" s="3" t="s">
        <v>182</v>
      </c>
      <c r="E235" s="3" t="s">
        <v>455</v>
      </c>
      <c r="F235" s="3" t="s">
        <v>175</v>
      </c>
      <c r="G235" s="2" t="s">
        <v>456</v>
      </c>
      <c r="H235" s="3" t="s">
        <v>457</v>
      </c>
      <c r="I235" s="3">
        <v>53.46</v>
      </c>
      <c r="J235" s="3">
        <v>-104.36</v>
      </c>
      <c r="K235" s="2">
        <v>166</v>
      </c>
      <c r="L235" s="3" t="s">
        <v>458</v>
      </c>
      <c r="M235" s="3" t="s">
        <v>465</v>
      </c>
      <c r="N235" s="2" t="s">
        <v>460</v>
      </c>
      <c r="O235" s="3" t="s">
        <v>36</v>
      </c>
      <c r="P235" s="5" t="s">
        <v>461</v>
      </c>
      <c r="Q235" s="20">
        <f t="shared" si="45"/>
        <v>192.6404</v>
      </c>
      <c r="R235" s="20"/>
      <c r="S235" s="17">
        <v>12.01</v>
      </c>
      <c r="T235" s="22" t="s">
        <v>188</v>
      </c>
      <c r="U235" s="22"/>
      <c r="V235" s="20">
        <f>W235/1000*16.04</f>
        <v>31.390280000000001</v>
      </c>
      <c r="W235" s="17">
        <v>1957</v>
      </c>
      <c r="X235" s="22" t="s">
        <v>462</v>
      </c>
      <c r="Y235" s="11" t="s">
        <v>39</v>
      </c>
      <c r="Z235" s="12">
        <f t="shared" si="42"/>
        <v>1.3532</v>
      </c>
      <c r="AA235" s="12">
        <f t="shared" si="43"/>
        <v>31.390280000000001</v>
      </c>
      <c r="AB235" s="12">
        <f t="shared" si="44"/>
        <v>32.743479999999998</v>
      </c>
      <c r="AC235" s="3" t="s">
        <v>881</v>
      </c>
      <c r="AD235" s="3"/>
      <c r="AE235" s="3"/>
      <c r="AF235" s="3"/>
      <c r="AG235" s="3"/>
    </row>
    <row r="236" spans="1:33" s="13" customFormat="1" ht="15" customHeight="1" x14ac:dyDescent="0.3">
      <c r="A236" s="32" t="s">
        <v>454</v>
      </c>
      <c r="B236" s="3" t="s">
        <v>301</v>
      </c>
      <c r="C236" s="3" t="s">
        <v>391</v>
      </c>
      <c r="D236" s="3" t="s">
        <v>182</v>
      </c>
      <c r="E236" s="3" t="s">
        <v>455</v>
      </c>
      <c r="F236" s="3" t="s">
        <v>175</v>
      </c>
      <c r="G236" s="2" t="s">
        <v>456</v>
      </c>
      <c r="H236" s="3" t="s">
        <v>457</v>
      </c>
      <c r="I236" s="3">
        <v>53.46</v>
      </c>
      <c r="J236" s="3">
        <v>-104.36</v>
      </c>
      <c r="K236" s="2">
        <v>166</v>
      </c>
      <c r="L236" s="3" t="s">
        <v>458</v>
      </c>
      <c r="M236" s="20" t="s">
        <v>466</v>
      </c>
      <c r="N236" s="2" t="s">
        <v>460</v>
      </c>
      <c r="O236" s="3" t="s">
        <v>36</v>
      </c>
      <c r="P236" s="5" t="s">
        <v>461</v>
      </c>
      <c r="Q236" s="20">
        <f t="shared" si="45"/>
        <v>60.470799999999997</v>
      </c>
      <c r="R236" s="20"/>
      <c r="S236" s="17">
        <v>3.77</v>
      </c>
      <c r="T236" s="22" t="s">
        <v>188</v>
      </c>
      <c r="U236" s="22"/>
      <c r="V236" s="20">
        <f>W236/1000*16.04</f>
        <v>9.8645999999999994</v>
      </c>
      <c r="W236" s="17">
        <v>615</v>
      </c>
      <c r="X236" s="22" t="s">
        <v>462</v>
      </c>
      <c r="Y236" s="11" t="s">
        <v>39</v>
      </c>
      <c r="Z236" s="12">
        <f>6.8/1000*(365-K236)</f>
        <v>1.3532</v>
      </c>
      <c r="AA236" s="12">
        <f t="shared" si="43"/>
        <v>9.8645999999999994</v>
      </c>
      <c r="AB236" s="12">
        <f t="shared" si="44"/>
        <v>11.217799999999999</v>
      </c>
      <c r="AC236" s="3" t="s">
        <v>881</v>
      </c>
      <c r="AD236" s="3"/>
      <c r="AE236" s="3"/>
      <c r="AF236" s="3"/>
      <c r="AG236" s="3"/>
    </row>
    <row r="237" spans="1:33" s="18" customFormat="1" ht="15" customHeight="1" x14ac:dyDescent="0.3">
      <c r="A237" s="32" t="s">
        <v>172</v>
      </c>
      <c r="B237" s="20" t="s">
        <v>301</v>
      </c>
      <c r="C237" s="20" t="s">
        <v>391</v>
      </c>
      <c r="D237" s="20" t="s">
        <v>173</v>
      </c>
      <c r="E237" s="20" t="s">
        <v>174</v>
      </c>
      <c r="F237" s="20" t="s">
        <v>175</v>
      </c>
      <c r="G237" s="23" t="s">
        <v>176</v>
      </c>
      <c r="H237" s="20" t="s">
        <v>177</v>
      </c>
      <c r="I237" s="20">
        <v>55.85</v>
      </c>
      <c r="J237" s="20">
        <v>-107.683333333333</v>
      </c>
      <c r="K237" s="23">
        <v>165</v>
      </c>
      <c r="L237" s="20" t="s">
        <v>467</v>
      </c>
      <c r="M237" s="20"/>
      <c r="N237" s="23" t="s">
        <v>414</v>
      </c>
      <c r="O237" s="20" t="s">
        <v>36</v>
      </c>
      <c r="P237" s="21" t="s">
        <v>468</v>
      </c>
      <c r="Q237" s="20">
        <f>S237/1000*16.04</f>
        <v>0.19039479999999998</v>
      </c>
      <c r="R237" s="20"/>
      <c r="S237" s="17">
        <v>11.87</v>
      </c>
      <c r="T237" s="22" t="s">
        <v>180</v>
      </c>
      <c r="U237" s="7">
        <f>Q237*K237/1000</f>
        <v>3.1415141999999993E-2</v>
      </c>
      <c r="V237" s="20"/>
      <c r="W237" s="20"/>
      <c r="X237" s="20"/>
      <c r="Y237" s="9" t="s">
        <v>39</v>
      </c>
      <c r="Z237" s="9">
        <f t="shared" ref="Z237:Z238" si="46">6.8/1000*(365-K237)</f>
        <v>1.3599999999999999</v>
      </c>
      <c r="AA237" s="9">
        <f>U237</f>
        <v>3.1415141999999993E-2</v>
      </c>
      <c r="AB237" s="9">
        <f>U237+Z237</f>
        <v>1.3914151419999998</v>
      </c>
      <c r="AC237" s="3" t="s">
        <v>881</v>
      </c>
      <c r="AD237" s="20"/>
      <c r="AE237" s="20"/>
      <c r="AF237" s="20"/>
      <c r="AG237" s="20"/>
    </row>
    <row r="238" spans="1:33" s="18" customFormat="1" ht="15" customHeight="1" x14ac:dyDescent="0.3">
      <c r="A238" s="32" t="s">
        <v>181</v>
      </c>
      <c r="B238" s="20" t="s">
        <v>301</v>
      </c>
      <c r="C238" s="20" t="s">
        <v>391</v>
      </c>
      <c r="D238" s="20" t="s">
        <v>182</v>
      </c>
      <c r="E238" s="20" t="s">
        <v>174</v>
      </c>
      <c r="F238" s="20" t="s">
        <v>175</v>
      </c>
      <c r="G238" s="23" t="s">
        <v>183</v>
      </c>
      <c r="H238" s="20" t="s">
        <v>184</v>
      </c>
      <c r="I238" s="20">
        <v>54.116666666666667</v>
      </c>
      <c r="J238" s="20">
        <v>-108.51666666666701</v>
      </c>
      <c r="K238" s="23">
        <v>165</v>
      </c>
      <c r="L238" s="20" t="s">
        <v>467</v>
      </c>
      <c r="M238" s="20"/>
      <c r="N238" s="23" t="s">
        <v>414</v>
      </c>
      <c r="O238" s="20" t="s">
        <v>36</v>
      </c>
      <c r="P238" s="21" t="s">
        <v>469</v>
      </c>
      <c r="Q238" s="20">
        <f>S238*16.04</f>
        <v>25.664000000000001</v>
      </c>
      <c r="R238" s="20"/>
      <c r="S238" s="17">
        <v>1.6</v>
      </c>
      <c r="T238" s="22" t="s">
        <v>188</v>
      </c>
      <c r="U238" s="7">
        <f>Q238*K238/1000</f>
        <v>4.2345600000000001</v>
      </c>
      <c r="V238" s="20"/>
      <c r="W238" s="20"/>
      <c r="X238" s="20"/>
      <c r="Y238" s="9" t="s">
        <v>39</v>
      </c>
      <c r="Z238" s="9">
        <f t="shared" si="46"/>
        <v>1.3599999999999999</v>
      </c>
      <c r="AA238" s="9">
        <f>U238</f>
        <v>4.2345600000000001</v>
      </c>
      <c r="AB238" s="9">
        <f>U238+Z238</f>
        <v>5.5945599999999995</v>
      </c>
      <c r="AC238" s="3" t="s">
        <v>881</v>
      </c>
      <c r="AD238" s="20"/>
      <c r="AE238" s="20"/>
      <c r="AF238" s="20"/>
      <c r="AG238" s="20"/>
    </row>
    <row r="239" spans="1:33" s="13" customFormat="1" ht="15" customHeight="1" x14ac:dyDescent="0.3">
      <c r="A239" s="3" t="s">
        <v>470</v>
      </c>
      <c r="B239" s="3" t="s">
        <v>301</v>
      </c>
      <c r="C239" s="3" t="s">
        <v>391</v>
      </c>
      <c r="D239" s="3" t="s">
        <v>471</v>
      </c>
      <c r="E239" s="3" t="s">
        <v>472</v>
      </c>
      <c r="F239" s="3" t="s">
        <v>175</v>
      </c>
      <c r="G239" s="2" t="s">
        <v>473</v>
      </c>
      <c r="H239" s="3" t="s">
        <v>192</v>
      </c>
      <c r="I239" s="3">
        <v>54</v>
      </c>
      <c r="J239" s="3">
        <v>-113</v>
      </c>
      <c r="K239" s="2">
        <v>166</v>
      </c>
      <c r="L239" s="3"/>
      <c r="M239" s="3"/>
      <c r="N239" s="2" t="s">
        <v>414</v>
      </c>
      <c r="O239" s="3" t="s">
        <v>36</v>
      </c>
      <c r="P239" s="5" t="s">
        <v>474</v>
      </c>
      <c r="Q239" s="10"/>
      <c r="R239" s="30">
        <f>((V239*1000)-((365-K239)*7))/K239</f>
        <v>329.80120481927713</v>
      </c>
      <c r="S239" s="10"/>
      <c r="T239" s="10"/>
      <c r="U239" s="10"/>
      <c r="V239" s="20">
        <f>AVERAGE(V240:V242)</f>
        <v>56.140000000000008</v>
      </c>
      <c r="W239" s="17">
        <v>4.5999999999999996</v>
      </c>
      <c r="X239" s="17" t="s">
        <v>475</v>
      </c>
      <c r="Y239" s="26" t="s">
        <v>476</v>
      </c>
      <c r="Z239" s="26"/>
      <c r="AA239" s="12">
        <f>V239</f>
        <v>56.140000000000008</v>
      </c>
      <c r="AB239" s="26">
        <f>V239</f>
        <v>56.140000000000008</v>
      </c>
      <c r="AC239" s="3" t="s">
        <v>881</v>
      </c>
      <c r="AD239" s="3"/>
      <c r="AE239" s="3"/>
      <c r="AF239" s="3"/>
      <c r="AG239" s="3"/>
    </row>
    <row r="240" spans="1:33" s="13" customFormat="1" ht="15" customHeight="1" x14ac:dyDescent="0.3">
      <c r="A240" s="3" t="s">
        <v>470</v>
      </c>
      <c r="B240" s="3" t="s">
        <v>301</v>
      </c>
      <c r="C240" s="3" t="s">
        <v>391</v>
      </c>
      <c r="D240" s="3" t="s">
        <v>471</v>
      </c>
      <c r="E240" s="3" t="s">
        <v>472</v>
      </c>
      <c r="F240" s="3" t="s">
        <v>175</v>
      </c>
      <c r="G240" s="2">
        <v>1994</v>
      </c>
      <c r="H240" s="3" t="s">
        <v>192</v>
      </c>
      <c r="I240" s="3">
        <v>54</v>
      </c>
      <c r="J240" s="3">
        <v>-113</v>
      </c>
      <c r="K240" s="2">
        <v>166</v>
      </c>
      <c r="L240" s="3"/>
      <c r="M240" s="3"/>
      <c r="N240" s="2" t="s">
        <v>414</v>
      </c>
      <c r="O240" s="3" t="s">
        <v>36</v>
      </c>
      <c r="P240" s="5" t="s">
        <v>474</v>
      </c>
      <c r="Q240" s="10"/>
      <c r="R240" s="10"/>
      <c r="S240" s="10"/>
      <c r="T240" s="10"/>
      <c r="U240" s="10"/>
      <c r="V240" s="20">
        <f>W240*16.04</f>
        <v>73.783999999999992</v>
      </c>
      <c r="W240" s="17">
        <v>4.5999999999999996</v>
      </c>
      <c r="X240" s="17" t="s">
        <v>475</v>
      </c>
      <c r="Y240" s="17"/>
      <c r="Z240" s="17"/>
      <c r="AA240" s="17"/>
      <c r="AB240" s="17"/>
      <c r="AC240" s="8" t="s">
        <v>884</v>
      </c>
      <c r="AD240" s="3"/>
      <c r="AE240" s="3"/>
      <c r="AF240" s="3"/>
      <c r="AG240" s="3"/>
    </row>
    <row r="241" spans="1:33" s="13" customFormat="1" ht="15" customHeight="1" x14ac:dyDescent="0.3">
      <c r="A241" s="3" t="s">
        <v>470</v>
      </c>
      <c r="B241" s="3" t="s">
        <v>301</v>
      </c>
      <c r="C241" s="3" t="s">
        <v>391</v>
      </c>
      <c r="D241" s="3" t="s">
        <v>471</v>
      </c>
      <c r="E241" s="3" t="s">
        <v>472</v>
      </c>
      <c r="F241" s="3" t="s">
        <v>175</v>
      </c>
      <c r="G241" s="2">
        <v>1995</v>
      </c>
      <c r="H241" s="3" t="s">
        <v>192</v>
      </c>
      <c r="I241" s="3">
        <v>54</v>
      </c>
      <c r="J241" s="3">
        <v>-113</v>
      </c>
      <c r="K241" s="2">
        <v>166</v>
      </c>
      <c r="L241" s="3"/>
      <c r="M241" s="3"/>
      <c r="N241" s="2" t="s">
        <v>414</v>
      </c>
      <c r="O241" s="3" t="s">
        <v>36</v>
      </c>
      <c r="P241" s="5" t="s">
        <v>474</v>
      </c>
      <c r="Q241" s="10"/>
      <c r="R241" s="10"/>
      <c r="S241" s="10"/>
      <c r="T241" s="10"/>
      <c r="U241" s="10"/>
      <c r="V241" s="20">
        <f>W241*16.04</f>
        <v>35.288000000000004</v>
      </c>
      <c r="W241" s="17">
        <v>2.2000000000000002</v>
      </c>
      <c r="X241" s="17" t="s">
        <v>475</v>
      </c>
      <c r="Y241" s="17"/>
      <c r="Z241" s="17"/>
      <c r="AA241" s="17"/>
      <c r="AB241" s="17"/>
      <c r="AC241" s="8" t="s">
        <v>884</v>
      </c>
      <c r="AD241" s="3"/>
      <c r="AE241" s="3"/>
      <c r="AF241" s="3"/>
      <c r="AG241" s="3"/>
    </row>
    <row r="242" spans="1:33" s="13" customFormat="1" ht="15" customHeight="1" x14ac:dyDescent="0.3">
      <c r="A242" s="3" t="s">
        <v>470</v>
      </c>
      <c r="B242" s="3" t="s">
        <v>301</v>
      </c>
      <c r="C242" s="3" t="s">
        <v>391</v>
      </c>
      <c r="D242" s="3" t="s">
        <v>471</v>
      </c>
      <c r="E242" s="3" t="s">
        <v>472</v>
      </c>
      <c r="F242" s="3" t="s">
        <v>175</v>
      </c>
      <c r="G242" s="2">
        <v>1996</v>
      </c>
      <c r="H242" s="3" t="s">
        <v>192</v>
      </c>
      <c r="I242" s="3">
        <v>54</v>
      </c>
      <c r="J242" s="3">
        <v>-113</v>
      </c>
      <c r="K242" s="2">
        <v>166</v>
      </c>
      <c r="L242" s="3"/>
      <c r="M242" s="3"/>
      <c r="N242" s="2" t="s">
        <v>414</v>
      </c>
      <c r="O242" s="3" t="s">
        <v>36</v>
      </c>
      <c r="P242" s="5" t="s">
        <v>474</v>
      </c>
      <c r="Q242" s="10"/>
      <c r="R242" s="10"/>
      <c r="S242" s="10"/>
      <c r="T242" s="10"/>
      <c r="U242" s="10"/>
      <c r="V242" s="20">
        <f>W242*16.04</f>
        <v>59.347999999999999</v>
      </c>
      <c r="W242" s="17">
        <v>3.7</v>
      </c>
      <c r="X242" s="17" t="s">
        <v>475</v>
      </c>
      <c r="Y242" s="17"/>
      <c r="Z242" s="17"/>
      <c r="AA242" s="17"/>
      <c r="AB242" s="17"/>
      <c r="AC242" s="8" t="s">
        <v>884</v>
      </c>
      <c r="AD242" s="3"/>
      <c r="AE242" s="3"/>
      <c r="AF242" s="3"/>
      <c r="AG242" s="3"/>
    </row>
    <row r="243" spans="1:33" s="13" customFormat="1" ht="15" customHeight="1" x14ac:dyDescent="0.3">
      <c r="A243" s="3" t="s">
        <v>371</v>
      </c>
      <c r="B243" s="3" t="s">
        <v>301</v>
      </c>
      <c r="C243" s="3" t="s">
        <v>391</v>
      </c>
      <c r="D243" s="3" t="s">
        <v>74</v>
      </c>
      <c r="E243" s="3" t="s">
        <v>372</v>
      </c>
      <c r="F243" s="3" t="s">
        <v>200</v>
      </c>
      <c r="G243" s="2" t="s">
        <v>373</v>
      </c>
      <c r="H243" s="3" t="s">
        <v>374</v>
      </c>
      <c r="I243" s="3">
        <v>48.35</v>
      </c>
      <c r="J243" s="3">
        <v>-85.35</v>
      </c>
      <c r="K243" s="2">
        <v>168</v>
      </c>
      <c r="L243" s="3" t="s">
        <v>477</v>
      </c>
      <c r="M243" s="3"/>
      <c r="N243" s="2"/>
      <c r="O243" s="3" t="s">
        <v>36</v>
      </c>
      <c r="P243" s="5"/>
      <c r="Q243" s="10">
        <v>99.240639171449729</v>
      </c>
      <c r="R243" s="10"/>
      <c r="S243" s="10"/>
      <c r="T243" s="10" t="s">
        <v>86</v>
      </c>
      <c r="U243" s="7">
        <f t="shared" ref="U243:U257" si="47">Q243*K243/1000</f>
        <v>16.672427380803555</v>
      </c>
      <c r="V243" s="20"/>
      <c r="W243" s="3"/>
      <c r="X243" s="3"/>
      <c r="Y243" s="9" t="s">
        <v>39</v>
      </c>
      <c r="Z243" s="9">
        <f t="shared" ref="Z243:Z257" si="48">6.8/1000*(365-K243)</f>
        <v>1.3395999999999999</v>
      </c>
      <c r="AA243" s="9">
        <f t="shared" ref="AA243:AA257" si="49">U243</f>
        <v>16.672427380803555</v>
      </c>
      <c r="AB243" s="9">
        <f t="shared" ref="AB243:AB257" si="50">U243+Z243</f>
        <v>18.012027380803556</v>
      </c>
      <c r="AC243" s="3" t="s">
        <v>881</v>
      </c>
      <c r="AD243" s="3"/>
      <c r="AE243" s="3"/>
      <c r="AF243" s="3"/>
      <c r="AG243" s="3"/>
    </row>
    <row r="244" spans="1:33" s="13" customFormat="1" ht="15" customHeight="1" x14ac:dyDescent="0.3">
      <c r="A244" s="3" t="s">
        <v>371</v>
      </c>
      <c r="B244" s="3" t="s">
        <v>301</v>
      </c>
      <c r="C244" s="3" t="s">
        <v>391</v>
      </c>
      <c r="D244" s="3" t="s">
        <v>74</v>
      </c>
      <c r="E244" s="3" t="s">
        <v>372</v>
      </c>
      <c r="F244" s="3" t="s">
        <v>200</v>
      </c>
      <c r="G244" s="2" t="s">
        <v>373</v>
      </c>
      <c r="H244" s="3" t="s">
        <v>374</v>
      </c>
      <c r="I244" s="3">
        <v>48.35</v>
      </c>
      <c r="J244" s="3">
        <v>-85.35</v>
      </c>
      <c r="K244" s="2">
        <v>168</v>
      </c>
      <c r="L244" s="3" t="s">
        <v>478</v>
      </c>
      <c r="M244" s="3"/>
      <c r="N244" s="2"/>
      <c r="O244" s="3" t="s">
        <v>36</v>
      </c>
      <c r="P244" s="5"/>
      <c r="Q244" s="10">
        <v>107.82473496872056</v>
      </c>
      <c r="R244" s="10"/>
      <c r="S244" s="10"/>
      <c r="T244" s="10" t="s">
        <v>86</v>
      </c>
      <c r="U244" s="7">
        <f t="shared" si="47"/>
        <v>18.114555474745057</v>
      </c>
      <c r="V244" s="20"/>
      <c r="W244" s="3"/>
      <c r="X244" s="3"/>
      <c r="Y244" s="9" t="s">
        <v>39</v>
      </c>
      <c r="Z244" s="9">
        <f t="shared" si="48"/>
        <v>1.3395999999999999</v>
      </c>
      <c r="AA244" s="9">
        <f t="shared" si="49"/>
        <v>18.114555474745057</v>
      </c>
      <c r="AB244" s="9">
        <f t="shared" si="50"/>
        <v>19.454155474745058</v>
      </c>
      <c r="AC244" s="3" t="s">
        <v>881</v>
      </c>
      <c r="AD244" s="3"/>
      <c r="AE244" s="3"/>
      <c r="AF244" s="3"/>
      <c r="AG244" s="3"/>
    </row>
    <row r="245" spans="1:33" s="3" customFormat="1" ht="15" customHeight="1" x14ac:dyDescent="0.3">
      <c r="A245" s="3" t="s">
        <v>198</v>
      </c>
      <c r="B245" s="3" t="s">
        <v>301</v>
      </c>
      <c r="C245" s="3" t="s">
        <v>391</v>
      </c>
      <c r="D245" s="3" t="s">
        <v>74</v>
      </c>
      <c r="E245" s="3" t="s">
        <v>199</v>
      </c>
      <c r="F245" s="3" t="s">
        <v>200</v>
      </c>
      <c r="G245" s="2">
        <v>1991</v>
      </c>
      <c r="H245" s="3" t="s">
        <v>192</v>
      </c>
      <c r="I245" s="3">
        <v>49</v>
      </c>
      <c r="J245" s="3">
        <v>-80</v>
      </c>
      <c r="K245" s="2">
        <v>165</v>
      </c>
      <c r="L245" s="3" t="s">
        <v>479</v>
      </c>
      <c r="M245" s="3" t="s">
        <v>480</v>
      </c>
      <c r="N245" s="2">
        <v>5.4</v>
      </c>
      <c r="O245" s="3" t="s">
        <v>36</v>
      </c>
      <c r="P245" s="5" t="s">
        <v>481</v>
      </c>
      <c r="Q245" s="10">
        <v>34.6</v>
      </c>
      <c r="R245" s="10"/>
      <c r="S245" s="10"/>
      <c r="T245" s="10" t="s">
        <v>86</v>
      </c>
      <c r="U245" s="7">
        <f t="shared" si="47"/>
        <v>5.7089999999999996</v>
      </c>
      <c r="V245" s="20"/>
      <c r="Y245" s="9" t="s">
        <v>39</v>
      </c>
      <c r="Z245" s="9">
        <f t="shared" si="48"/>
        <v>1.3599999999999999</v>
      </c>
      <c r="AA245" s="9">
        <f t="shared" si="49"/>
        <v>5.7089999999999996</v>
      </c>
      <c r="AB245" s="9">
        <f t="shared" si="50"/>
        <v>7.0689999999999991</v>
      </c>
      <c r="AC245" s="3" t="s">
        <v>881</v>
      </c>
    </row>
    <row r="246" spans="1:33" s="3" customFormat="1" ht="15" customHeight="1" x14ac:dyDescent="0.3">
      <c r="A246" s="3" t="s">
        <v>198</v>
      </c>
      <c r="B246" s="3" t="s">
        <v>301</v>
      </c>
      <c r="C246" s="3" t="s">
        <v>391</v>
      </c>
      <c r="D246" s="3" t="s">
        <v>74</v>
      </c>
      <c r="E246" s="3" t="s">
        <v>199</v>
      </c>
      <c r="F246" s="3" t="s">
        <v>200</v>
      </c>
      <c r="G246" s="2">
        <v>1991</v>
      </c>
      <c r="H246" s="3" t="s">
        <v>192</v>
      </c>
      <c r="I246" s="3">
        <v>49</v>
      </c>
      <c r="J246" s="3">
        <v>-80</v>
      </c>
      <c r="K246" s="2">
        <v>165</v>
      </c>
      <c r="L246" s="3" t="s">
        <v>482</v>
      </c>
      <c r="M246" s="3" t="s">
        <v>229</v>
      </c>
      <c r="N246" s="2">
        <v>5.5</v>
      </c>
      <c r="O246" s="3" t="s">
        <v>36</v>
      </c>
      <c r="P246" s="5" t="s">
        <v>481</v>
      </c>
      <c r="Q246" s="10">
        <v>61.1</v>
      </c>
      <c r="R246" s="10"/>
      <c r="S246" s="10"/>
      <c r="T246" s="10" t="s">
        <v>86</v>
      </c>
      <c r="U246" s="7">
        <f t="shared" si="47"/>
        <v>10.0815</v>
      </c>
      <c r="V246" s="20"/>
      <c r="Y246" s="9" t="s">
        <v>39</v>
      </c>
      <c r="Z246" s="9">
        <f t="shared" si="48"/>
        <v>1.3599999999999999</v>
      </c>
      <c r="AA246" s="9">
        <f t="shared" si="49"/>
        <v>10.0815</v>
      </c>
      <c r="AB246" s="9">
        <f t="shared" si="50"/>
        <v>11.4415</v>
      </c>
      <c r="AC246" s="3" t="s">
        <v>881</v>
      </c>
    </row>
    <row r="247" spans="1:33" s="3" customFormat="1" ht="15" customHeight="1" x14ac:dyDescent="0.3">
      <c r="A247" s="3" t="s">
        <v>198</v>
      </c>
      <c r="B247" s="3" t="s">
        <v>301</v>
      </c>
      <c r="C247" s="3" t="s">
        <v>391</v>
      </c>
      <c r="D247" s="3" t="s">
        <v>74</v>
      </c>
      <c r="E247" s="3" t="s">
        <v>199</v>
      </c>
      <c r="F247" s="3" t="s">
        <v>200</v>
      </c>
      <c r="G247" s="2">
        <v>1991</v>
      </c>
      <c r="H247" s="3" t="s">
        <v>192</v>
      </c>
      <c r="I247" s="3">
        <v>49</v>
      </c>
      <c r="J247" s="3">
        <v>-80</v>
      </c>
      <c r="K247" s="2">
        <v>165</v>
      </c>
      <c r="L247" s="3" t="s">
        <v>483</v>
      </c>
      <c r="M247" s="3" t="s">
        <v>71</v>
      </c>
      <c r="N247" s="2">
        <v>5.4</v>
      </c>
      <c r="O247" s="3" t="s">
        <v>36</v>
      </c>
      <c r="P247" s="5" t="s">
        <v>484</v>
      </c>
      <c r="Q247" s="10">
        <v>3.8</v>
      </c>
      <c r="R247" s="10"/>
      <c r="S247" s="10"/>
      <c r="T247" s="10" t="s">
        <v>86</v>
      </c>
      <c r="U247" s="7">
        <f t="shared" si="47"/>
        <v>0.627</v>
      </c>
      <c r="V247" s="20"/>
      <c r="Y247" s="9" t="s">
        <v>39</v>
      </c>
      <c r="Z247" s="9">
        <f t="shared" si="48"/>
        <v>1.3599999999999999</v>
      </c>
      <c r="AA247" s="9">
        <f t="shared" si="49"/>
        <v>0.627</v>
      </c>
      <c r="AB247" s="9">
        <f t="shared" si="50"/>
        <v>1.9869999999999999</v>
      </c>
      <c r="AC247" s="3" t="s">
        <v>881</v>
      </c>
    </row>
    <row r="248" spans="1:33" s="3" customFormat="1" ht="15" customHeight="1" x14ac:dyDescent="0.3">
      <c r="A248" s="3" t="s">
        <v>198</v>
      </c>
      <c r="B248" s="3" t="s">
        <v>301</v>
      </c>
      <c r="C248" s="3" t="s">
        <v>391</v>
      </c>
      <c r="D248" s="3" t="s">
        <v>74</v>
      </c>
      <c r="E248" s="3" t="s">
        <v>199</v>
      </c>
      <c r="F248" s="3" t="s">
        <v>200</v>
      </c>
      <c r="G248" s="2">
        <v>1991</v>
      </c>
      <c r="H248" s="3" t="s">
        <v>192</v>
      </c>
      <c r="I248" s="3">
        <v>49</v>
      </c>
      <c r="J248" s="3">
        <v>-80</v>
      </c>
      <c r="K248" s="2">
        <v>165</v>
      </c>
      <c r="L248" s="3" t="s">
        <v>485</v>
      </c>
      <c r="M248" s="3" t="s">
        <v>355</v>
      </c>
      <c r="N248" s="2">
        <v>5.4</v>
      </c>
      <c r="O248" s="3" t="s">
        <v>36</v>
      </c>
      <c r="P248" s="5" t="s">
        <v>484</v>
      </c>
      <c r="Q248" s="10">
        <v>32.6</v>
      </c>
      <c r="R248" s="10"/>
      <c r="S248" s="10"/>
      <c r="T248" s="10" t="s">
        <v>86</v>
      </c>
      <c r="U248" s="7">
        <f t="shared" si="47"/>
        <v>5.3789999999999996</v>
      </c>
      <c r="V248" s="20"/>
      <c r="Y248" s="9" t="s">
        <v>39</v>
      </c>
      <c r="Z248" s="9">
        <f t="shared" si="48"/>
        <v>1.3599999999999999</v>
      </c>
      <c r="AA248" s="9">
        <f t="shared" si="49"/>
        <v>5.3789999999999996</v>
      </c>
      <c r="AB248" s="9">
        <f t="shared" si="50"/>
        <v>6.738999999999999</v>
      </c>
      <c r="AC248" s="3" t="s">
        <v>881</v>
      </c>
    </row>
    <row r="249" spans="1:33" s="13" customFormat="1" ht="15" customHeight="1" x14ac:dyDescent="0.3">
      <c r="A249" s="3" t="s">
        <v>198</v>
      </c>
      <c r="B249" s="3" t="s">
        <v>301</v>
      </c>
      <c r="C249" s="3" t="s">
        <v>391</v>
      </c>
      <c r="D249" s="3" t="s">
        <v>74</v>
      </c>
      <c r="E249" s="3" t="s">
        <v>199</v>
      </c>
      <c r="F249" s="3" t="s">
        <v>200</v>
      </c>
      <c r="G249" s="2">
        <v>1991</v>
      </c>
      <c r="H249" s="3" t="s">
        <v>192</v>
      </c>
      <c r="I249" s="3">
        <v>49</v>
      </c>
      <c r="J249" s="3">
        <v>-80</v>
      </c>
      <c r="K249" s="2">
        <v>165</v>
      </c>
      <c r="L249" s="3" t="s">
        <v>486</v>
      </c>
      <c r="M249" s="3" t="s">
        <v>71</v>
      </c>
      <c r="N249" s="2">
        <v>6.2</v>
      </c>
      <c r="O249" s="3" t="s">
        <v>36</v>
      </c>
      <c r="P249" s="5" t="s">
        <v>207</v>
      </c>
      <c r="Q249" s="20">
        <f>AVERAGE(0.1,0.6)</f>
        <v>0.35</v>
      </c>
      <c r="R249" s="20"/>
      <c r="S249" s="20"/>
      <c r="T249" s="10" t="s">
        <v>86</v>
      </c>
      <c r="U249" s="7">
        <f t="shared" si="47"/>
        <v>5.7749999999999996E-2</v>
      </c>
      <c r="V249" s="20"/>
      <c r="W249" s="3"/>
      <c r="X249" s="3"/>
      <c r="Y249" s="9" t="s">
        <v>39</v>
      </c>
      <c r="Z249" s="9">
        <f t="shared" si="48"/>
        <v>1.3599999999999999</v>
      </c>
      <c r="AA249" s="9">
        <f t="shared" si="49"/>
        <v>5.7749999999999996E-2</v>
      </c>
      <c r="AB249" s="9">
        <f t="shared" si="50"/>
        <v>1.4177499999999998</v>
      </c>
      <c r="AC249" s="3" t="s">
        <v>881</v>
      </c>
      <c r="AD249" s="3"/>
      <c r="AE249" s="3"/>
      <c r="AF249" s="3"/>
      <c r="AG249" s="3"/>
    </row>
    <row r="250" spans="1:33" s="13" customFormat="1" ht="15" customHeight="1" x14ac:dyDescent="0.3">
      <c r="A250" s="3" t="s">
        <v>198</v>
      </c>
      <c r="B250" s="3" t="s">
        <v>301</v>
      </c>
      <c r="C250" s="3" t="s">
        <v>391</v>
      </c>
      <c r="D250" s="3" t="s">
        <v>74</v>
      </c>
      <c r="E250" s="3" t="s">
        <v>199</v>
      </c>
      <c r="F250" s="3" t="s">
        <v>200</v>
      </c>
      <c r="G250" s="2">
        <v>1991</v>
      </c>
      <c r="H250" s="3" t="s">
        <v>192</v>
      </c>
      <c r="I250" s="3">
        <v>49</v>
      </c>
      <c r="J250" s="3">
        <v>-80</v>
      </c>
      <c r="K250" s="2">
        <v>165</v>
      </c>
      <c r="L250" s="3" t="s">
        <v>486</v>
      </c>
      <c r="M250" s="3" t="s">
        <v>355</v>
      </c>
      <c r="N250" s="2">
        <v>6.3</v>
      </c>
      <c r="O250" s="3" t="s">
        <v>36</v>
      </c>
      <c r="P250" s="5" t="s">
        <v>210</v>
      </c>
      <c r="Q250" s="20">
        <v>15.1</v>
      </c>
      <c r="R250" s="20"/>
      <c r="S250" s="20"/>
      <c r="T250" s="10" t="s">
        <v>86</v>
      </c>
      <c r="U250" s="7">
        <f t="shared" si="47"/>
        <v>2.4914999999999998</v>
      </c>
      <c r="V250" s="20"/>
      <c r="W250" s="3"/>
      <c r="X250" s="3"/>
      <c r="Y250" s="9" t="s">
        <v>39</v>
      </c>
      <c r="Z250" s="9">
        <f t="shared" si="48"/>
        <v>1.3599999999999999</v>
      </c>
      <c r="AA250" s="9">
        <f t="shared" si="49"/>
        <v>2.4914999999999998</v>
      </c>
      <c r="AB250" s="9">
        <f t="shared" si="50"/>
        <v>3.8514999999999997</v>
      </c>
      <c r="AC250" s="3" t="s">
        <v>881</v>
      </c>
      <c r="AD250" s="3"/>
      <c r="AE250" s="3"/>
      <c r="AF250" s="3"/>
      <c r="AG250" s="3"/>
    </row>
    <row r="251" spans="1:33" s="13" customFormat="1" ht="15" customHeight="1" x14ac:dyDescent="0.3">
      <c r="A251" s="3" t="s">
        <v>211</v>
      </c>
      <c r="B251" s="3" t="s">
        <v>301</v>
      </c>
      <c r="C251" s="3" t="s">
        <v>391</v>
      </c>
      <c r="D251" s="3" t="s">
        <v>363</v>
      </c>
      <c r="E251" s="3" t="s">
        <v>212</v>
      </c>
      <c r="F251" s="3" t="s">
        <v>200</v>
      </c>
      <c r="G251" s="2">
        <v>1991</v>
      </c>
      <c r="H251" s="3" t="s">
        <v>192</v>
      </c>
      <c r="I251" s="3">
        <v>49.1</v>
      </c>
      <c r="J251" s="3">
        <v>-82.45</v>
      </c>
      <c r="K251" s="2">
        <v>167</v>
      </c>
      <c r="L251" s="3" t="s">
        <v>487</v>
      </c>
      <c r="M251" s="3" t="s">
        <v>71</v>
      </c>
      <c r="N251" s="2" t="s">
        <v>488</v>
      </c>
      <c r="O251" s="3" t="s">
        <v>36</v>
      </c>
      <c r="P251" s="5" t="s">
        <v>489</v>
      </c>
      <c r="Q251" s="10">
        <v>0.6</v>
      </c>
      <c r="R251" s="10"/>
      <c r="S251" s="10"/>
      <c r="T251" s="10" t="s">
        <v>86</v>
      </c>
      <c r="U251" s="7">
        <f t="shared" si="47"/>
        <v>0.1002</v>
      </c>
      <c r="V251" s="20"/>
      <c r="W251" s="3"/>
      <c r="X251" s="3"/>
      <c r="Y251" s="9" t="s">
        <v>39</v>
      </c>
      <c r="Z251" s="9">
        <f t="shared" si="48"/>
        <v>1.3463999999999998</v>
      </c>
      <c r="AA251" s="9">
        <f t="shared" si="49"/>
        <v>0.1002</v>
      </c>
      <c r="AB251" s="9">
        <f t="shared" si="50"/>
        <v>1.4465999999999999</v>
      </c>
      <c r="AC251" s="3" t="s">
        <v>881</v>
      </c>
      <c r="AD251" s="3"/>
      <c r="AE251" s="3"/>
      <c r="AF251" s="3"/>
      <c r="AG251" s="3"/>
    </row>
    <row r="252" spans="1:33" s="13" customFormat="1" ht="15" customHeight="1" x14ac:dyDescent="0.3">
      <c r="A252" s="3" t="s">
        <v>211</v>
      </c>
      <c r="B252" s="3" t="s">
        <v>301</v>
      </c>
      <c r="C252" s="3" t="s">
        <v>391</v>
      </c>
      <c r="D252" s="3" t="s">
        <v>363</v>
      </c>
      <c r="E252" s="3" t="s">
        <v>212</v>
      </c>
      <c r="F252" s="3" t="s">
        <v>200</v>
      </c>
      <c r="G252" s="2">
        <v>1991</v>
      </c>
      <c r="H252" s="3" t="s">
        <v>192</v>
      </c>
      <c r="I252" s="3">
        <v>49.1</v>
      </c>
      <c r="J252" s="3">
        <v>-82.45</v>
      </c>
      <c r="K252" s="2">
        <v>167</v>
      </c>
      <c r="L252" s="3" t="s">
        <v>487</v>
      </c>
      <c r="M252" s="3" t="s">
        <v>143</v>
      </c>
      <c r="N252" s="2" t="s">
        <v>488</v>
      </c>
      <c r="O252" s="3" t="s">
        <v>36</v>
      </c>
      <c r="P252" s="5" t="s">
        <v>490</v>
      </c>
      <c r="Q252" s="10">
        <v>34.6</v>
      </c>
      <c r="R252" s="10"/>
      <c r="S252" s="10"/>
      <c r="T252" s="10" t="s">
        <v>86</v>
      </c>
      <c r="U252" s="7">
        <f t="shared" si="47"/>
        <v>5.7782</v>
      </c>
      <c r="V252" s="20"/>
      <c r="W252" s="3"/>
      <c r="X252" s="3"/>
      <c r="Y252" s="9" t="s">
        <v>39</v>
      </c>
      <c r="Z252" s="9">
        <f t="shared" si="48"/>
        <v>1.3463999999999998</v>
      </c>
      <c r="AA252" s="9">
        <f t="shared" si="49"/>
        <v>5.7782</v>
      </c>
      <c r="AB252" s="9">
        <f t="shared" si="50"/>
        <v>7.1246</v>
      </c>
      <c r="AC252" s="3" t="s">
        <v>881</v>
      </c>
      <c r="AD252" s="3"/>
      <c r="AE252" s="3"/>
      <c r="AF252" s="3"/>
      <c r="AG252" s="3"/>
    </row>
    <row r="253" spans="1:33" s="13" customFormat="1" ht="15" customHeight="1" x14ac:dyDescent="0.3">
      <c r="A253" s="3" t="s">
        <v>211</v>
      </c>
      <c r="B253" s="3" t="s">
        <v>301</v>
      </c>
      <c r="C253" s="3" t="s">
        <v>391</v>
      </c>
      <c r="D253" s="3" t="s">
        <v>363</v>
      </c>
      <c r="E253" s="3" t="s">
        <v>212</v>
      </c>
      <c r="F253" s="3" t="s">
        <v>200</v>
      </c>
      <c r="G253" s="2">
        <v>1991</v>
      </c>
      <c r="H253" s="3" t="s">
        <v>192</v>
      </c>
      <c r="I253" s="3">
        <v>49.1</v>
      </c>
      <c r="J253" s="3">
        <v>-82.45</v>
      </c>
      <c r="K253" s="2">
        <v>167</v>
      </c>
      <c r="L253" s="3" t="s">
        <v>487</v>
      </c>
      <c r="M253" s="3" t="s">
        <v>355</v>
      </c>
      <c r="N253" s="2" t="s">
        <v>488</v>
      </c>
      <c r="O253" s="3" t="s">
        <v>36</v>
      </c>
      <c r="P253" s="5" t="s">
        <v>491</v>
      </c>
      <c r="Q253" s="10">
        <v>29.9</v>
      </c>
      <c r="R253" s="10"/>
      <c r="S253" s="10"/>
      <c r="T253" s="10" t="s">
        <v>86</v>
      </c>
      <c r="U253" s="7">
        <f t="shared" si="47"/>
        <v>4.9933000000000005</v>
      </c>
      <c r="V253" s="20"/>
      <c r="W253" s="3"/>
      <c r="X253" s="3"/>
      <c r="Y253" s="9" t="s">
        <v>39</v>
      </c>
      <c r="Z253" s="9">
        <f t="shared" si="48"/>
        <v>1.3463999999999998</v>
      </c>
      <c r="AA253" s="9">
        <f t="shared" si="49"/>
        <v>4.9933000000000005</v>
      </c>
      <c r="AB253" s="9">
        <f t="shared" si="50"/>
        <v>6.3397000000000006</v>
      </c>
      <c r="AC253" s="3" t="s">
        <v>881</v>
      </c>
      <c r="AD253" s="3"/>
      <c r="AE253" s="3"/>
      <c r="AF253" s="3"/>
      <c r="AG253" s="3"/>
    </row>
    <row r="254" spans="1:33" s="13" customFormat="1" ht="15" customHeight="1" x14ac:dyDescent="0.3">
      <c r="A254" s="3" t="s">
        <v>211</v>
      </c>
      <c r="B254" s="3" t="s">
        <v>301</v>
      </c>
      <c r="C254" s="3" t="s">
        <v>391</v>
      </c>
      <c r="D254" s="3" t="s">
        <v>363</v>
      </c>
      <c r="E254" s="3" t="s">
        <v>212</v>
      </c>
      <c r="F254" s="3" t="s">
        <v>200</v>
      </c>
      <c r="G254" s="2">
        <v>1991</v>
      </c>
      <c r="H254" s="3" t="s">
        <v>192</v>
      </c>
      <c r="I254" s="3">
        <v>49.1</v>
      </c>
      <c r="J254" s="3">
        <v>-82.45</v>
      </c>
      <c r="K254" s="2">
        <v>167</v>
      </c>
      <c r="L254" s="3" t="s">
        <v>492</v>
      </c>
      <c r="M254" s="3" t="s">
        <v>71</v>
      </c>
      <c r="N254" s="2" t="s">
        <v>493</v>
      </c>
      <c r="O254" s="3" t="s">
        <v>36</v>
      </c>
      <c r="P254" s="5" t="s">
        <v>494</v>
      </c>
      <c r="Q254" s="10">
        <v>1.95</v>
      </c>
      <c r="R254" s="10"/>
      <c r="S254" s="10"/>
      <c r="T254" s="10" t="s">
        <v>86</v>
      </c>
      <c r="U254" s="7">
        <f t="shared" si="47"/>
        <v>0.32565</v>
      </c>
      <c r="V254" s="20"/>
      <c r="W254" s="3"/>
      <c r="X254" s="3"/>
      <c r="Y254" s="9" t="s">
        <v>39</v>
      </c>
      <c r="Z254" s="9">
        <f t="shared" si="48"/>
        <v>1.3463999999999998</v>
      </c>
      <c r="AA254" s="9">
        <f t="shared" si="49"/>
        <v>0.32565</v>
      </c>
      <c r="AB254" s="9">
        <f t="shared" si="50"/>
        <v>1.6720499999999998</v>
      </c>
      <c r="AC254" s="3" t="s">
        <v>881</v>
      </c>
      <c r="AD254" s="3"/>
      <c r="AE254" s="3"/>
      <c r="AF254" s="3"/>
      <c r="AG254" s="3"/>
    </row>
    <row r="255" spans="1:33" s="13" customFormat="1" ht="15" customHeight="1" x14ac:dyDescent="0.3">
      <c r="A255" s="3" t="s">
        <v>211</v>
      </c>
      <c r="B255" s="3" t="s">
        <v>301</v>
      </c>
      <c r="C255" s="3" t="s">
        <v>391</v>
      </c>
      <c r="D255" s="3" t="s">
        <v>363</v>
      </c>
      <c r="E255" s="3" t="s">
        <v>212</v>
      </c>
      <c r="F255" s="3" t="s">
        <v>200</v>
      </c>
      <c r="G255" s="2">
        <v>1991</v>
      </c>
      <c r="H255" s="3" t="s">
        <v>192</v>
      </c>
      <c r="I255" s="3">
        <v>49.1</v>
      </c>
      <c r="J255" s="3">
        <v>-82.45</v>
      </c>
      <c r="K255" s="2">
        <v>167</v>
      </c>
      <c r="L255" s="3" t="s">
        <v>492</v>
      </c>
      <c r="M255" s="3" t="s">
        <v>143</v>
      </c>
      <c r="N255" s="2" t="s">
        <v>493</v>
      </c>
      <c r="O255" s="3" t="s">
        <v>36</v>
      </c>
      <c r="P255" s="5" t="s">
        <v>495</v>
      </c>
      <c r="Q255" s="10">
        <v>30.8</v>
      </c>
      <c r="R255" s="10"/>
      <c r="S255" s="10"/>
      <c r="T255" s="10" t="s">
        <v>86</v>
      </c>
      <c r="U255" s="7">
        <f t="shared" si="47"/>
        <v>5.1436000000000002</v>
      </c>
      <c r="V255" s="20"/>
      <c r="W255" s="3"/>
      <c r="X255" s="3"/>
      <c r="Y255" s="9" t="s">
        <v>39</v>
      </c>
      <c r="Z255" s="9">
        <f t="shared" si="48"/>
        <v>1.3463999999999998</v>
      </c>
      <c r="AA255" s="9">
        <f t="shared" si="49"/>
        <v>5.1436000000000002</v>
      </c>
      <c r="AB255" s="9">
        <f t="shared" si="50"/>
        <v>6.49</v>
      </c>
      <c r="AC255" s="3" t="s">
        <v>881</v>
      </c>
      <c r="AD255" s="3"/>
      <c r="AE255" s="3"/>
      <c r="AF255" s="3"/>
      <c r="AG255" s="3"/>
    </row>
    <row r="256" spans="1:33" s="13" customFormat="1" ht="15" customHeight="1" x14ac:dyDescent="0.3">
      <c r="A256" s="3" t="s">
        <v>211</v>
      </c>
      <c r="B256" s="3" t="s">
        <v>301</v>
      </c>
      <c r="C256" s="3" t="s">
        <v>391</v>
      </c>
      <c r="D256" s="3" t="s">
        <v>363</v>
      </c>
      <c r="E256" s="3" t="s">
        <v>212</v>
      </c>
      <c r="F256" s="3" t="s">
        <v>200</v>
      </c>
      <c r="G256" s="2">
        <v>1991</v>
      </c>
      <c r="H256" s="3" t="s">
        <v>192</v>
      </c>
      <c r="I256" s="3">
        <v>49.1</v>
      </c>
      <c r="J256" s="3">
        <v>-82.45</v>
      </c>
      <c r="K256" s="2">
        <v>167</v>
      </c>
      <c r="L256" s="3" t="s">
        <v>492</v>
      </c>
      <c r="M256" s="3" t="s">
        <v>355</v>
      </c>
      <c r="N256" s="2" t="s">
        <v>493</v>
      </c>
      <c r="O256" s="3" t="s">
        <v>36</v>
      </c>
      <c r="P256" s="5" t="s">
        <v>496</v>
      </c>
      <c r="Q256" s="3">
        <v>16.45</v>
      </c>
      <c r="R256" s="3"/>
      <c r="S256" s="3"/>
      <c r="T256" s="10" t="s">
        <v>86</v>
      </c>
      <c r="U256" s="7">
        <f t="shared" si="47"/>
        <v>2.74715</v>
      </c>
      <c r="V256" s="20"/>
      <c r="W256" s="3"/>
      <c r="X256" s="3"/>
      <c r="Y256" s="9" t="s">
        <v>39</v>
      </c>
      <c r="Z256" s="9">
        <f t="shared" si="48"/>
        <v>1.3463999999999998</v>
      </c>
      <c r="AA256" s="9">
        <f t="shared" si="49"/>
        <v>2.74715</v>
      </c>
      <c r="AB256" s="9">
        <f t="shared" si="50"/>
        <v>4.0935499999999996</v>
      </c>
      <c r="AC256" s="3" t="s">
        <v>881</v>
      </c>
      <c r="AD256" s="3"/>
      <c r="AE256" s="3"/>
      <c r="AF256" s="3"/>
      <c r="AG256" s="3"/>
    </row>
    <row r="257" spans="1:33" s="13" customFormat="1" ht="15" customHeight="1" x14ac:dyDescent="0.3">
      <c r="A257" s="3" t="s">
        <v>497</v>
      </c>
      <c r="B257" s="3" t="s">
        <v>301</v>
      </c>
      <c r="C257" s="3" t="s">
        <v>391</v>
      </c>
      <c r="D257" s="3" t="s">
        <v>164</v>
      </c>
      <c r="E257" s="3" t="s">
        <v>226</v>
      </c>
      <c r="F257" s="3" t="s">
        <v>200</v>
      </c>
      <c r="G257" s="2" t="s">
        <v>473</v>
      </c>
      <c r="H257" s="3" t="s">
        <v>227</v>
      </c>
      <c r="I257" s="3">
        <v>55.91</v>
      </c>
      <c r="J257" s="3">
        <v>-98.42</v>
      </c>
      <c r="K257" s="2">
        <v>150</v>
      </c>
      <c r="L257" s="3" t="s">
        <v>209</v>
      </c>
      <c r="M257" s="3" t="s">
        <v>498</v>
      </c>
      <c r="N257" s="2"/>
      <c r="O257" s="3"/>
      <c r="P257" s="5"/>
      <c r="Q257" s="3">
        <f>AVERAGE(Q258:Q259)</f>
        <v>200.625</v>
      </c>
      <c r="R257" s="3"/>
      <c r="S257" s="3"/>
      <c r="T257" s="10"/>
      <c r="U257" s="7">
        <f t="shared" si="47"/>
        <v>30.09375</v>
      </c>
      <c r="V257" s="20"/>
      <c r="W257" s="3"/>
      <c r="X257" s="3"/>
      <c r="Y257" s="9" t="s">
        <v>39</v>
      </c>
      <c r="Z257" s="9">
        <f t="shared" si="48"/>
        <v>1.462</v>
      </c>
      <c r="AA257" s="9">
        <f t="shared" si="49"/>
        <v>30.09375</v>
      </c>
      <c r="AB257" s="9">
        <f t="shared" si="50"/>
        <v>31.55575</v>
      </c>
      <c r="AC257" s="3" t="s">
        <v>881</v>
      </c>
      <c r="AD257" s="3"/>
      <c r="AE257" s="3"/>
      <c r="AF257" s="3"/>
      <c r="AG257" s="3"/>
    </row>
    <row r="258" spans="1:33" s="13" customFormat="1" ht="15" customHeight="1" x14ac:dyDescent="0.3">
      <c r="A258" s="3" t="s">
        <v>225</v>
      </c>
      <c r="B258" s="3" t="s">
        <v>301</v>
      </c>
      <c r="C258" s="3" t="s">
        <v>391</v>
      </c>
      <c r="D258" s="3" t="s">
        <v>164</v>
      </c>
      <c r="E258" s="3" t="s">
        <v>226</v>
      </c>
      <c r="F258" s="3" t="s">
        <v>200</v>
      </c>
      <c r="G258" s="2">
        <v>1994</v>
      </c>
      <c r="H258" s="3" t="s">
        <v>227</v>
      </c>
      <c r="I258" s="3">
        <v>55.91</v>
      </c>
      <c r="J258" s="3">
        <v>-98.42</v>
      </c>
      <c r="K258" s="2">
        <v>150</v>
      </c>
      <c r="L258" s="3" t="s">
        <v>209</v>
      </c>
      <c r="M258" s="3" t="s">
        <v>498</v>
      </c>
      <c r="N258" s="2">
        <v>5.9</v>
      </c>
      <c r="O258" s="3" t="s">
        <v>36</v>
      </c>
      <c r="P258" s="5" t="s">
        <v>499</v>
      </c>
      <c r="Q258" s="20">
        <f>AVERAGE(92.3,210.2)</f>
        <v>151.25</v>
      </c>
      <c r="R258" s="20"/>
      <c r="S258" s="20"/>
      <c r="T258" s="10" t="s">
        <v>86</v>
      </c>
      <c r="U258" s="10"/>
      <c r="V258" s="20"/>
      <c r="W258" s="3"/>
      <c r="X258" s="3"/>
      <c r="Y258" s="3"/>
      <c r="Z258" s="3"/>
      <c r="AA258" s="3"/>
      <c r="AB258" s="3"/>
      <c r="AC258" s="8" t="s">
        <v>884</v>
      </c>
      <c r="AD258" s="3"/>
      <c r="AE258" s="3"/>
      <c r="AF258" s="3"/>
      <c r="AG258" s="3"/>
    </row>
    <row r="259" spans="1:33" s="13" customFormat="1" ht="15" customHeight="1" x14ac:dyDescent="0.3">
      <c r="A259" s="3" t="s">
        <v>350</v>
      </c>
      <c r="B259" s="3" t="s">
        <v>301</v>
      </c>
      <c r="C259" s="3" t="s">
        <v>391</v>
      </c>
      <c r="D259" s="3" t="s">
        <v>164</v>
      </c>
      <c r="E259" s="3" t="s">
        <v>226</v>
      </c>
      <c r="F259" s="3" t="s">
        <v>200</v>
      </c>
      <c r="G259" s="2">
        <v>1996</v>
      </c>
      <c r="H259" s="3" t="s">
        <v>227</v>
      </c>
      <c r="I259" s="3">
        <v>55.91</v>
      </c>
      <c r="J259" s="3">
        <v>-98.42</v>
      </c>
      <c r="K259" s="2">
        <v>150</v>
      </c>
      <c r="L259" s="3" t="s">
        <v>209</v>
      </c>
      <c r="M259" s="3" t="s">
        <v>234</v>
      </c>
      <c r="N259" s="2">
        <v>5.9</v>
      </c>
      <c r="O259" s="3" t="s">
        <v>36</v>
      </c>
      <c r="P259" s="5" t="s">
        <v>499</v>
      </c>
      <c r="Q259" s="10">
        <v>250</v>
      </c>
      <c r="R259" s="10"/>
      <c r="S259" s="10"/>
      <c r="T259" s="10" t="s">
        <v>86</v>
      </c>
      <c r="U259" s="10"/>
      <c r="V259" s="20"/>
      <c r="W259" s="3"/>
      <c r="X259" s="3"/>
      <c r="Y259" s="3"/>
      <c r="Z259" s="3"/>
      <c r="AA259" s="3"/>
      <c r="AB259" s="3"/>
      <c r="AC259" s="8" t="s">
        <v>884</v>
      </c>
      <c r="AD259" s="3"/>
      <c r="AE259" s="3"/>
      <c r="AF259" s="3"/>
      <c r="AG259" s="3"/>
    </row>
    <row r="260" spans="1:33" s="13" customFormat="1" ht="15" customHeight="1" x14ac:dyDescent="0.3">
      <c r="A260" s="3" t="s">
        <v>497</v>
      </c>
      <c r="B260" s="3" t="s">
        <v>301</v>
      </c>
      <c r="C260" s="3" t="s">
        <v>391</v>
      </c>
      <c r="D260" s="3" t="s">
        <v>164</v>
      </c>
      <c r="E260" s="3" t="s">
        <v>226</v>
      </c>
      <c r="F260" s="3" t="s">
        <v>200</v>
      </c>
      <c r="G260" s="2" t="s">
        <v>473</v>
      </c>
      <c r="H260" s="3" t="s">
        <v>227</v>
      </c>
      <c r="I260" s="3">
        <v>55.91</v>
      </c>
      <c r="J260" s="3">
        <v>-98.42</v>
      </c>
      <c r="K260" s="2">
        <v>150</v>
      </c>
      <c r="L260" s="3" t="s">
        <v>482</v>
      </c>
      <c r="M260" s="3" t="s">
        <v>500</v>
      </c>
      <c r="N260" s="2"/>
      <c r="O260" s="3"/>
      <c r="P260" s="5"/>
      <c r="Q260" s="3">
        <f>AVERAGE(Q261:Q262)</f>
        <v>69.325000000000003</v>
      </c>
      <c r="R260" s="3"/>
      <c r="S260" s="10"/>
      <c r="T260" s="10"/>
      <c r="U260" s="7">
        <f>Q260*K260/1000</f>
        <v>10.39875</v>
      </c>
      <c r="V260" s="20"/>
      <c r="W260" s="3"/>
      <c r="X260" s="3"/>
      <c r="Y260" s="9" t="s">
        <v>39</v>
      </c>
      <c r="Z260" s="9">
        <f>6.8/1000*(365-K260)</f>
        <v>1.462</v>
      </c>
      <c r="AA260" s="9">
        <f>U260</f>
        <v>10.39875</v>
      </c>
      <c r="AB260" s="9">
        <f>U260+Z260</f>
        <v>11.860749999999999</v>
      </c>
      <c r="AC260" s="3" t="s">
        <v>881</v>
      </c>
      <c r="AD260" s="3"/>
      <c r="AE260" s="3"/>
      <c r="AF260" s="3"/>
      <c r="AG260" s="3"/>
    </row>
    <row r="261" spans="1:33" s="13" customFormat="1" ht="15" customHeight="1" x14ac:dyDescent="0.3">
      <c r="A261" s="3" t="s">
        <v>225</v>
      </c>
      <c r="B261" s="3" t="s">
        <v>301</v>
      </c>
      <c r="C261" s="3" t="s">
        <v>391</v>
      </c>
      <c r="D261" s="3" t="s">
        <v>164</v>
      </c>
      <c r="E261" s="3" t="s">
        <v>226</v>
      </c>
      <c r="F261" s="3" t="s">
        <v>200</v>
      </c>
      <c r="G261" s="2">
        <v>1994</v>
      </c>
      <c r="H261" s="3" t="s">
        <v>227</v>
      </c>
      <c r="I261" s="3">
        <v>55.91</v>
      </c>
      <c r="J261" s="3">
        <v>-98.42</v>
      </c>
      <c r="K261" s="2">
        <v>150</v>
      </c>
      <c r="L261" s="3" t="s">
        <v>482</v>
      </c>
      <c r="M261" s="3" t="s">
        <v>500</v>
      </c>
      <c r="N261" s="2">
        <v>6</v>
      </c>
      <c r="O261" s="3" t="s">
        <v>36</v>
      </c>
      <c r="P261" s="5" t="s">
        <v>501</v>
      </c>
      <c r="Q261" s="20">
        <f>AVERAGE(60.5,76.8)</f>
        <v>68.650000000000006</v>
      </c>
      <c r="R261" s="20"/>
      <c r="S261" s="20"/>
      <c r="T261" s="10" t="s">
        <v>86</v>
      </c>
      <c r="U261" s="10"/>
      <c r="V261" s="20"/>
      <c r="W261" s="3"/>
      <c r="X261" s="3"/>
      <c r="Y261" s="3"/>
      <c r="Z261" s="3"/>
      <c r="AA261" s="3"/>
      <c r="AB261" s="3"/>
      <c r="AC261" s="8" t="s">
        <v>884</v>
      </c>
      <c r="AD261" s="3"/>
      <c r="AE261" s="3"/>
      <c r="AF261" s="3"/>
      <c r="AG261" s="3"/>
    </row>
    <row r="262" spans="1:33" s="13" customFormat="1" ht="15" customHeight="1" x14ac:dyDescent="0.3">
      <c r="A262" s="3" t="s">
        <v>350</v>
      </c>
      <c r="B262" s="3" t="s">
        <v>301</v>
      </c>
      <c r="C262" s="3" t="s">
        <v>391</v>
      </c>
      <c r="D262" s="3" t="s">
        <v>164</v>
      </c>
      <c r="E262" s="3" t="s">
        <v>226</v>
      </c>
      <c r="F262" s="3" t="s">
        <v>200</v>
      </c>
      <c r="G262" s="2">
        <v>1996</v>
      </c>
      <c r="H262" s="3" t="s">
        <v>227</v>
      </c>
      <c r="I262" s="3">
        <v>55.91</v>
      </c>
      <c r="J262" s="3">
        <v>-98.42</v>
      </c>
      <c r="K262" s="2">
        <v>150</v>
      </c>
      <c r="L262" s="3" t="s">
        <v>482</v>
      </c>
      <c r="M262" s="3" t="s">
        <v>143</v>
      </c>
      <c r="N262" s="2">
        <v>6.5</v>
      </c>
      <c r="O262" s="3" t="s">
        <v>36</v>
      </c>
      <c r="P262" s="5" t="s">
        <v>501</v>
      </c>
      <c r="Q262" s="10">
        <v>70</v>
      </c>
      <c r="R262" s="10"/>
      <c r="S262" s="10"/>
      <c r="T262" s="10" t="s">
        <v>86</v>
      </c>
      <c r="U262" s="10"/>
      <c r="V262" s="20"/>
      <c r="W262" s="3"/>
      <c r="X262" s="3"/>
      <c r="Y262" s="3"/>
      <c r="Z262" s="3"/>
      <c r="AA262" s="3"/>
      <c r="AB262" s="3"/>
      <c r="AC262" s="8" t="s">
        <v>884</v>
      </c>
      <c r="AD262" s="3"/>
      <c r="AE262" s="3"/>
      <c r="AF262" s="3"/>
      <c r="AG262" s="3"/>
    </row>
    <row r="263" spans="1:33" s="13" customFormat="1" ht="15" customHeight="1" x14ac:dyDescent="0.3">
      <c r="A263" s="3" t="s">
        <v>225</v>
      </c>
      <c r="B263" s="3" t="s">
        <v>301</v>
      </c>
      <c r="C263" s="3" t="s">
        <v>391</v>
      </c>
      <c r="D263" s="3" t="s">
        <v>164</v>
      </c>
      <c r="E263" s="3" t="s">
        <v>226</v>
      </c>
      <c r="F263" s="3" t="s">
        <v>200</v>
      </c>
      <c r="G263" s="2">
        <v>1994</v>
      </c>
      <c r="H263" s="3" t="s">
        <v>227</v>
      </c>
      <c r="I263" s="3">
        <v>55.91</v>
      </c>
      <c r="J263" s="3">
        <v>-98.42</v>
      </c>
      <c r="K263" s="2">
        <v>150</v>
      </c>
      <c r="L263" s="3" t="s">
        <v>502</v>
      </c>
      <c r="M263" s="3" t="s">
        <v>503</v>
      </c>
      <c r="N263" s="2">
        <v>6.7</v>
      </c>
      <c r="O263" s="3" t="s">
        <v>36</v>
      </c>
      <c r="P263" s="5" t="s">
        <v>504</v>
      </c>
      <c r="Q263" s="10">
        <v>16.3</v>
      </c>
      <c r="R263" s="10"/>
      <c r="S263" s="10"/>
      <c r="T263" s="10" t="s">
        <v>86</v>
      </c>
      <c r="U263" s="7">
        <f t="shared" ref="U263:U276" si="51">Q263*K263/1000</f>
        <v>2.4449999999999998</v>
      </c>
      <c r="V263" s="20"/>
      <c r="W263" s="3"/>
      <c r="X263" s="3"/>
      <c r="Y263" s="9" t="s">
        <v>39</v>
      </c>
      <c r="Z263" s="9">
        <f t="shared" ref="Z263:Z276" si="52">6.8/1000*(365-K263)</f>
        <v>1.462</v>
      </c>
      <c r="AA263" s="9">
        <f t="shared" ref="AA263:AA276" si="53">U263</f>
        <v>2.4449999999999998</v>
      </c>
      <c r="AB263" s="9">
        <f t="shared" ref="AB263:AB276" si="54">U263+Z263</f>
        <v>3.907</v>
      </c>
      <c r="AC263" s="3" t="s">
        <v>881</v>
      </c>
      <c r="AD263" s="3"/>
      <c r="AE263" s="3"/>
      <c r="AF263" s="3"/>
      <c r="AG263" s="3"/>
    </row>
    <row r="264" spans="1:33" s="13" customFormat="1" ht="15" customHeight="1" x14ac:dyDescent="0.3">
      <c r="A264" s="3" t="s">
        <v>225</v>
      </c>
      <c r="B264" s="3" t="s">
        <v>301</v>
      </c>
      <c r="C264" s="3" t="s">
        <v>391</v>
      </c>
      <c r="D264" s="3" t="s">
        <v>164</v>
      </c>
      <c r="E264" s="3" t="s">
        <v>226</v>
      </c>
      <c r="F264" s="3" t="s">
        <v>200</v>
      </c>
      <c r="G264" s="2">
        <v>1994</v>
      </c>
      <c r="H264" s="3" t="s">
        <v>227</v>
      </c>
      <c r="I264" s="3">
        <v>55.91</v>
      </c>
      <c r="J264" s="3">
        <v>-98.42</v>
      </c>
      <c r="K264" s="2">
        <v>150</v>
      </c>
      <c r="L264" s="3" t="s">
        <v>505</v>
      </c>
      <c r="M264" s="3" t="s">
        <v>506</v>
      </c>
      <c r="N264" s="2">
        <v>6.7</v>
      </c>
      <c r="O264" s="3" t="s">
        <v>36</v>
      </c>
      <c r="P264" s="5" t="s">
        <v>504</v>
      </c>
      <c r="Q264" s="10">
        <v>5.7</v>
      </c>
      <c r="R264" s="10"/>
      <c r="S264" s="10"/>
      <c r="T264" s="10" t="s">
        <v>86</v>
      </c>
      <c r="U264" s="7">
        <f t="shared" si="51"/>
        <v>0.85499999999999998</v>
      </c>
      <c r="V264" s="20"/>
      <c r="W264" s="3"/>
      <c r="X264" s="3"/>
      <c r="Y264" s="9" t="s">
        <v>39</v>
      </c>
      <c r="Z264" s="9">
        <f t="shared" si="52"/>
        <v>1.462</v>
      </c>
      <c r="AA264" s="9">
        <f t="shared" si="53"/>
        <v>0.85499999999999998</v>
      </c>
      <c r="AB264" s="9">
        <f t="shared" si="54"/>
        <v>2.3170000000000002</v>
      </c>
      <c r="AC264" s="3" t="s">
        <v>881</v>
      </c>
      <c r="AD264" s="3"/>
      <c r="AE264" s="3"/>
      <c r="AF264" s="3"/>
      <c r="AG264" s="3"/>
    </row>
    <row r="265" spans="1:33" s="13" customFormat="1" ht="15" customHeight="1" x14ac:dyDescent="0.3">
      <c r="A265" s="3" t="s">
        <v>225</v>
      </c>
      <c r="B265" s="3" t="s">
        <v>301</v>
      </c>
      <c r="C265" s="3" t="s">
        <v>391</v>
      </c>
      <c r="D265" s="3" t="s">
        <v>164</v>
      </c>
      <c r="E265" s="3" t="s">
        <v>226</v>
      </c>
      <c r="F265" s="3" t="s">
        <v>200</v>
      </c>
      <c r="G265" s="2">
        <v>1994</v>
      </c>
      <c r="H265" s="3" t="s">
        <v>227</v>
      </c>
      <c r="I265" s="3">
        <v>55.91</v>
      </c>
      <c r="J265" s="3">
        <v>-98.42</v>
      </c>
      <c r="K265" s="2">
        <v>150</v>
      </c>
      <c r="L265" s="3" t="s">
        <v>482</v>
      </c>
      <c r="M265" s="3" t="s">
        <v>507</v>
      </c>
      <c r="N265" s="2">
        <v>6.9</v>
      </c>
      <c r="O265" s="3" t="s">
        <v>36</v>
      </c>
      <c r="P265" s="5" t="s">
        <v>508</v>
      </c>
      <c r="Q265" s="10">
        <v>55.3</v>
      </c>
      <c r="R265" s="10"/>
      <c r="S265" s="10"/>
      <c r="T265" s="10" t="s">
        <v>86</v>
      </c>
      <c r="U265" s="7">
        <f t="shared" si="51"/>
        <v>8.2949999999999999</v>
      </c>
      <c r="V265" s="20"/>
      <c r="W265" s="3"/>
      <c r="X265" s="3"/>
      <c r="Y265" s="9" t="s">
        <v>39</v>
      </c>
      <c r="Z265" s="9">
        <f t="shared" si="52"/>
        <v>1.462</v>
      </c>
      <c r="AA265" s="9">
        <f t="shared" si="53"/>
        <v>8.2949999999999999</v>
      </c>
      <c r="AB265" s="9">
        <f t="shared" si="54"/>
        <v>9.7569999999999997</v>
      </c>
      <c r="AC265" s="3" t="s">
        <v>881</v>
      </c>
      <c r="AD265" s="3"/>
      <c r="AE265" s="3"/>
      <c r="AF265" s="3"/>
      <c r="AG265" s="3"/>
    </row>
    <row r="266" spans="1:33" s="3" customFormat="1" ht="15" customHeight="1" x14ac:dyDescent="0.3">
      <c r="A266" s="3" t="s">
        <v>269</v>
      </c>
      <c r="B266" s="3" t="s">
        <v>301</v>
      </c>
      <c r="C266" s="3" t="s">
        <v>391</v>
      </c>
      <c r="D266" s="3" t="s">
        <v>270</v>
      </c>
      <c r="E266" s="3" t="s">
        <v>271</v>
      </c>
      <c r="F266" s="3" t="s">
        <v>272</v>
      </c>
      <c r="G266" s="2">
        <v>1995</v>
      </c>
      <c r="H266" s="3" t="s">
        <v>273</v>
      </c>
      <c r="I266" s="3">
        <v>62.466666666666697</v>
      </c>
      <c r="J266" s="3">
        <v>-122.26666666666701</v>
      </c>
      <c r="K266" s="2">
        <v>134</v>
      </c>
      <c r="L266" s="3" t="s">
        <v>509</v>
      </c>
      <c r="N266" s="41" t="s">
        <v>444</v>
      </c>
      <c r="O266" s="3" t="s">
        <v>36</v>
      </c>
      <c r="P266" s="5" t="s">
        <v>510</v>
      </c>
      <c r="Q266" s="3">
        <v>67.75</v>
      </c>
      <c r="T266" s="10" t="s">
        <v>86</v>
      </c>
      <c r="U266" s="7">
        <f t="shared" si="51"/>
        <v>9.0785</v>
      </c>
      <c r="V266" s="20"/>
      <c r="Y266" s="9" t="s">
        <v>39</v>
      </c>
      <c r="Z266" s="9">
        <f t="shared" si="52"/>
        <v>1.5708</v>
      </c>
      <c r="AA266" s="9">
        <f t="shared" si="53"/>
        <v>9.0785</v>
      </c>
      <c r="AB266" s="9">
        <f t="shared" si="54"/>
        <v>10.6493</v>
      </c>
      <c r="AC266" s="3" t="s">
        <v>881</v>
      </c>
    </row>
    <row r="267" spans="1:33" s="3" customFormat="1" ht="15" customHeight="1" x14ac:dyDescent="0.3">
      <c r="A267" s="3" t="s">
        <v>269</v>
      </c>
      <c r="B267" s="3" t="s">
        <v>301</v>
      </c>
      <c r="C267" s="3" t="s">
        <v>391</v>
      </c>
      <c r="D267" s="3" t="s">
        <v>270</v>
      </c>
      <c r="E267" s="3" t="s">
        <v>271</v>
      </c>
      <c r="F267" s="3" t="s">
        <v>272</v>
      </c>
      <c r="G267" s="2">
        <v>1995</v>
      </c>
      <c r="H267" s="3" t="s">
        <v>273</v>
      </c>
      <c r="I267" s="3">
        <v>62.466666666666669</v>
      </c>
      <c r="J267" s="3">
        <v>-122.26666666666701</v>
      </c>
      <c r="K267" s="2">
        <v>134</v>
      </c>
      <c r="L267" s="3" t="s">
        <v>511</v>
      </c>
      <c r="N267" s="41" t="s">
        <v>444</v>
      </c>
      <c r="O267" s="3" t="s">
        <v>36</v>
      </c>
      <c r="P267" s="5" t="s">
        <v>512</v>
      </c>
      <c r="Q267" s="3">
        <v>19</v>
      </c>
      <c r="T267" s="10" t="s">
        <v>86</v>
      </c>
      <c r="U267" s="7">
        <f t="shared" si="51"/>
        <v>2.5459999999999998</v>
      </c>
      <c r="V267" s="20"/>
      <c r="Y267" s="9" t="s">
        <v>39</v>
      </c>
      <c r="Z267" s="9">
        <f t="shared" si="52"/>
        <v>1.5708</v>
      </c>
      <c r="AA267" s="9">
        <f t="shared" si="53"/>
        <v>2.5459999999999998</v>
      </c>
      <c r="AB267" s="9">
        <f t="shared" si="54"/>
        <v>4.1167999999999996</v>
      </c>
      <c r="AC267" s="3" t="s">
        <v>881</v>
      </c>
    </row>
    <row r="268" spans="1:33" s="3" customFormat="1" ht="15" customHeight="1" x14ac:dyDescent="0.3">
      <c r="A268" s="3" t="s">
        <v>269</v>
      </c>
      <c r="B268" s="3" t="s">
        <v>301</v>
      </c>
      <c r="C268" s="3" t="s">
        <v>391</v>
      </c>
      <c r="D268" s="3" t="s">
        <v>270</v>
      </c>
      <c r="E268" s="3" t="s">
        <v>271</v>
      </c>
      <c r="F268" s="3" t="s">
        <v>272</v>
      </c>
      <c r="G268" s="2">
        <v>1995</v>
      </c>
      <c r="H268" s="3" t="s">
        <v>273</v>
      </c>
      <c r="I268" s="3">
        <v>62.466666666666669</v>
      </c>
      <c r="J268" s="3">
        <v>-122.26666666666701</v>
      </c>
      <c r="K268" s="2">
        <v>134</v>
      </c>
      <c r="L268" s="3" t="s">
        <v>513</v>
      </c>
      <c r="N268" s="41" t="s">
        <v>444</v>
      </c>
      <c r="O268" s="3" t="s">
        <v>36</v>
      </c>
      <c r="P268" s="5" t="s">
        <v>514</v>
      </c>
      <c r="Q268" s="3">
        <v>3.37</v>
      </c>
      <c r="T268" s="10" t="s">
        <v>86</v>
      </c>
      <c r="U268" s="7">
        <f t="shared" si="51"/>
        <v>0.45158000000000004</v>
      </c>
      <c r="V268" s="20"/>
      <c r="Y268" s="9" t="s">
        <v>39</v>
      </c>
      <c r="Z268" s="9">
        <f t="shared" si="52"/>
        <v>1.5708</v>
      </c>
      <c r="AA268" s="9">
        <f t="shared" si="53"/>
        <v>0.45158000000000004</v>
      </c>
      <c r="AB268" s="9">
        <f t="shared" si="54"/>
        <v>2.0223800000000001</v>
      </c>
      <c r="AC268" s="3" t="s">
        <v>881</v>
      </c>
    </row>
    <row r="269" spans="1:33" s="3" customFormat="1" ht="15" customHeight="1" x14ac:dyDescent="0.3">
      <c r="A269" s="32" t="s">
        <v>291</v>
      </c>
      <c r="B269" s="3" t="s">
        <v>301</v>
      </c>
      <c r="C269" s="3" t="s">
        <v>391</v>
      </c>
      <c r="D269" s="3" t="s">
        <v>28</v>
      </c>
      <c r="E269" s="3" t="s">
        <v>515</v>
      </c>
      <c r="F269" s="3" t="s">
        <v>293</v>
      </c>
      <c r="G269" s="2">
        <v>2003</v>
      </c>
      <c r="H269" s="3" t="s">
        <v>294</v>
      </c>
      <c r="I269" s="3">
        <v>53.9</v>
      </c>
      <c r="J269" s="3">
        <v>-78.766666666666694</v>
      </c>
      <c r="K269" s="2">
        <v>153</v>
      </c>
      <c r="L269" s="3" t="s">
        <v>516</v>
      </c>
      <c r="M269" s="3" t="s">
        <v>296</v>
      </c>
      <c r="N269" s="2" t="s">
        <v>517</v>
      </c>
      <c r="O269" s="3" t="s">
        <v>297</v>
      </c>
      <c r="P269" s="5" t="s">
        <v>518</v>
      </c>
      <c r="Q269" s="10">
        <v>14.9</v>
      </c>
      <c r="R269" s="10"/>
      <c r="S269" s="10"/>
      <c r="T269" s="10" t="s">
        <v>86</v>
      </c>
      <c r="U269" s="7">
        <f t="shared" si="51"/>
        <v>2.2797000000000001</v>
      </c>
      <c r="V269" s="20"/>
      <c r="Y269" s="9" t="s">
        <v>39</v>
      </c>
      <c r="Z269" s="9">
        <f t="shared" si="52"/>
        <v>1.4416</v>
      </c>
      <c r="AA269" s="9">
        <f t="shared" si="53"/>
        <v>2.2797000000000001</v>
      </c>
      <c r="AB269" s="9">
        <f t="shared" si="54"/>
        <v>3.7213000000000003</v>
      </c>
      <c r="AC269" s="3" t="s">
        <v>881</v>
      </c>
    </row>
    <row r="270" spans="1:33" s="3" customFormat="1" ht="15" customHeight="1" x14ac:dyDescent="0.3">
      <c r="A270" s="32" t="s">
        <v>291</v>
      </c>
      <c r="B270" s="3" t="s">
        <v>301</v>
      </c>
      <c r="C270" s="3" t="s">
        <v>391</v>
      </c>
      <c r="D270" s="3" t="s">
        <v>28</v>
      </c>
      <c r="E270" s="3" t="s">
        <v>515</v>
      </c>
      <c r="F270" s="3" t="s">
        <v>293</v>
      </c>
      <c r="G270" s="2">
        <v>2003</v>
      </c>
      <c r="H270" s="3" t="s">
        <v>294</v>
      </c>
      <c r="I270" s="3">
        <v>53.9</v>
      </c>
      <c r="J270" s="3">
        <v>-78.766666666666694</v>
      </c>
      <c r="K270" s="2">
        <v>153</v>
      </c>
      <c r="L270" s="3" t="s">
        <v>516</v>
      </c>
      <c r="M270" s="3" t="s">
        <v>246</v>
      </c>
      <c r="N270" s="2" t="s">
        <v>517</v>
      </c>
      <c r="O270" s="3" t="s">
        <v>297</v>
      </c>
      <c r="P270" s="3" t="s">
        <v>299</v>
      </c>
      <c r="Q270" s="10">
        <v>197</v>
      </c>
      <c r="R270" s="10"/>
      <c r="S270" s="10"/>
      <c r="T270" s="10" t="s">
        <v>86</v>
      </c>
      <c r="U270" s="7">
        <f t="shared" si="51"/>
        <v>30.140999999999998</v>
      </c>
      <c r="V270" s="20"/>
      <c r="Y270" s="9" t="s">
        <v>39</v>
      </c>
      <c r="Z270" s="9">
        <f t="shared" si="52"/>
        <v>1.4416</v>
      </c>
      <c r="AA270" s="9">
        <f t="shared" si="53"/>
        <v>30.140999999999998</v>
      </c>
      <c r="AB270" s="9">
        <f t="shared" si="54"/>
        <v>31.582599999999999</v>
      </c>
      <c r="AC270" s="3" t="s">
        <v>881</v>
      </c>
    </row>
    <row r="271" spans="1:33" s="3" customFormat="1" ht="15" customHeight="1" x14ac:dyDescent="0.3">
      <c r="A271" s="3" t="s">
        <v>198</v>
      </c>
      <c r="B271" s="3" t="s">
        <v>301</v>
      </c>
      <c r="C271" s="3" t="s">
        <v>391</v>
      </c>
      <c r="D271" s="3" t="s">
        <v>28</v>
      </c>
      <c r="E271" s="3" t="s">
        <v>377</v>
      </c>
      <c r="F271" s="3" t="s">
        <v>293</v>
      </c>
      <c r="G271" s="2">
        <v>1992</v>
      </c>
      <c r="H271" s="3" t="s">
        <v>378</v>
      </c>
      <c r="I271" s="3">
        <v>54.8</v>
      </c>
      <c r="J271" s="3">
        <v>-66.6666666666667</v>
      </c>
      <c r="K271" s="2">
        <v>130</v>
      </c>
      <c r="L271" s="3" t="s">
        <v>519</v>
      </c>
      <c r="M271" s="3" t="s">
        <v>355</v>
      </c>
      <c r="N271" s="2">
        <v>5.0999999999999996</v>
      </c>
      <c r="O271" s="3" t="s">
        <v>36</v>
      </c>
      <c r="P271" s="5" t="s">
        <v>520</v>
      </c>
      <c r="Q271" s="3">
        <v>20.75</v>
      </c>
      <c r="T271" s="10" t="s">
        <v>86</v>
      </c>
      <c r="U271" s="7">
        <f t="shared" si="51"/>
        <v>2.6974999999999998</v>
      </c>
      <c r="V271" s="20"/>
      <c r="Y271" s="9" t="s">
        <v>39</v>
      </c>
      <c r="Z271" s="9">
        <f t="shared" si="52"/>
        <v>1.5979999999999999</v>
      </c>
      <c r="AA271" s="9">
        <f t="shared" si="53"/>
        <v>2.6974999999999998</v>
      </c>
      <c r="AB271" s="9">
        <f t="shared" si="54"/>
        <v>4.2954999999999997</v>
      </c>
      <c r="AC271" s="3" t="s">
        <v>881</v>
      </c>
    </row>
    <row r="272" spans="1:33" s="3" customFormat="1" ht="15" customHeight="1" x14ac:dyDescent="0.3">
      <c r="A272" s="3" t="s">
        <v>198</v>
      </c>
      <c r="B272" s="3" t="s">
        <v>301</v>
      </c>
      <c r="C272" s="3" t="s">
        <v>391</v>
      </c>
      <c r="D272" s="3" t="s">
        <v>28</v>
      </c>
      <c r="E272" s="3" t="s">
        <v>377</v>
      </c>
      <c r="F272" s="3" t="s">
        <v>293</v>
      </c>
      <c r="G272" s="2">
        <v>1992</v>
      </c>
      <c r="H272" s="3" t="s">
        <v>378</v>
      </c>
      <c r="I272" s="3">
        <v>54.8</v>
      </c>
      <c r="J272" s="3">
        <v>-66.6666666666667</v>
      </c>
      <c r="K272" s="2">
        <v>130</v>
      </c>
      <c r="L272" s="3" t="s">
        <v>521</v>
      </c>
      <c r="M272" s="3" t="s">
        <v>522</v>
      </c>
      <c r="N272" s="2">
        <v>5.0999999999999996</v>
      </c>
      <c r="O272" s="3" t="s">
        <v>36</v>
      </c>
      <c r="P272" s="5" t="s">
        <v>523</v>
      </c>
      <c r="Q272" s="3">
        <v>5.8</v>
      </c>
      <c r="T272" s="10" t="s">
        <v>86</v>
      </c>
      <c r="U272" s="7">
        <f t="shared" si="51"/>
        <v>0.754</v>
      </c>
      <c r="V272" s="20"/>
      <c r="Y272" s="9" t="s">
        <v>39</v>
      </c>
      <c r="Z272" s="9">
        <f t="shared" si="52"/>
        <v>1.5979999999999999</v>
      </c>
      <c r="AA272" s="9">
        <f t="shared" si="53"/>
        <v>0.754</v>
      </c>
      <c r="AB272" s="9">
        <f t="shared" si="54"/>
        <v>2.3519999999999999</v>
      </c>
      <c r="AC272" s="3" t="s">
        <v>881</v>
      </c>
    </row>
    <row r="273" spans="1:33" s="3" customFormat="1" ht="15" customHeight="1" x14ac:dyDescent="0.3">
      <c r="A273" s="3" t="s">
        <v>198</v>
      </c>
      <c r="B273" s="3" t="s">
        <v>301</v>
      </c>
      <c r="C273" s="3" t="s">
        <v>391</v>
      </c>
      <c r="D273" s="3" t="s">
        <v>28</v>
      </c>
      <c r="E273" s="3" t="s">
        <v>377</v>
      </c>
      <c r="F273" s="3" t="s">
        <v>293</v>
      </c>
      <c r="G273" s="2">
        <v>1992</v>
      </c>
      <c r="H273" s="3" t="s">
        <v>378</v>
      </c>
      <c r="I273" s="3">
        <v>54.8</v>
      </c>
      <c r="J273" s="3">
        <v>-66.6666666666667</v>
      </c>
      <c r="K273" s="2">
        <v>130</v>
      </c>
      <c r="L273" s="3" t="s">
        <v>521</v>
      </c>
      <c r="M273" s="3" t="s">
        <v>71</v>
      </c>
      <c r="N273" s="2">
        <v>5.3</v>
      </c>
      <c r="O273" s="3" t="s">
        <v>36</v>
      </c>
      <c r="P273" s="5" t="s">
        <v>524</v>
      </c>
      <c r="Q273" s="3">
        <v>2</v>
      </c>
      <c r="T273" s="10" t="s">
        <v>86</v>
      </c>
      <c r="U273" s="7">
        <f t="shared" si="51"/>
        <v>0.26</v>
      </c>
      <c r="V273" s="20"/>
      <c r="Y273" s="9" t="s">
        <v>39</v>
      </c>
      <c r="Z273" s="9">
        <f t="shared" si="52"/>
        <v>1.5979999999999999</v>
      </c>
      <c r="AA273" s="9">
        <f t="shared" si="53"/>
        <v>0.26</v>
      </c>
      <c r="AB273" s="9">
        <f t="shared" si="54"/>
        <v>1.8579999999999999</v>
      </c>
      <c r="AC273" s="3" t="s">
        <v>881</v>
      </c>
    </row>
    <row r="274" spans="1:33" s="3" customFormat="1" ht="15" customHeight="1" x14ac:dyDescent="0.3">
      <c r="A274" s="3" t="s">
        <v>198</v>
      </c>
      <c r="B274" s="3" t="s">
        <v>301</v>
      </c>
      <c r="C274" s="3" t="s">
        <v>391</v>
      </c>
      <c r="D274" s="3" t="s">
        <v>28</v>
      </c>
      <c r="E274" s="3" t="s">
        <v>377</v>
      </c>
      <c r="F274" s="3" t="s">
        <v>293</v>
      </c>
      <c r="G274" s="2">
        <v>1992</v>
      </c>
      <c r="H274" s="3" t="s">
        <v>378</v>
      </c>
      <c r="I274" s="3">
        <v>54.8</v>
      </c>
      <c r="J274" s="3">
        <v>-66.6666666666667</v>
      </c>
      <c r="K274" s="2">
        <v>130</v>
      </c>
      <c r="L274" s="3" t="s">
        <v>525</v>
      </c>
      <c r="M274" s="3" t="s">
        <v>355</v>
      </c>
      <c r="N274" s="2">
        <v>6.4</v>
      </c>
      <c r="O274" s="3" t="s">
        <v>36</v>
      </c>
      <c r="P274" s="5" t="s">
        <v>526</v>
      </c>
      <c r="Q274" s="3">
        <v>0.9</v>
      </c>
      <c r="T274" s="10" t="s">
        <v>86</v>
      </c>
      <c r="U274" s="7">
        <f t="shared" si="51"/>
        <v>0.11700000000000001</v>
      </c>
      <c r="V274" s="20"/>
      <c r="Y274" s="9" t="s">
        <v>39</v>
      </c>
      <c r="Z274" s="9">
        <f t="shared" si="52"/>
        <v>1.5979999999999999</v>
      </c>
      <c r="AA274" s="9">
        <f t="shared" si="53"/>
        <v>0.11700000000000001</v>
      </c>
      <c r="AB274" s="9">
        <f t="shared" si="54"/>
        <v>1.7149999999999999</v>
      </c>
      <c r="AC274" s="3" t="s">
        <v>881</v>
      </c>
    </row>
    <row r="275" spans="1:33" s="3" customFormat="1" ht="15" customHeight="1" x14ac:dyDescent="0.3">
      <c r="A275" s="3" t="s">
        <v>198</v>
      </c>
      <c r="B275" s="3" t="s">
        <v>301</v>
      </c>
      <c r="C275" s="3" t="s">
        <v>391</v>
      </c>
      <c r="D275" s="3" t="s">
        <v>28</v>
      </c>
      <c r="E275" s="3" t="s">
        <v>377</v>
      </c>
      <c r="F275" s="3" t="s">
        <v>293</v>
      </c>
      <c r="G275" s="2">
        <v>1992</v>
      </c>
      <c r="H275" s="3" t="s">
        <v>378</v>
      </c>
      <c r="I275" s="3">
        <v>54.8</v>
      </c>
      <c r="J275" s="3">
        <v>-66.6666666666667</v>
      </c>
      <c r="K275" s="2">
        <v>130</v>
      </c>
      <c r="L275" s="3" t="s">
        <v>525</v>
      </c>
      <c r="M275" s="3" t="s">
        <v>522</v>
      </c>
      <c r="N275" s="2">
        <v>6.5</v>
      </c>
      <c r="O275" s="3" t="s">
        <v>36</v>
      </c>
      <c r="P275" s="5" t="s">
        <v>527</v>
      </c>
      <c r="Q275" s="3">
        <v>3.1</v>
      </c>
      <c r="T275" s="10" t="s">
        <v>86</v>
      </c>
      <c r="U275" s="7">
        <f t="shared" si="51"/>
        <v>0.40300000000000002</v>
      </c>
      <c r="V275" s="20"/>
      <c r="Y275" s="9" t="s">
        <v>39</v>
      </c>
      <c r="Z275" s="9">
        <f t="shared" si="52"/>
        <v>1.5979999999999999</v>
      </c>
      <c r="AA275" s="9">
        <f t="shared" si="53"/>
        <v>0.40300000000000002</v>
      </c>
      <c r="AB275" s="9">
        <f t="shared" si="54"/>
        <v>2.0009999999999999</v>
      </c>
      <c r="AC275" s="3" t="s">
        <v>881</v>
      </c>
    </row>
    <row r="276" spans="1:33" s="3" customFormat="1" ht="15" customHeight="1" x14ac:dyDescent="0.3">
      <c r="A276" s="3" t="s">
        <v>198</v>
      </c>
      <c r="B276" s="3" t="s">
        <v>301</v>
      </c>
      <c r="C276" s="3" t="s">
        <v>391</v>
      </c>
      <c r="D276" s="3" t="s">
        <v>28</v>
      </c>
      <c r="E276" s="3" t="s">
        <v>377</v>
      </c>
      <c r="F276" s="3" t="s">
        <v>293</v>
      </c>
      <c r="G276" s="2">
        <v>1992</v>
      </c>
      <c r="H276" s="3" t="s">
        <v>378</v>
      </c>
      <c r="I276" s="3">
        <v>54.8</v>
      </c>
      <c r="J276" s="3">
        <v>-66.6666666666667</v>
      </c>
      <c r="K276" s="2">
        <v>130</v>
      </c>
      <c r="L276" s="3" t="s">
        <v>525</v>
      </c>
      <c r="M276" s="3" t="s">
        <v>71</v>
      </c>
      <c r="N276" s="2">
        <v>6.7</v>
      </c>
      <c r="O276" s="3" t="s">
        <v>36</v>
      </c>
      <c r="P276" s="5" t="s">
        <v>528</v>
      </c>
      <c r="Q276" s="3">
        <v>1.5</v>
      </c>
      <c r="T276" s="10" t="s">
        <v>86</v>
      </c>
      <c r="U276" s="7">
        <f t="shared" si="51"/>
        <v>0.19500000000000001</v>
      </c>
      <c r="V276" s="20"/>
      <c r="Y276" s="9" t="s">
        <v>39</v>
      </c>
      <c r="Z276" s="9">
        <f t="shared" si="52"/>
        <v>1.5979999999999999</v>
      </c>
      <c r="AA276" s="9">
        <f t="shared" si="53"/>
        <v>0.19500000000000001</v>
      </c>
      <c r="AB276" s="9">
        <f t="shared" si="54"/>
        <v>1.7929999999999999</v>
      </c>
      <c r="AC276" s="3" t="s">
        <v>881</v>
      </c>
    </row>
    <row r="277" spans="1:33" s="13" customFormat="1" ht="15" customHeight="1" x14ac:dyDescent="0.3">
      <c r="A277" s="3" t="s">
        <v>107</v>
      </c>
      <c r="B277" s="3" t="s">
        <v>301</v>
      </c>
      <c r="C277" s="3" t="s">
        <v>525</v>
      </c>
      <c r="D277" s="3" t="s">
        <v>28</v>
      </c>
      <c r="E277" s="3" t="s">
        <v>377</v>
      </c>
      <c r="F277" s="3" t="s">
        <v>293</v>
      </c>
      <c r="G277" s="2" t="s">
        <v>109</v>
      </c>
      <c r="H277" s="3" t="s">
        <v>110</v>
      </c>
      <c r="I277" s="3">
        <v>54.8</v>
      </c>
      <c r="J277" s="3">
        <v>-66.6666666666667</v>
      </c>
      <c r="K277" s="2">
        <v>130</v>
      </c>
      <c r="L277" s="3" t="s">
        <v>529</v>
      </c>
      <c r="M277" s="3" t="s">
        <v>444</v>
      </c>
      <c r="N277" s="23">
        <v>4.9000000000000004</v>
      </c>
      <c r="O277" s="3" t="s">
        <v>36</v>
      </c>
      <c r="P277" s="5" t="s">
        <v>530</v>
      </c>
      <c r="Q277" s="10"/>
      <c r="R277" s="30">
        <f t="shared" ref="R277" si="55">V277/K277*1000</f>
        <v>23.076923076923077</v>
      </c>
      <c r="S277" s="10"/>
      <c r="T277" s="10"/>
      <c r="U277" s="10"/>
      <c r="V277" s="20">
        <v>3</v>
      </c>
      <c r="W277" s="3"/>
      <c r="X277" s="3" t="s">
        <v>114</v>
      </c>
      <c r="Y277" s="12" t="s">
        <v>115</v>
      </c>
      <c r="Z277" s="12">
        <f>6.8/1000*(365-K277)</f>
        <v>1.5979999999999999</v>
      </c>
      <c r="AA277" s="12">
        <f>V277</f>
        <v>3</v>
      </c>
      <c r="AB277" s="12">
        <f>V277+Z277</f>
        <v>4.5979999999999999</v>
      </c>
      <c r="AC277" s="3" t="s">
        <v>881</v>
      </c>
      <c r="AD277" s="3"/>
      <c r="AE277" s="3"/>
      <c r="AF277" s="3"/>
      <c r="AG277" s="3"/>
    </row>
    <row r="278" spans="1:33" s="8" customFormat="1" ht="15" customHeight="1" x14ac:dyDescent="0.3">
      <c r="A278" s="8" t="s">
        <v>531</v>
      </c>
      <c r="B278" s="8" t="s">
        <v>301</v>
      </c>
      <c r="C278" s="3" t="s">
        <v>391</v>
      </c>
      <c r="D278" s="8" t="s">
        <v>28</v>
      </c>
      <c r="E278" s="8" t="s">
        <v>377</v>
      </c>
      <c r="F278" s="8" t="s">
        <v>293</v>
      </c>
      <c r="G278" s="14">
        <v>1984</v>
      </c>
      <c r="H278" s="8" t="s">
        <v>294</v>
      </c>
      <c r="I278" s="3">
        <v>55.716666666666669</v>
      </c>
      <c r="J278" s="3">
        <v>-66.7</v>
      </c>
      <c r="K278" s="14">
        <v>125</v>
      </c>
      <c r="L278" s="8" t="s">
        <v>532</v>
      </c>
      <c r="M278" s="42" t="s">
        <v>533</v>
      </c>
      <c r="O278" s="8" t="s">
        <v>36</v>
      </c>
      <c r="P278" s="15" t="s">
        <v>534</v>
      </c>
      <c r="Q278" s="20">
        <f>S278*16.04</f>
        <v>39.458399999999997</v>
      </c>
      <c r="R278" s="20"/>
      <c r="S278" s="17">
        <v>2.46</v>
      </c>
      <c r="T278" s="22" t="s">
        <v>188</v>
      </c>
      <c r="U278" s="7">
        <f t="shared" ref="U278:U285" si="56">Q278*K278/1000</f>
        <v>4.9322999999999997</v>
      </c>
      <c r="V278" s="20"/>
      <c r="Y278" s="9" t="s">
        <v>39</v>
      </c>
      <c r="Z278" s="9">
        <f t="shared" ref="Z278:Z285" si="57">6.8/1000*(365-K278)</f>
        <v>1.6319999999999999</v>
      </c>
      <c r="AA278" s="9">
        <f t="shared" ref="AA278:AA285" si="58">U278</f>
        <v>4.9322999999999997</v>
      </c>
      <c r="AB278" s="9">
        <f t="shared" ref="AB278:AB285" si="59">U278+Z278</f>
        <v>6.5642999999999994</v>
      </c>
      <c r="AC278" s="3" t="s">
        <v>881</v>
      </c>
      <c r="AD278" s="3"/>
    </row>
    <row r="279" spans="1:33" s="8" customFormat="1" ht="15" customHeight="1" x14ac:dyDescent="0.3">
      <c r="A279" s="8" t="s">
        <v>531</v>
      </c>
      <c r="B279" s="8" t="s">
        <v>301</v>
      </c>
      <c r="C279" s="3" t="s">
        <v>391</v>
      </c>
      <c r="D279" s="8" t="s">
        <v>28</v>
      </c>
      <c r="E279" s="8" t="s">
        <v>377</v>
      </c>
      <c r="F279" s="8" t="s">
        <v>293</v>
      </c>
      <c r="G279" s="14">
        <v>1984</v>
      </c>
      <c r="H279" s="8" t="s">
        <v>294</v>
      </c>
      <c r="I279" s="3">
        <v>55.716666666666669</v>
      </c>
      <c r="J279" s="3">
        <v>-66.7</v>
      </c>
      <c r="K279" s="14">
        <v>125</v>
      </c>
      <c r="L279" s="8" t="s">
        <v>532</v>
      </c>
      <c r="M279" s="42" t="s">
        <v>533</v>
      </c>
      <c r="O279" s="8" t="s">
        <v>36</v>
      </c>
      <c r="P279" s="15" t="s">
        <v>535</v>
      </c>
      <c r="Q279" s="20">
        <f>S279*16.04</f>
        <v>19.247999999999998</v>
      </c>
      <c r="R279" s="20"/>
      <c r="S279" s="17">
        <v>1.2</v>
      </c>
      <c r="T279" s="22" t="s">
        <v>188</v>
      </c>
      <c r="U279" s="7">
        <f t="shared" si="56"/>
        <v>2.4059999999999997</v>
      </c>
      <c r="V279" s="19"/>
      <c r="W279" s="6"/>
      <c r="Y279" s="9" t="s">
        <v>39</v>
      </c>
      <c r="Z279" s="9">
        <f t="shared" si="57"/>
        <v>1.6319999999999999</v>
      </c>
      <c r="AA279" s="9">
        <f t="shared" si="58"/>
        <v>2.4059999999999997</v>
      </c>
      <c r="AB279" s="9">
        <f t="shared" si="59"/>
        <v>4.0379999999999994</v>
      </c>
      <c r="AC279" s="3" t="s">
        <v>881</v>
      </c>
      <c r="AD279" s="3"/>
    </row>
    <row r="280" spans="1:33" s="8" customFormat="1" ht="15" customHeight="1" x14ac:dyDescent="0.3">
      <c r="A280" s="8" t="s">
        <v>531</v>
      </c>
      <c r="B280" s="8" t="s">
        <v>301</v>
      </c>
      <c r="C280" s="3" t="s">
        <v>391</v>
      </c>
      <c r="D280" s="8" t="s">
        <v>28</v>
      </c>
      <c r="E280" s="8" t="s">
        <v>377</v>
      </c>
      <c r="F280" s="8" t="s">
        <v>293</v>
      </c>
      <c r="G280" s="14">
        <v>1984</v>
      </c>
      <c r="H280" s="8" t="s">
        <v>294</v>
      </c>
      <c r="I280" s="3">
        <v>55.716666666666669</v>
      </c>
      <c r="J280" s="3">
        <v>-66.7</v>
      </c>
      <c r="K280" s="14">
        <v>125</v>
      </c>
      <c r="L280" s="8" t="s">
        <v>477</v>
      </c>
      <c r="M280" s="42" t="s">
        <v>444</v>
      </c>
      <c r="O280" s="8" t="s">
        <v>36</v>
      </c>
      <c r="P280" s="15" t="s">
        <v>536</v>
      </c>
      <c r="Q280" s="20">
        <f>S280*16.04</f>
        <v>46.515999999999998</v>
      </c>
      <c r="R280" s="20"/>
      <c r="S280" s="17">
        <v>2.9</v>
      </c>
      <c r="T280" s="22" t="s">
        <v>188</v>
      </c>
      <c r="U280" s="7">
        <f t="shared" si="56"/>
        <v>5.8144999999999998</v>
      </c>
      <c r="V280" s="19"/>
      <c r="W280" s="6"/>
      <c r="Y280" s="9" t="s">
        <v>39</v>
      </c>
      <c r="Z280" s="9">
        <f t="shared" si="57"/>
        <v>1.6319999999999999</v>
      </c>
      <c r="AA280" s="9">
        <f t="shared" si="58"/>
        <v>5.8144999999999998</v>
      </c>
      <c r="AB280" s="9">
        <f t="shared" si="59"/>
        <v>7.4464999999999995</v>
      </c>
      <c r="AC280" s="3" t="s">
        <v>881</v>
      </c>
      <c r="AD280" s="3"/>
    </row>
    <row r="281" spans="1:33" s="1" customFormat="1" ht="15" customHeight="1" x14ac:dyDescent="0.3">
      <c r="A281" s="8" t="s">
        <v>531</v>
      </c>
      <c r="B281" s="8" t="s">
        <v>301</v>
      </c>
      <c r="C281" s="3" t="s">
        <v>391</v>
      </c>
      <c r="D281" s="8" t="s">
        <v>28</v>
      </c>
      <c r="E281" s="8" t="s">
        <v>377</v>
      </c>
      <c r="F281" s="8" t="s">
        <v>293</v>
      </c>
      <c r="G281" s="14">
        <v>1984</v>
      </c>
      <c r="H281" s="8" t="s">
        <v>294</v>
      </c>
      <c r="I281" s="3">
        <v>55.716666666666669</v>
      </c>
      <c r="J281" s="3">
        <v>-66.7</v>
      </c>
      <c r="K281" s="14">
        <v>125</v>
      </c>
      <c r="L281" s="8" t="s">
        <v>537</v>
      </c>
      <c r="M281" s="42" t="s">
        <v>538</v>
      </c>
      <c r="N281" s="8"/>
      <c r="O281" s="8" t="s">
        <v>36</v>
      </c>
      <c r="P281" s="15" t="s">
        <v>539</v>
      </c>
      <c r="Q281" s="20">
        <f>S281*16.04</f>
        <v>18.445999999999998</v>
      </c>
      <c r="R281" s="20"/>
      <c r="S281" s="17">
        <v>1.1499999999999999</v>
      </c>
      <c r="T281" s="22" t="s">
        <v>188</v>
      </c>
      <c r="U281" s="7">
        <f t="shared" si="56"/>
        <v>2.3057499999999997</v>
      </c>
      <c r="V281" s="19"/>
      <c r="W281" s="6"/>
      <c r="X281" s="8"/>
      <c r="Y281" s="9" t="s">
        <v>39</v>
      </c>
      <c r="Z281" s="9">
        <f t="shared" si="57"/>
        <v>1.6319999999999999</v>
      </c>
      <c r="AA281" s="9">
        <f t="shared" si="58"/>
        <v>2.3057499999999997</v>
      </c>
      <c r="AB281" s="9">
        <f t="shared" si="59"/>
        <v>3.9377499999999994</v>
      </c>
      <c r="AC281" s="3" t="s">
        <v>881</v>
      </c>
      <c r="AD281" s="3"/>
      <c r="AE281" s="8"/>
      <c r="AF281" s="8"/>
      <c r="AG281" s="8"/>
    </row>
    <row r="282" spans="1:33" s="1" customFormat="1" ht="15" customHeight="1" x14ac:dyDescent="0.3">
      <c r="A282" s="8" t="s">
        <v>540</v>
      </c>
      <c r="B282" s="8" t="s">
        <v>301</v>
      </c>
      <c r="C282" s="3" t="s">
        <v>391</v>
      </c>
      <c r="D282" s="8" t="s">
        <v>28</v>
      </c>
      <c r="E282" s="8" t="s">
        <v>377</v>
      </c>
      <c r="F282" s="8" t="s">
        <v>293</v>
      </c>
      <c r="G282" s="14">
        <v>1989</v>
      </c>
      <c r="H282" s="8" t="s">
        <v>294</v>
      </c>
      <c r="I282" s="3">
        <v>54.8</v>
      </c>
      <c r="J282" s="3">
        <v>-66.816666666666706</v>
      </c>
      <c r="K282" s="14">
        <v>129</v>
      </c>
      <c r="L282" s="8" t="s">
        <v>541</v>
      </c>
      <c r="M282" s="8" t="s">
        <v>112</v>
      </c>
      <c r="N282" s="14" t="s">
        <v>414</v>
      </c>
      <c r="O282" s="8" t="s">
        <v>36</v>
      </c>
      <c r="P282" s="15" t="s">
        <v>542</v>
      </c>
      <c r="Q282" s="6">
        <v>72</v>
      </c>
      <c r="R282" s="6"/>
      <c r="S282" s="6"/>
      <c r="T282" s="6" t="s">
        <v>86</v>
      </c>
      <c r="U282" s="7">
        <f t="shared" si="56"/>
        <v>9.2880000000000003</v>
      </c>
      <c r="V282" s="20"/>
      <c r="W282" s="8"/>
      <c r="X282" s="8"/>
      <c r="Y282" s="9" t="s">
        <v>39</v>
      </c>
      <c r="Z282" s="9">
        <f t="shared" si="57"/>
        <v>1.6048</v>
      </c>
      <c r="AA282" s="9">
        <f t="shared" si="58"/>
        <v>9.2880000000000003</v>
      </c>
      <c r="AB282" s="9">
        <f t="shared" si="59"/>
        <v>10.892800000000001</v>
      </c>
      <c r="AC282" s="3" t="s">
        <v>881</v>
      </c>
      <c r="AD282" s="3"/>
      <c r="AE282" s="8"/>
      <c r="AF282" s="8"/>
      <c r="AG282" s="8"/>
    </row>
    <row r="283" spans="1:33" s="1" customFormat="1" ht="15" customHeight="1" x14ac:dyDescent="0.3">
      <c r="A283" s="8" t="s">
        <v>540</v>
      </c>
      <c r="B283" s="8" t="s">
        <v>301</v>
      </c>
      <c r="C283" s="3" t="s">
        <v>391</v>
      </c>
      <c r="D283" s="8" t="s">
        <v>28</v>
      </c>
      <c r="E283" s="8" t="s">
        <v>377</v>
      </c>
      <c r="F283" s="8" t="s">
        <v>293</v>
      </c>
      <c r="G283" s="14">
        <v>1989</v>
      </c>
      <c r="H283" s="8" t="s">
        <v>294</v>
      </c>
      <c r="I283" s="3">
        <v>54.8</v>
      </c>
      <c r="J283" s="3">
        <v>-66.816666666666706</v>
      </c>
      <c r="K283" s="14">
        <v>129</v>
      </c>
      <c r="L283" s="8" t="s">
        <v>541</v>
      </c>
      <c r="M283" s="8" t="s">
        <v>116</v>
      </c>
      <c r="N283" s="14" t="s">
        <v>414</v>
      </c>
      <c r="O283" s="8" t="s">
        <v>36</v>
      </c>
      <c r="P283" s="15" t="s">
        <v>543</v>
      </c>
      <c r="Q283" s="6">
        <v>30</v>
      </c>
      <c r="R283" s="6"/>
      <c r="S283" s="6"/>
      <c r="T283" s="6" t="s">
        <v>86</v>
      </c>
      <c r="U283" s="7">
        <f t="shared" si="56"/>
        <v>3.87</v>
      </c>
      <c r="V283" s="20"/>
      <c r="W283" s="8"/>
      <c r="X283" s="8"/>
      <c r="Y283" s="9" t="s">
        <v>39</v>
      </c>
      <c r="Z283" s="9">
        <f t="shared" si="57"/>
        <v>1.6048</v>
      </c>
      <c r="AA283" s="9">
        <f t="shared" si="58"/>
        <v>3.87</v>
      </c>
      <c r="AB283" s="9">
        <f t="shared" si="59"/>
        <v>5.4748000000000001</v>
      </c>
      <c r="AC283" s="3" t="s">
        <v>881</v>
      </c>
      <c r="AD283" s="3"/>
      <c r="AE283" s="8"/>
      <c r="AF283" s="8"/>
      <c r="AG283" s="8"/>
    </row>
    <row r="284" spans="1:33" s="1" customFormat="1" ht="15" customHeight="1" x14ac:dyDescent="0.3">
      <c r="A284" s="8" t="s">
        <v>540</v>
      </c>
      <c r="B284" s="8" t="s">
        <v>301</v>
      </c>
      <c r="C284" s="3" t="s">
        <v>391</v>
      </c>
      <c r="D284" s="8" t="s">
        <v>28</v>
      </c>
      <c r="E284" s="8" t="s">
        <v>377</v>
      </c>
      <c r="F284" s="8" t="s">
        <v>293</v>
      </c>
      <c r="G284" s="14">
        <v>1989</v>
      </c>
      <c r="H284" s="8" t="s">
        <v>294</v>
      </c>
      <c r="I284" s="3">
        <v>54.8</v>
      </c>
      <c r="J284" s="3">
        <v>-66.816666666666706</v>
      </c>
      <c r="K284" s="14">
        <v>129</v>
      </c>
      <c r="L284" s="8" t="s">
        <v>544</v>
      </c>
      <c r="M284" s="8" t="s">
        <v>545</v>
      </c>
      <c r="N284" s="14" t="s">
        <v>414</v>
      </c>
      <c r="O284" s="8" t="s">
        <v>36</v>
      </c>
      <c r="P284" s="15" t="s">
        <v>546</v>
      </c>
      <c r="Q284" s="6">
        <v>7.5</v>
      </c>
      <c r="R284" s="6"/>
      <c r="S284" s="6"/>
      <c r="T284" s="6" t="s">
        <v>86</v>
      </c>
      <c r="U284" s="7">
        <f t="shared" si="56"/>
        <v>0.96750000000000003</v>
      </c>
      <c r="V284" s="20"/>
      <c r="W284" s="8"/>
      <c r="X284" s="8"/>
      <c r="Y284" s="9" t="s">
        <v>39</v>
      </c>
      <c r="Z284" s="9">
        <f t="shared" si="57"/>
        <v>1.6048</v>
      </c>
      <c r="AA284" s="9">
        <f t="shared" si="58"/>
        <v>0.96750000000000003</v>
      </c>
      <c r="AB284" s="9">
        <f t="shared" si="59"/>
        <v>2.5723000000000003</v>
      </c>
      <c r="AC284" s="3" t="s">
        <v>881</v>
      </c>
      <c r="AD284" s="3"/>
      <c r="AE284" s="8"/>
      <c r="AF284" s="8"/>
      <c r="AG284" s="8"/>
    </row>
    <row r="285" spans="1:33" s="1" customFormat="1" ht="15" customHeight="1" x14ac:dyDescent="0.3">
      <c r="A285" s="8" t="s">
        <v>248</v>
      </c>
      <c r="B285" s="8" t="s">
        <v>301</v>
      </c>
      <c r="C285" s="8" t="s">
        <v>301</v>
      </c>
      <c r="D285" s="8" t="s">
        <v>28</v>
      </c>
      <c r="E285" s="8" t="s">
        <v>249</v>
      </c>
      <c r="F285" s="8" t="s">
        <v>293</v>
      </c>
      <c r="G285" s="14">
        <v>2005</v>
      </c>
      <c r="H285" s="8" t="s">
        <v>250</v>
      </c>
      <c r="I285" s="8">
        <v>52.181666669999998</v>
      </c>
      <c r="J285" s="8">
        <v>-75.873888890000003</v>
      </c>
      <c r="K285" s="14">
        <v>155</v>
      </c>
      <c r="L285" s="8"/>
      <c r="M285" s="8"/>
      <c r="N285" s="8"/>
      <c r="O285" s="8" t="s">
        <v>36</v>
      </c>
      <c r="P285" s="8"/>
      <c r="Q285" s="20">
        <f>S285/0.7488</f>
        <v>46.741452991452988</v>
      </c>
      <c r="R285" s="20"/>
      <c r="S285" s="17">
        <v>35</v>
      </c>
      <c r="T285" s="17" t="s">
        <v>251</v>
      </c>
      <c r="U285" s="7">
        <f t="shared" si="56"/>
        <v>7.2449252136752129</v>
      </c>
      <c r="V285" s="8"/>
      <c r="W285" s="8"/>
      <c r="X285" s="8"/>
      <c r="Y285" s="9" t="s">
        <v>39</v>
      </c>
      <c r="Z285" s="9">
        <f t="shared" si="57"/>
        <v>1.4279999999999999</v>
      </c>
      <c r="AA285" s="9">
        <f t="shared" si="58"/>
        <v>7.2449252136752129</v>
      </c>
      <c r="AB285" s="9">
        <f t="shared" si="59"/>
        <v>8.6729252136752137</v>
      </c>
      <c r="AC285" s="3" t="s">
        <v>881</v>
      </c>
      <c r="AD285" s="8" t="s">
        <v>547</v>
      </c>
      <c r="AE285" s="8"/>
      <c r="AF285" s="8"/>
      <c r="AG285" s="8"/>
    </row>
    <row r="286" spans="1:33" s="1" customFormat="1" ht="15" customHeight="1" x14ac:dyDescent="0.3">
      <c r="A286" s="8" t="s">
        <v>548</v>
      </c>
      <c r="B286" s="8" t="s">
        <v>301</v>
      </c>
      <c r="C286" s="8" t="s">
        <v>301</v>
      </c>
      <c r="D286" s="8" t="s">
        <v>28</v>
      </c>
      <c r="E286" s="8" t="s">
        <v>551</v>
      </c>
      <c r="F286" s="8" t="s">
        <v>293</v>
      </c>
      <c r="G286" s="43" t="s">
        <v>552</v>
      </c>
      <c r="H286" s="8"/>
      <c r="I286" s="8">
        <v>54.102499999999999</v>
      </c>
      <c r="J286" s="8">
        <v>-72.500277777777697</v>
      </c>
      <c r="K286" s="14">
        <v>140</v>
      </c>
      <c r="L286" s="8" t="s">
        <v>554</v>
      </c>
      <c r="M286" s="8"/>
      <c r="N286" s="8"/>
      <c r="O286" s="8" t="s">
        <v>36</v>
      </c>
      <c r="P286" s="8"/>
      <c r="Q286" s="20"/>
      <c r="R286" s="20"/>
      <c r="S286" s="17"/>
      <c r="T286" s="17"/>
      <c r="U286" s="7"/>
      <c r="V286" s="8">
        <f>AVERAGE(V287:V288)</f>
        <v>8.4499999999999993</v>
      </c>
      <c r="W286" s="8"/>
      <c r="X286" s="3" t="s">
        <v>114</v>
      </c>
      <c r="Y286" s="11"/>
      <c r="Z286" s="12"/>
      <c r="AA286" s="12"/>
      <c r="AB286" s="12"/>
      <c r="AC286" s="3" t="s">
        <v>883</v>
      </c>
      <c r="AD286" s="8"/>
      <c r="AE286" s="8"/>
      <c r="AF286" s="8"/>
      <c r="AG286" s="8"/>
    </row>
    <row r="287" spans="1:33" s="1" customFormat="1" ht="15" customHeight="1" x14ac:dyDescent="0.3">
      <c r="A287" s="8" t="s">
        <v>548</v>
      </c>
      <c r="B287" s="8" t="s">
        <v>301</v>
      </c>
      <c r="C287" s="8" t="s">
        <v>301</v>
      </c>
      <c r="D287" s="8" t="s">
        <v>28</v>
      </c>
      <c r="E287" s="8" t="s">
        <v>551</v>
      </c>
      <c r="F287" s="8" t="s">
        <v>293</v>
      </c>
      <c r="G287" s="43" t="s">
        <v>951</v>
      </c>
      <c r="H287" s="8"/>
      <c r="I287" s="8">
        <v>54.102499999999999</v>
      </c>
      <c r="J287" s="8">
        <v>-72.500277777777697</v>
      </c>
      <c r="K287" s="14">
        <v>140</v>
      </c>
      <c r="L287" s="8" t="s">
        <v>554</v>
      </c>
      <c r="M287" s="8"/>
      <c r="N287" s="8"/>
      <c r="O287" s="8" t="s">
        <v>36</v>
      </c>
      <c r="P287" s="8"/>
      <c r="Q287" s="20"/>
      <c r="R287" s="20"/>
      <c r="S287" s="17"/>
      <c r="T287" s="17"/>
      <c r="U287" s="7"/>
      <c r="V287" s="8">
        <v>9.1</v>
      </c>
      <c r="W287" s="8"/>
      <c r="X287" s="3" t="s">
        <v>114</v>
      </c>
      <c r="Y287" s="9"/>
      <c r="Z287" s="9"/>
      <c r="AA287" s="9"/>
      <c r="AB287" s="9"/>
      <c r="AC287" s="8" t="s">
        <v>883</v>
      </c>
      <c r="AD287" s="8" t="s">
        <v>549</v>
      </c>
      <c r="AE287" s="8"/>
      <c r="AF287" s="8"/>
      <c r="AG287" s="8"/>
    </row>
    <row r="288" spans="1:33" s="1" customFormat="1" ht="15" customHeight="1" x14ac:dyDescent="0.3">
      <c r="A288" s="8" t="s">
        <v>548</v>
      </c>
      <c r="B288" s="8" t="s">
        <v>301</v>
      </c>
      <c r="C288" s="8" t="s">
        <v>301</v>
      </c>
      <c r="D288" s="8" t="s">
        <v>28</v>
      </c>
      <c r="E288" s="8" t="s">
        <v>551</v>
      </c>
      <c r="F288" s="8" t="s">
        <v>293</v>
      </c>
      <c r="G288" s="43" t="s">
        <v>952</v>
      </c>
      <c r="H288" s="8"/>
      <c r="I288" s="8">
        <v>54.102499999999999</v>
      </c>
      <c r="J288" s="8">
        <v>-72.500277777777697</v>
      </c>
      <c r="K288" s="14">
        <v>140</v>
      </c>
      <c r="L288" s="8" t="s">
        <v>554</v>
      </c>
      <c r="M288" s="8"/>
      <c r="N288" s="8"/>
      <c r="O288" s="8" t="s">
        <v>36</v>
      </c>
      <c r="P288" s="8"/>
      <c r="Q288" s="20"/>
      <c r="R288" s="20"/>
      <c r="S288" s="17"/>
      <c r="T288" s="17"/>
      <c r="U288" s="7"/>
      <c r="V288" s="8">
        <v>7.8</v>
      </c>
      <c r="W288" s="8"/>
      <c r="X288" s="3" t="s">
        <v>114</v>
      </c>
      <c r="Y288" s="9"/>
      <c r="Z288" s="9"/>
      <c r="AA288" s="9"/>
      <c r="AB288" s="9"/>
      <c r="AC288" s="8" t="s">
        <v>883</v>
      </c>
      <c r="AD288" s="8" t="s">
        <v>550</v>
      </c>
      <c r="AE288" s="8"/>
      <c r="AF288" s="8"/>
      <c r="AG288" s="8"/>
    </row>
    <row r="289" spans="1:33" s="1" customFormat="1" ht="15" customHeight="1" x14ac:dyDescent="0.3">
      <c r="A289" s="8" t="s">
        <v>548</v>
      </c>
      <c r="B289" s="8" t="s">
        <v>301</v>
      </c>
      <c r="C289" s="8" t="s">
        <v>301</v>
      </c>
      <c r="D289" s="8" t="s">
        <v>28</v>
      </c>
      <c r="E289" s="8" t="s">
        <v>551</v>
      </c>
      <c r="F289" s="8" t="s">
        <v>293</v>
      </c>
      <c r="G289" s="43" t="s">
        <v>552</v>
      </c>
      <c r="H289" s="8" t="s">
        <v>553</v>
      </c>
      <c r="I289" s="8">
        <v>54.102499999999999</v>
      </c>
      <c r="J289" s="8">
        <v>-72.500277777777697</v>
      </c>
      <c r="K289" s="14">
        <v>140</v>
      </c>
      <c r="L289" s="8" t="s">
        <v>554</v>
      </c>
      <c r="M289" s="8" t="s">
        <v>306</v>
      </c>
      <c r="N289" s="8"/>
      <c r="O289" s="8" t="s">
        <v>36</v>
      </c>
      <c r="P289" s="8" t="s">
        <v>555</v>
      </c>
      <c r="Q289" s="8">
        <f>AVERAGE(Q293,Q297)</f>
        <v>25.85</v>
      </c>
      <c r="R289" s="8"/>
      <c r="S289" s="8"/>
      <c r="T289" s="8" t="s">
        <v>86</v>
      </c>
      <c r="U289" s="7">
        <f>Q289*K289/1000</f>
        <v>3.6190000000000002</v>
      </c>
      <c r="V289" s="8"/>
      <c r="W289" s="8"/>
      <c r="X289" s="8"/>
      <c r="Y289" s="9" t="s">
        <v>39</v>
      </c>
      <c r="Z289" s="9">
        <f t="shared" ref="Z289:Z292" si="60">6.8/1000*(365-K289)</f>
        <v>1.5299999999999998</v>
      </c>
      <c r="AA289" s="9">
        <f t="shared" ref="AA289:AA292" si="61">U289</f>
        <v>3.6190000000000002</v>
      </c>
      <c r="AB289" s="9">
        <f>U289+Z289</f>
        <v>5.149</v>
      </c>
      <c r="AC289" s="3" t="s">
        <v>881</v>
      </c>
      <c r="AD289" s="8" t="s">
        <v>556</v>
      </c>
      <c r="AE289" s="8"/>
      <c r="AF289" s="8"/>
      <c r="AG289" s="8"/>
    </row>
    <row r="290" spans="1:33" s="1" customFormat="1" ht="15" customHeight="1" x14ac:dyDescent="0.3">
      <c r="A290" s="8" t="s">
        <v>548</v>
      </c>
      <c r="B290" s="8" t="s">
        <v>301</v>
      </c>
      <c r="C290" s="8" t="s">
        <v>301</v>
      </c>
      <c r="D290" s="8" t="s">
        <v>28</v>
      </c>
      <c r="E290" s="8" t="s">
        <v>551</v>
      </c>
      <c r="F290" s="8" t="s">
        <v>293</v>
      </c>
      <c r="G290" s="43" t="s">
        <v>552</v>
      </c>
      <c r="H290" s="8" t="s">
        <v>553</v>
      </c>
      <c r="I290" s="8">
        <v>54.102499999999999</v>
      </c>
      <c r="J290" s="8">
        <v>-72.500277777777697</v>
      </c>
      <c r="K290" s="14">
        <v>140</v>
      </c>
      <c r="L290" s="8" t="s">
        <v>554</v>
      </c>
      <c r="M290" s="8" t="s">
        <v>143</v>
      </c>
      <c r="N290" s="8"/>
      <c r="O290" s="8" t="s">
        <v>36</v>
      </c>
      <c r="P290" s="8" t="s">
        <v>557</v>
      </c>
      <c r="Q290" s="8">
        <f>AVERAGE(Q294,Q298)</f>
        <v>38.950000000000003</v>
      </c>
      <c r="R290" s="8"/>
      <c r="S290" s="8"/>
      <c r="T290" s="8" t="s">
        <v>86</v>
      </c>
      <c r="U290" s="7">
        <f>Q290*K290/1000</f>
        <v>5.4530000000000003</v>
      </c>
      <c r="V290" s="8"/>
      <c r="W290" s="8"/>
      <c r="X290" s="8"/>
      <c r="Y290" s="9" t="s">
        <v>39</v>
      </c>
      <c r="Z290" s="9">
        <f t="shared" si="60"/>
        <v>1.5299999999999998</v>
      </c>
      <c r="AA290" s="9">
        <f t="shared" si="61"/>
        <v>5.4530000000000003</v>
      </c>
      <c r="AB290" s="9">
        <f>U290+Z290</f>
        <v>6.9830000000000005</v>
      </c>
      <c r="AC290" s="3" t="s">
        <v>881</v>
      </c>
      <c r="AD290" s="8" t="s">
        <v>556</v>
      </c>
      <c r="AE290" s="8"/>
      <c r="AF290" s="8"/>
      <c r="AG290" s="8"/>
    </row>
    <row r="291" spans="1:33" s="1" customFormat="1" ht="15" customHeight="1" x14ac:dyDescent="0.3">
      <c r="A291" s="8" t="s">
        <v>548</v>
      </c>
      <c r="B291" s="8" t="s">
        <v>301</v>
      </c>
      <c r="C291" s="8" t="s">
        <v>301</v>
      </c>
      <c r="D291" s="8" t="s">
        <v>28</v>
      </c>
      <c r="E291" s="8" t="s">
        <v>551</v>
      </c>
      <c r="F291" s="8" t="s">
        <v>293</v>
      </c>
      <c r="G291" s="43" t="s">
        <v>552</v>
      </c>
      <c r="H291" s="8" t="s">
        <v>553</v>
      </c>
      <c r="I291" s="8">
        <v>54.102499999999999</v>
      </c>
      <c r="J291" s="8">
        <v>-72.500277777777697</v>
      </c>
      <c r="K291" s="14">
        <v>140</v>
      </c>
      <c r="L291" s="8" t="s">
        <v>554</v>
      </c>
      <c r="M291" s="8" t="s">
        <v>558</v>
      </c>
      <c r="N291" s="8"/>
      <c r="O291" s="8" t="s">
        <v>36</v>
      </c>
      <c r="P291" s="8" t="s">
        <v>559</v>
      </c>
      <c r="Q291" s="8">
        <f>AVERAGE(Q295,Q299)</f>
        <v>48.349999999999994</v>
      </c>
      <c r="R291" s="8"/>
      <c r="S291" s="8"/>
      <c r="T291" s="8" t="s">
        <v>86</v>
      </c>
      <c r="U291" s="7">
        <f>Q291*K291/1000</f>
        <v>6.7689999999999992</v>
      </c>
      <c r="V291" s="8"/>
      <c r="W291" s="8"/>
      <c r="X291" s="8"/>
      <c r="Y291" s="9" t="s">
        <v>39</v>
      </c>
      <c r="Z291" s="9">
        <f t="shared" si="60"/>
        <v>1.5299999999999998</v>
      </c>
      <c r="AA291" s="9">
        <f t="shared" si="61"/>
        <v>6.7689999999999992</v>
      </c>
      <c r="AB291" s="9">
        <f>U291+Z291</f>
        <v>8.2989999999999995</v>
      </c>
      <c r="AC291" s="3" t="s">
        <v>881</v>
      </c>
      <c r="AD291" s="8" t="s">
        <v>556</v>
      </c>
      <c r="AE291" s="8"/>
      <c r="AF291" s="8"/>
      <c r="AG291" s="8"/>
    </row>
    <row r="292" spans="1:33" s="1" customFormat="1" ht="15" customHeight="1" x14ac:dyDescent="0.3">
      <c r="A292" s="8" t="s">
        <v>548</v>
      </c>
      <c r="B292" s="8" t="s">
        <v>301</v>
      </c>
      <c r="C292" s="8" t="s">
        <v>301</v>
      </c>
      <c r="D292" s="8" t="s">
        <v>28</v>
      </c>
      <c r="E292" s="8" t="s">
        <v>551</v>
      </c>
      <c r="F292" s="8" t="s">
        <v>293</v>
      </c>
      <c r="G292" s="43" t="s">
        <v>552</v>
      </c>
      <c r="H292" s="8" t="s">
        <v>553</v>
      </c>
      <c r="I292" s="8">
        <v>54.102499999999999</v>
      </c>
      <c r="J292" s="8">
        <v>-72.500277777777697</v>
      </c>
      <c r="K292" s="14">
        <v>140</v>
      </c>
      <c r="L292" s="8" t="s">
        <v>554</v>
      </c>
      <c r="M292" s="8" t="s">
        <v>560</v>
      </c>
      <c r="N292" s="8"/>
      <c r="O292" s="8" t="s">
        <v>36</v>
      </c>
      <c r="P292" s="8" t="s">
        <v>561</v>
      </c>
      <c r="Q292" s="8">
        <f>AVERAGE(Q296,Q300)</f>
        <v>20.58</v>
      </c>
      <c r="R292" s="8"/>
      <c r="S292" s="8"/>
      <c r="T292" s="8" t="s">
        <v>86</v>
      </c>
      <c r="U292" s="7">
        <f>Q292*K292/1000</f>
        <v>2.8811999999999998</v>
      </c>
      <c r="V292" s="8"/>
      <c r="W292" s="8"/>
      <c r="X292" s="8"/>
      <c r="Y292" s="9" t="s">
        <v>39</v>
      </c>
      <c r="Z292" s="9">
        <f t="shared" si="60"/>
        <v>1.5299999999999998</v>
      </c>
      <c r="AA292" s="9">
        <f t="shared" si="61"/>
        <v>2.8811999999999998</v>
      </c>
      <c r="AB292" s="9">
        <f>U292+Z292</f>
        <v>4.4111999999999991</v>
      </c>
      <c r="AC292" s="3" t="s">
        <v>881</v>
      </c>
      <c r="AD292" s="8" t="s">
        <v>556</v>
      </c>
      <c r="AE292" s="8"/>
      <c r="AF292" s="8"/>
      <c r="AG292" s="8"/>
    </row>
    <row r="293" spans="1:33" s="1" customFormat="1" ht="15" customHeight="1" x14ac:dyDescent="0.3">
      <c r="A293" s="8" t="s">
        <v>548</v>
      </c>
      <c r="B293" s="8" t="s">
        <v>301</v>
      </c>
      <c r="C293" s="8" t="s">
        <v>301</v>
      </c>
      <c r="D293" s="8" t="s">
        <v>28</v>
      </c>
      <c r="E293" s="8" t="s">
        <v>551</v>
      </c>
      <c r="F293" s="8" t="s">
        <v>293</v>
      </c>
      <c r="G293" s="14">
        <v>2009</v>
      </c>
      <c r="H293" s="8" t="s">
        <v>553</v>
      </c>
      <c r="I293" s="8">
        <v>54.102499999999999</v>
      </c>
      <c r="J293" s="8">
        <v>-72.500277777777697</v>
      </c>
      <c r="K293" s="14">
        <v>140</v>
      </c>
      <c r="L293" s="8" t="s">
        <v>554</v>
      </c>
      <c r="M293" s="8" t="s">
        <v>306</v>
      </c>
      <c r="N293" s="8"/>
      <c r="O293" s="8" t="s">
        <v>36</v>
      </c>
      <c r="P293" s="8" t="s">
        <v>555</v>
      </c>
      <c r="Q293" s="8">
        <v>23.3</v>
      </c>
      <c r="R293" s="8"/>
      <c r="S293" s="8"/>
      <c r="T293" s="8" t="s">
        <v>86</v>
      </c>
      <c r="U293" s="8"/>
      <c r="V293" s="8"/>
      <c r="W293" s="8"/>
      <c r="X293" s="8"/>
      <c r="Y293" s="8"/>
      <c r="Z293" s="8"/>
      <c r="AA293" s="8"/>
      <c r="AB293" s="8"/>
      <c r="AC293" s="8" t="s">
        <v>884</v>
      </c>
      <c r="AD293" s="8" t="s">
        <v>556</v>
      </c>
      <c r="AE293" s="8"/>
      <c r="AF293" s="8"/>
      <c r="AG293" s="8"/>
    </row>
    <row r="294" spans="1:33" s="1" customFormat="1" ht="15" customHeight="1" x14ac:dyDescent="0.3">
      <c r="A294" s="8" t="s">
        <v>548</v>
      </c>
      <c r="B294" s="8" t="s">
        <v>301</v>
      </c>
      <c r="C294" s="8" t="s">
        <v>301</v>
      </c>
      <c r="D294" s="8" t="s">
        <v>28</v>
      </c>
      <c r="E294" s="8" t="s">
        <v>551</v>
      </c>
      <c r="F294" s="8" t="s">
        <v>293</v>
      </c>
      <c r="G294" s="14">
        <v>2009</v>
      </c>
      <c r="H294" s="8" t="s">
        <v>553</v>
      </c>
      <c r="I294" s="8">
        <v>54.102499999999999</v>
      </c>
      <c r="J294" s="8">
        <v>-72.500277777777697</v>
      </c>
      <c r="K294" s="14">
        <v>140</v>
      </c>
      <c r="L294" s="8" t="s">
        <v>554</v>
      </c>
      <c r="M294" s="8" t="s">
        <v>143</v>
      </c>
      <c r="N294" s="8"/>
      <c r="O294" s="8" t="s">
        <v>36</v>
      </c>
      <c r="P294" s="8" t="s">
        <v>557</v>
      </c>
      <c r="Q294" s="8">
        <v>36.1</v>
      </c>
      <c r="R294" s="8"/>
      <c r="S294" s="8"/>
      <c r="T294" s="8" t="s">
        <v>86</v>
      </c>
      <c r="U294" s="8"/>
      <c r="V294" s="8"/>
      <c r="W294" s="8"/>
      <c r="X294" s="8"/>
      <c r="Y294" s="8"/>
      <c r="Z294" s="8"/>
      <c r="AA294" s="8"/>
      <c r="AB294" s="8"/>
      <c r="AC294" s="8" t="s">
        <v>884</v>
      </c>
      <c r="AD294" s="8" t="s">
        <v>556</v>
      </c>
      <c r="AE294" s="8"/>
      <c r="AF294" s="8"/>
      <c r="AG294" s="8"/>
    </row>
    <row r="295" spans="1:33" s="1" customFormat="1" ht="15" customHeight="1" x14ac:dyDescent="0.3">
      <c r="A295" s="8" t="s">
        <v>548</v>
      </c>
      <c r="B295" s="8" t="s">
        <v>301</v>
      </c>
      <c r="C295" s="8" t="s">
        <v>301</v>
      </c>
      <c r="D295" s="8" t="s">
        <v>28</v>
      </c>
      <c r="E295" s="8" t="s">
        <v>551</v>
      </c>
      <c r="F295" s="8" t="s">
        <v>293</v>
      </c>
      <c r="G295" s="14">
        <v>2009</v>
      </c>
      <c r="H295" s="8" t="s">
        <v>553</v>
      </c>
      <c r="I295" s="8">
        <v>54.102499999999999</v>
      </c>
      <c r="J295" s="8">
        <v>-72.500277777777697</v>
      </c>
      <c r="K295" s="14">
        <v>140</v>
      </c>
      <c r="L295" s="8" t="s">
        <v>554</v>
      </c>
      <c r="M295" s="8" t="s">
        <v>558</v>
      </c>
      <c r="N295" s="8"/>
      <c r="O295" s="8" t="s">
        <v>36</v>
      </c>
      <c r="P295" s="8" t="s">
        <v>559</v>
      </c>
      <c r="Q295" s="8">
        <v>49.4</v>
      </c>
      <c r="R295" s="8"/>
      <c r="S295" s="8"/>
      <c r="T295" s="8" t="s">
        <v>86</v>
      </c>
      <c r="U295" s="8"/>
      <c r="V295" s="8"/>
      <c r="W295" s="8"/>
      <c r="X295" s="8"/>
      <c r="Y295" s="8"/>
      <c r="Z295" s="8"/>
      <c r="AA295" s="8"/>
      <c r="AB295" s="8"/>
      <c r="AC295" s="8" t="s">
        <v>884</v>
      </c>
      <c r="AD295" s="8" t="s">
        <v>556</v>
      </c>
      <c r="AE295" s="8"/>
      <c r="AF295" s="8"/>
      <c r="AG295" s="8"/>
    </row>
    <row r="296" spans="1:33" s="1" customFormat="1" ht="15" customHeight="1" x14ac:dyDescent="0.3">
      <c r="A296" s="8" t="s">
        <v>548</v>
      </c>
      <c r="B296" s="8" t="s">
        <v>301</v>
      </c>
      <c r="C296" s="8" t="s">
        <v>301</v>
      </c>
      <c r="D296" s="8" t="s">
        <v>28</v>
      </c>
      <c r="E296" s="8" t="s">
        <v>551</v>
      </c>
      <c r="F296" s="8" t="s">
        <v>293</v>
      </c>
      <c r="G296" s="14">
        <v>2009</v>
      </c>
      <c r="H296" s="8" t="s">
        <v>553</v>
      </c>
      <c r="I296" s="8">
        <v>54.102499999999999</v>
      </c>
      <c r="J296" s="8">
        <v>-72.500277777777697</v>
      </c>
      <c r="K296" s="14">
        <v>140</v>
      </c>
      <c r="L296" s="8" t="s">
        <v>554</v>
      </c>
      <c r="M296" s="8" t="s">
        <v>560</v>
      </c>
      <c r="N296" s="8"/>
      <c r="O296" s="8" t="s">
        <v>36</v>
      </c>
      <c r="P296" s="8" t="s">
        <v>561</v>
      </c>
      <c r="Q296" s="8">
        <v>25.46</v>
      </c>
      <c r="R296" s="8"/>
      <c r="S296" s="8"/>
      <c r="T296" s="8" t="s">
        <v>86</v>
      </c>
      <c r="U296" s="8"/>
      <c r="V296" s="8"/>
      <c r="W296" s="8"/>
      <c r="X296" s="8"/>
      <c r="Y296" s="8"/>
      <c r="Z296" s="8"/>
      <c r="AA296" s="8"/>
      <c r="AB296" s="8"/>
      <c r="AC296" s="8" t="s">
        <v>884</v>
      </c>
      <c r="AD296" s="8" t="s">
        <v>556</v>
      </c>
      <c r="AE296" s="8"/>
      <c r="AF296" s="8"/>
      <c r="AG296" s="8"/>
    </row>
    <row r="297" spans="1:33" s="1" customFormat="1" ht="15" customHeight="1" x14ac:dyDescent="0.3">
      <c r="A297" s="8" t="s">
        <v>548</v>
      </c>
      <c r="B297" s="8" t="s">
        <v>301</v>
      </c>
      <c r="C297" s="8" t="s">
        <v>301</v>
      </c>
      <c r="D297" s="8" t="s">
        <v>28</v>
      </c>
      <c r="E297" s="8" t="s">
        <v>551</v>
      </c>
      <c r="F297" s="8" t="s">
        <v>293</v>
      </c>
      <c r="G297" s="14">
        <v>2010</v>
      </c>
      <c r="H297" s="8" t="s">
        <v>562</v>
      </c>
      <c r="I297" s="8">
        <v>54.102499999999999</v>
      </c>
      <c r="J297" s="8">
        <v>-72.500277777777697</v>
      </c>
      <c r="K297" s="14">
        <v>140</v>
      </c>
      <c r="L297" s="8" t="s">
        <v>554</v>
      </c>
      <c r="M297" s="8" t="s">
        <v>71</v>
      </c>
      <c r="N297" s="8"/>
      <c r="O297" s="8" t="s">
        <v>36</v>
      </c>
      <c r="P297" s="8" t="s">
        <v>555</v>
      </c>
      <c r="Q297" s="8">
        <v>28.4</v>
      </c>
      <c r="R297" s="8"/>
      <c r="S297" s="8"/>
      <c r="T297" s="8" t="s">
        <v>86</v>
      </c>
      <c r="U297" s="8"/>
      <c r="V297" s="8"/>
      <c r="W297" s="8"/>
      <c r="X297" s="8"/>
      <c r="Y297" s="8"/>
      <c r="Z297" s="8"/>
      <c r="AA297" s="8"/>
      <c r="AB297" s="8"/>
      <c r="AC297" s="8" t="s">
        <v>884</v>
      </c>
      <c r="AD297" s="8" t="s">
        <v>556</v>
      </c>
      <c r="AE297" s="8"/>
      <c r="AF297" s="8"/>
      <c r="AG297" s="8"/>
    </row>
    <row r="298" spans="1:33" s="1" customFormat="1" ht="15" customHeight="1" x14ac:dyDescent="0.3">
      <c r="A298" s="8" t="s">
        <v>548</v>
      </c>
      <c r="B298" s="8" t="s">
        <v>301</v>
      </c>
      <c r="C298" s="8" t="s">
        <v>301</v>
      </c>
      <c r="D298" s="8" t="s">
        <v>28</v>
      </c>
      <c r="E298" s="8" t="s">
        <v>551</v>
      </c>
      <c r="F298" s="8" t="s">
        <v>293</v>
      </c>
      <c r="G298" s="14">
        <v>2010</v>
      </c>
      <c r="H298" s="8" t="s">
        <v>562</v>
      </c>
      <c r="I298" s="8">
        <v>54.102499999999999</v>
      </c>
      <c r="J298" s="8">
        <v>-72.500277777777697</v>
      </c>
      <c r="K298" s="14">
        <v>140</v>
      </c>
      <c r="L298" s="8" t="s">
        <v>554</v>
      </c>
      <c r="M298" s="8" t="s">
        <v>143</v>
      </c>
      <c r="N298" s="8"/>
      <c r="O298" s="8" t="s">
        <v>36</v>
      </c>
      <c r="P298" s="8" t="s">
        <v>557</v>
      </c>
      <c r="Q298" s="8">
        <v>41.8</v>
      </c>
      <c r="R298" s="8"/>
      <c r="S298" s="8"/>
      <c r="T298" s="8" t="s">
        <v>86</v>
      </c>
      <c r="U298" s="8"/>
      <c r="V298" s="8"/>
      <c r="W298" s="8"/>
      <c r="X298" s="8"/>
      <c r="Y298" s="8"/>
      <c r="Z298" s="8"/>
      <c r="AA298" s="8"/>
      <c r="AB298" s="8"/>
      <c r="AC298" s="8" t="s">
        <v>884</v>
      </c>
      <c r="AD298" s="8" t="s">
        <v>556</v>
      </c>
      <c r="AE298" s="8"/>
      <c r="AF298" s="8"/>
      <c r="AG298" s="8"/>
    </row>
    <row r="299" spans="1:33" s="1" customFormat="1" ht="15" customHeight="1" x14ac:dyDescent="0.3">
      <c r="A299" s="8" t="s">
        <v>548</v>
      </c>
      <c r="B299" s="8" t="s">
        <v>301</v>
      </c>
      <c r="C299" s="8" t="s">
        <v>301</v>
      </c>
      <c r="D299" s="8" t="s">
        <v>28</v>
      </c>
      <c r="E299" s="8" t="s">
        <v>551</v>
      </c>
      <c r="F299" s="8" t="s">
        <v>293</v>
      </c>
      <c r="G299" s="14">
        <v>2010</v>
      </c>
      <c r="H299" s="8" t="s">
        <v>562</v>
      </c>
      <c r="I299" s="8">
        <v>54.102499999999999</v>
      </c>
      <c r="J299" s="8">
        <v>-72.500277777777697</v>
      </c>
      <c r="K299" s="14">
        <v>140</v>
      </c>
      <c r="L299" s="8" t="s">
        <v>554</v>
      </c>
      <c r="M299" s="8" t="s">
        <v>558</v>
      </c>
      <c r="N299" s="8"/>
      <c r="O299" s="8" t="s">
        <v>36</v>
      </c>
      <c r="P299" s="8" t="s">
        <v>559</v>
      </c>
      <c r="Q299" s="8">
        <v>47.3</v>
      </c>
      <c r="R299" s="8"/>
      <c r="S299" s="8"/>
      <c r="T299" s="8" t="s">
        <v>86</v>
      </c>
      <c r="U299" s="8"/>
      <c r="V299" s="8"/>
      <c r="W299" s="8"/>
      <c r="X299" s="8"/>
      <c r="Y299" s="8"/>
      <c r="Z299" s="8"/>
      <c r="AA299" s="8"/>
      <c r="AB299" s="8"/>
      <c r="AC299" s="8" t="s">
        <v>884</v>
      </c>
      <c r="AD299" s="8" t="s">
        <v>556</v>
      </c>
      <c r="AE299" s="8"/>
      <c r="AF299" s="8"/>
      <c r="AG299" s="8"/>
    </row>
    <row r="300" spans="1:33" s="1" customFormat="1" ht="15" customHeight="1" x14ac:dyDescent="0.3">
      <c r="A300" s="8" t="s">
        <v>548</v>
      </c>
      <c r="B300" s="8" t="s">
        <v>301</v>
      </c>
      <c r="C300" s="8" t="s">
        <v>301</v>
      </c>
      <c r="D300" s="8" t="s">
        <v>28</v>
      </c>
      <c r="E300" s="8" t="s">
        <v>551</v>
      </c>
      <c r="F300" s="8" t="s">
        <v>293</v>
      </c>
      <c r="G300" s="14">
        <v>2010</v>
      </c>
      <c r="H300" s="8" t="s">
        <v>562</v>
      </c>
      <c r="I300" s="8">
        <v>54.102499999999999</v>
      </c>
      <c r="J300" s="8">
        <v>-72.500277777777697</v>
      </c>
      <c r="K300" s="14">
        <v>140</v>
      </c>
      <c r="L300" s="8" t="s">
        <v>554</v>
      </c>
      <c r="M300" s="8" t="s">
        <v>560</v>
      </c>
      <c r="N300" s="8"/>
      <c r="O300" s="8" t="s">
        <v>36</v>
      </c>
      <c r="P300" s="8" t="s">
        <v>561</v>
      </c>
      <c r="Q300" s="8">
        <v>15.7</v>
      </c>
      <c r="R300" s="8"/>
      <c r="S300" s="8"/>
      <c r="T300" s="8" t="s">
        <v>86</v>
      </c>
      <c r="U300" s="8"/>
      <c r="V300" s="8"/>
      <c r="W300" s="8"/>
      <c r="X300" s="8"/>
      <c r="Y300" s="8"/>
      <c r="Z300" s="8"/>
      <c r="AA300" s="8"/>
      <c r="AB300" s="8"/>
      <c r="AC300" s="8" t="s">
        <v>884</v>
      </c>
      <c r="AD300" s="8" t="s">
        <v>556</v>
      </c>
      <c r="AE300" s="8"/>
      <c r="AF300" s="8"/>
      <c r="AG300" s="8"/>
    </row>
    <row r="301" spans="1:33" s="1" customFormat="1" ht="15.75" customHeight="1" x14ac:dyDescent="0.3">
      <c r="A301" s="8"/>
      <c r="B301" s="8"/>
      <c r="C301" s="8"/>
      <c r="D301" s="8"/>
      <c r="E301" s="8"/>
      <c r="F301" s="8"/>
      <c r="G301" s="14"/>
      <c r="H301" s="8"/>
      <c r="I301" s="8"/>
      <c r="J301" s="8"/>
      <c r="K301" s="14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</row>
  </sheetData>
  <conditionalFormatting sqref="G1:H1 L1:N1">
    <cfRule type="expression" dxfId="0" priority="1" stopIfTrue="1">
      <formula>$I$190:$I$849&amp;"*bog"</formula>
    </cfRule>
  </conditionalFormatting>
  <pageMargins left="0.23622047244094491" right="0.23622047244094491" top="0.74803149606299213" bottom="0.74803149606299213" header="0.31496062992125984" footer="0.31496062992125984"/>
  <pageSetup paperSize="5" scale="67" fitToWidth="2" fitToHeight="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9"/>
  <sheetViews>
    <sheetView workbookViewId="0"/>
  </sheetViews>
  <sheetFormatPr defaultRowHeight="14.4" x14ac:dyDescent="0.3"/>
  <cols>
    <col min="1" max="1" width="24.109375" customWidth="1"/>
    <col min="2" max="2" width="28" style="33" customWidth="1"/>
  </cols>
  <sheetData>
    <row r="1" spans="1:2" x14ac:dyDescent="0.3">
      <c r="A1" s="73" t="s">
        <v>953</v>
      </c>
      <c r="B1" s="45"/>
    </row>
    <row r="2" spans="1:2" ht="15.6" x14ac:dyDescent="0.3">
      <c r="A2" s="52" t="s">
        <v>954</v>
      </c>
    </row>
    <row r="3" spans="1:2" x14ac:dyDescent="0.3">
      <c r="A3" s="52" t="s">
        <v>890</v>
      </c>
    </row>
    <row r="4" spans="1:2" x14ac:dyDescent="0.3">
      <c r="A4" s="53" t="s">
        <v>891</v>
      </c>
    </row>
    <row r="5" spans="1:2" x14ac:dyDescent="0.3">
      <c r="A5" s="52" t="s">
        <v>892</v>
      </c>
    </row>
    <row r="6" spans="1:2" x14ac:dyDescent="0.3">
      <c r="A6" s="52" t="s">
        <v>893</v>
      </c>
    </row>
    <row r="7" spans="1:2" x14ac:dyDescent="0.3">
      <c r="A7" s="52" t="s">
        <v>895</v>
      </c>
    </row>
    <row r="8" spans="1:2" x14ac:dyDescent="0.3">
      <c r="A8" s="52" t="s">
        <v>894</v>
      </c>
    </row>
    <row r="9" spans="1:2" x14ac:dyDescent="0.3">
      <c r="A9" s="52" t="s">
        <v>896</v>
      </c>
    </row>
    <row r="10" spans="1:2" x14ac:dyDescent="0.3">
      <c r="A10" s="52" t="s">
        <v>897</v>
      </c>
    </row>
    <row r="11" spans="1:2" ht="15.6" x14ac:dyDescent="0.3">
      <c r="A11" s="52" t="s">
        <v>900</v>
      </c>
    </row>
    <row r="12" spans="1:2" x14ac:dyDescent="0.3">
      <c r="A12" s="52" t="s">
        <v>901</v>
      </c>
    </row>
    <row r="13" spans="1:2" x14ac:dyDescent="0.3">
      <c r="A13" s="52" t="s">
        <v>902</v>
      </c>
    </row>
    <row r="14" spans="1:2" ht="15.6" x14ac:dyDescent="0.3">
      <c r="A14" s="52" t="s">
        <v>903</v>
      </c>
    </row>
    <row r="15" spans="1:2" ht="15.6" x14ac:dyDescent="0.3">
      <c r="A15" s="52" t="s">
        <v>899</v>
      </c>
    </row>
    <row r="16" spans="1:2" x14ac:dyDescent="0.3">
      <c r="A16" s="52" t="s">
        <v>904</v>
      </c>
    </row>
    <row r="17" spans="1:1" x14ac:dyDescent="0.3">
      <c r="A17" s="52" t="s">
        <v>956</v>
      </c>
    </row>
    <row r="18" spans="1:1" ht="15.6" x14ac:dyDescent="0.3">
      <c r="A18" s="52" t="s">
        <v>905</v>
      </c>
    </row>
    <row r="19" spans="1:1" x14ac:dyDescent="0.3">
      <c r="A19" s="52" t="s">
        <v>906</v>
      </c>
    </row>
    <row r="20" spans="1:1" x14ac:dyDescent="0.3">
      <c r="A20" s="52" t="s">
        <v>907</v>
      </c>
    </row>
    <row r="21" spans="1:1" x14ac:dyDescent="0.3">
      <c r="A21" s="52" t="s">
        <v>910</v>
      </c>
    </row>
    <row r="22" spans="1:1" x14ac:dyDescent="0.3">
      <c r="A22" s="52" t="s">
        <v>908</v>
      </c>
    </row>
    <row r="23" spans="1:1" ht="15.6" x14ac:dyDescent="0.3">
      <c r="A23" s="52" t="s">
        <v>909</v>
      </c>
    </row>
    <row r="24" spans="1:1" x14ac:dyDescent="0.3">
      <c r="A24" s="52" t="s">
        <v>911</v>
      </c>
    </row>
    <row r="25" spans="1:1" x14ac:dyDescent="0.3">
      <c r="A25" s="52" t="s">
        <v>912</v>
      </c>
    </row>
    <row r="26" spans="1:1" ht="15.6" x14ac:dyDescent="0.3">
      <c r="A26" s="52" t="s">
        <v>913</v>
      </c>
    </row>
    <row r="27" spans="1:1" x14ac:dyDescent="0.3">
      <c r="A27" s="52" t="s">
        <v>914</v>
      </c>
    </row>
    <row r="28" spans="1:1" x14ac:dyDescent="0.3">
      <c r="A28" s="52" t="s">
        <v>916</v>
      </c>
    </row>
    <row r="29" spans="1:1" ht="15.6" x14ac:dyDescent="0.3">
      <c r="A29" s="52" t="s">
        <v>920</v>
      </c>
    </row>
    <row r="30" spans="1:1" x14ac:dyDescent="0.3">
      <c r="A30" s="52" t="s">
        <v>918</v>
      </c>
    </row>
    <row r="31" spans="1:1" x14ac:dyDescent="0.3">
      <c r="A31" s="52" t="s">
        <v>917</v>
      </c>
    </row>
    <row r="32" spans="1:1" x14ac:dyDescent="0.3">
      <c r="A32" s="52" t="s">
        <v>915</v>
      </c>
    </row>
    <row r="33" spans="1:2" x14ac:dyDescent="0.3">
      <c r="A33" s="52" t="s">
        <v>919</v>
      </c>
    </row>
    <row r="34" spans="1:2" x14ac:dyDescent="0.3">
      <c r="A34" s="52" t="s">
        <v>921</v>
      </c>
    </row>
    <row r="35" spans="1:2" x14ac:dyDescent="0.3">
      <c r="A35" s="52" t="s">
        <v>922</v>
      </c>
      <c r="B35" s="8"/>
    </row>
    <row r="36" spans="1:2" ht="15.6" x14ac:dyDescent="0.3">
      <c r="A36" s="52" t="s">
        <v>957</v>
      </c>
    </row>
    <row r="37" spans="1:2" ht="15.6" x14ac:dyDescent="0.3">
      <c r="A37" s="52" t="s">
        <v>923</v>
      </c>
    </row>
    <row r="38" spans="1:2" x14ac:dyDescent="0.3">
      <c r="A38" s="52" t="s">
        <v>958</v>
      </c>
    </row>
    <row r="39" spans="1:2" x14ac:dyDescent="0.3">
      <c r="A39" s="52" t="s">
        <v>959</v>
      </c>
    </row>
    <row r="40" spans="1:2" x14ac:dyDescent="0.3">
      <c r="A40" s="52" t="s">
        <v>924</v>
      </c>
    </row>
    <row r="41" spans="1:2" ht="15.6" x14ac:dyDescent="0.3">
      <c r="A41" s="52" t="s">
        <v>960</v>
      </c>
    </row>
    <row r="42" spans="1:2" x14ac:dyDescent="0.3">
      <c r="A42" s="52" t="s">
        <v>925</v>
      </c>
    </row>
    <row r="43" spans="1:2" x14ac:dyDescent="0.3">
      <c r="A43" s="52" t="s">
        <v>926</v>
      </c>
    </row>
    <row r="44" spans="1:2" x14ac:dyDescent="0.3">
      <c r="A44" s="52" t="s">
        <v>927</v>
      </c>
    </row>
    <row r="45" spans="1:2" x14ac:dyDescent="0.3">
      <c r="A45" s="52" t="s">
        <v>929</v>
      </c>
    </row>
    <row r="46" spans="1:2" x14ac:dyDescent="0.3">
      <c r="A46" s="52" t="s">
        <v>928</v>
      </c>
    </row>
    <row r="47" spans="1:2" x14ac:dyDescent="0.3">
      <c r="A47" s="52" t="s">
        <v>898</v>
      </c>
    </row>
    <row r="48" spans="1:2" x14ac:dyDescent="0.3">
      <c r="A48" s="52" t="s">
        <v>898</v>
      </c>
    </row>
    <row r="49" spans="1:1" x14ac:dyDescent="0.3">
      <c r="A49" s="52" t="s">
        <v>930</v>
      </c>
    </row>
    <row r="50" spans="1:1" ht="15.6" x14ac:dyDescent="0.3">
      <c r="A50" s="52" t="s">
        <v>931</v>
      </c>
    </row>
    <row r="51" spans="1:1" x14ac:dyDescent="0.3">
      <c r="A51" s="52" t="s">
        <v>932</v>
      </c>
    </row>
    <row r="52" spans="1:1" x14ac:dyDescent="0.3">
      <c r="A52" s="52" t="s">
        <v>933</v>
      </c>
    </row>
    <row r="53" spans="1:1" x14ac:dyDescent="0.3">
      <c r="A53" s="52" t="s">
        <v>961</v>
      </c>
    </row>
    <row r="54" spans="1:1" x14ac:dyDescent="0.3">
      <c r="A54" s="52" t="s">
        <v>962</v>
      </c>
    </row>
    <row r="55" spans="1:1" x14ac:dyDescent="0.3">
      <c r="A55" s="52" t="s">
        <v>934</v>
      </c>
    </row>
    <row r="56" spans="1:1" x14ac:dyDescent="0.3">
      <c r="A56" s="52" t="s">
        <v>935</v>
      </c>
    </row>
    <row r="57" spans="1:1" x14ac:dyDescent="0.3">
      <c r="A57" s="52" t="s">
        <v>937</v>
      </c>
    </row>
    <row r="58" spans="1:1" x14ac:dyDescent="0.3">
      <c r="A58" s="52" t="s">
        <v>936</v>
      </c>
    </row>
    <row r="59" spans="1:1" ht="15.6" x14ac:dyDescent="0.3">
      <c r="A59" s="52" t="s">
        <v>938</v>
      </c>
    </row>
    <row r="60" spans="1:1" x14ac:dyDescent="0.3">
      <c r="A60" s="52" t="s">
        <v>939</v>
      </c>
    </row>
    <row r="61" spans="1:1" ht="15.6" x14ac:dyDescent="0.3">
      <c r="A61" s="52" t="s">
        <v>941</v>
      </c>
    </row>
    <row r="62" spans="1:1" x14ac:dyDescent="0.3">
      <c r="A62" s="52" t="s">
        <v>940</v>
      </c>
    </row>
    <row r="63" spans="1:1" x14ac:dyDescent="0.3">
      <c r="A63" s="52" t="s">
        <v>955</v>
      </c>
    </row>
    <row r="64" spans="1:1" x14ac:dyDescent="0.3">
      <c r="A64" s="52" t="s">
        <v>942</v>
      </c>
    </row>
    <row r="65" spans="1:1" x14ac:dyDescent="0.3">
      <c r="A65" s="52" t="s">
        <v>943</v>
      </c>
    </row>
    <row r="66" spans="1:1" x14ac:dyDescent="0.3">
      <c r="A66" s="52" t="s">
        <v>944</v>
      </c>
    </row>
    <row r="67" spans="1:1" x14ac:dyDescent="0.3">
      <c r="A67" s="52" t="s">
        <v>946</v>
      </c>
    </row>
    <row r="68" spans="1:1" x14ac:dyDescent="0.3">
      <c r="A68" s="52" t="s">
        <v>945</v>
      </c>
    </row>
    <row r="69" spans="1:1" x14ac:dyDescent="0.3">
      <c r="A69" s="52" t="s">
        <v>963</v>
      </c>
    </row>
  </sheetData>
  <sortState ref="A2:C69">
    <sortCondition ref="A2:A69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NEE</vt:lpstr>
      <vt:lpstr>Methane</vt:lpstr>
      <vt:lpstr>References</vt:lpstr>
    </vt:vector>
  </TitlesOfParts>
  <Company>NRCan  /  RNCan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Webster, Kara</dc:creator>
  <cp:lastModifiedBy>Webster, Kara</cp:lastModifiedBy>
  <dcterms:created xsi:type="dcterms:W3CDTF">2018-05-18T14:52:35Z</dcterms:created>
  <dcterms:modified xsi:type="dcterms:W3CDTF">2018-09-18T15:14:20Z</dcterms:modified>
</cp:coreProperties>
</file>