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5195" windowHeight="11640" tabRatio="602"/>
  </bookViews>
  <sheets>
    <sheet name="Clinical Data" sheetId="1" r:id="rId1"/>
  </sheets>
  <externalReferences>
    <externalReference r:id="rId2"/>
  </externalReferences>
  <calcPr calcId="145621"/>
</workbook>
</file>

<file path=xl/calcChain.xml><?xml version="1.0" encoding="utf-8"?>
<calcChain xmlns="http://schemas.openxmlformats.org/spreadsheetml/2006/main">
  <c r="J191" i="1" l="1"/>
  <c r="K191" i="1"/>
  <c r="L191" i="1"/>
  <c r="M191" i="1"/>
  <c r="J192" i="1"/>
  <c r="K192" i="1"/>
  <c r="L192" i="1"/>
  <c r="M192" i="1"/>
  <c r="J193" i="1"/>
  <c r="K193" i="1"/>
  <c r="L193" i="1"/>
  <c r="M193" i="1"/>
  <c r="J194" i="1"/>
  <c r="K194" i="1"/>
  <c r="L194" i="1"/>
  <c r="M194" i="1"/>
  <c r="M190" i="1"/>
  <c r="L190" i="1"/>
  <c r="K190" i="1"/>
  <c r="J190" i="1"/>
  <c r="G187" i="1"/>
  <c r="H187" i="1"/>
  <c r="I187" i="1"/>
  <c r="G188" i="1"/>
  <c r="H188" i="1"/>
  <c r="I188" i="1"/>
  <c r="G189" i="1"/>
  <c r="H189" i="1"/>
  <c r="I189" i="1"/>
  <c r="G190" i="1"/>
  <c r="H190" i="1"/>
  <c r="I190" i="1"/>
  <c r="G191" i="1"/>
  <c r="H191" i="1"/>
  <c r="I191" i="1"/>
  <c r="G192" i="1"/>
  <c r="H192" i="1"/>
  <c r="I192" i="1"/>
  <c r="G193" i="1"/>
  <c r="H193" i="1"/>
  <c r="I193" i="1"/>
  <c r="G194" i="1"/>
  <c r="H194" i="1"/>
  <c r="I194" i="1"/>
  <c r="I186" i="1"/>
  <c r="H186" i="1"/>
  <c r="G186" i="1"/>
  <c r="J222" i="1" l="1"/>
  <c r="K222" i="1"/>
  <c r="L222" i="1"/>
  <c r="M222" i="1"/>
  <c r="J223" i="1"/>
  <c r="K223" i="1"/>
  <c r="L223" i="1"/>
  <c r="M223" i="1"/>
  <c r="J224" i="1"/>
  <c r="K224" i="1"/>
  <c r="L224" i="1"/>
  <c r="M224" i="1"/>
  <c r="J225" i="1"/>
  <c r="K225" i="1"/>
  <c r="L225" i="1"/>
  <c r="M225" i="1"/>
  <c r="M221" i="1"/>
  <c r="L221" i="1"/>
  <c r="K221" i="1"/>
  <c r="J221" i="1"/>
  <c r="G218" i="1"/>
  <c r="H218" i="1"/>
  <c r="G219" i="1"/>
  <c r="H219" i="1"/>
  <c r="G220" i="1"/>
  <c r="H220" i="1"/>
  <c r="G221" i="1"/>
  <c r="H221" i="1"/>
  <c r="G222" i="1"/>
  <c r="H222" i="1"/>
  <c r="G223" i="1"/>
  <c r="H223" i="1"/>
  <c r="G224" i="1"/>
  <c r="H224" i="1"/>
  <c r="G225" i="1"/>
  <c r="H225" i="1"/>
  <c r="H217" i="1"/>
  <c r="G217" i="1"/>
  <c r="S181" i="1" l="1"/>
  <c r="B162" i="1" l="1"/>
  <c r="B29" i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F182" i="1" l="1"/>
  <c r="M264" i="1" l="1"/>
  <c r="K264" i="1"/>
  <c r="J264" i="1"/>
  <c r="H264" i="1"/>
  <c r="G264" i="1"/>
  <c r="F264" i="1"/>
  <c r="M263" i="1"/>
  <c r="K263" i="1"/>
  <c r="J263" i="1"/>
  <c r="H263" i="1"/>
  <c r="G263" i="1"/>
  <c r="F263" i="1"/>
  <c r="M262" i="1"/>
  <c r="K262" i="1"/>
  <c r="J262" i="1"/>
  <c r="H262" i="1"/>
  <c r="G262" i="1"/>
  <c r="F262" i="1"/>
  <c r="M261" i="1"/>
  <c r="K261" i="1"/>
  <c r="J261" i="1"/>
  <c r="H261" i="1"/>
  <c r="G261" i="1"/>
  <c r="F261" i="1"/>
  <c r="M260" i="1"/>
  <c r="K260" i="1"/>
  <c r="J260" i="1"/>
  <c r="H260" i="1"/>
  <c r="G260" i="1"/>
  <c r="F260" i="1"/>
  <c r="M259" i="1"/>
  <c r="K259" i="1"/>
  <c r="J259" i="1"/>
  <c r="H259" i="1"/>
  <c r="G259" i="1"/>
  <c r="F259" i="1"/>
  <c r="M258" i="1"/>
  <c r="K258" i="1"/>
  <c r="J258" i="1"/>
  <c r="H258" i="1"/>
  <c r="G258" i="1"/>
  <c r="F258" i="1"/>
  <c r="M257" i="1"/>
  <c r="K257" i="1"/>
  <c r="J257" i="1"/>
  <c r="H257" i="1"/>
  <c r="G257" i="1"/>
  <c r="F257" i="1"/>
  <c r="M256" i="1"/>
  <c r="K256" i="1"/>
  <c r="J256" i="1"/>
  <c r="H256" i="1"/>
  <c r="G256" i="1"/>
  <c r="F256" i="1"/>
  <c r="M255" i="1"/>
  <c r="K255" i="1"/>
  <c r="J255" i="1"/>
  <c r="H255" i="1"/>
  <c r="G255" i="1"/>
  <c r="F255" i="1"/>
  <c r="M254" i="1"/>
  <c r="K254" i="1"/>
  <c r="J254" i="1"/>
  <c r="H254" i="1"/>
  <c r="G254" i="1"/>
  <c r="F254" i="1"/>
  <c r="M253" i="1"/>
  <c r="K253" i="1"/>
  <c r="J253" i="1"/>
  <c r="H253" i="1"/>
  <c r="G253" i="1"/>
  <c r="F253" i="1"/>
  <c r="M252" i="1"/>
  <c r="K252" i="1"/>
  <c r="J252" i="1"/>
  <c r="H252" i="1"/>
  <c r="G252" i="1"/>
  <c r="F252" i="1"/>
  <c r="M251" i="1"/>
  <c r="K251" i="1"/>
  <c r="J251" i="1"/>
  <c r="H251" i="1"/>
  <c r="G251" i="1"/>
  <c r="F251" i="1"/>
  <c r="M250" i="1"/>
  <c r="K250" i="1"/>
  <c r="J250" i="1"/>
  <c r="H250" i="1"/>
  <c r="G250" i="1"/>
  <c r="F250" i="1"/>
  <c r="M249" i="1"/>
  <c r="K249" i="1"/>
  <c r="J249" i="1"/>
  <c r="H249" i="1"/>
  <c r="G249" i="1"/>
  <c r="F249" i="1"/>
  <c r="M248" i="1"/>
  <c r="K248" i="1"/>
  <c r="J248" i="1"/>
  <c r="H248" i="1"/>
  <c r="G248" i="1"/>
  <c r="F248" i="1"/>
  <c r="M247" i="1"/>
  <c r="K247" i="1"/>
  <c r="J247" i="1"/>
  <c r="H247" i="1"/>
  <c r="G247" i="1"/>
  <c r="F247" i="1"/>
  <c r="M246" i="1"/>
  <c r="K246" i="1"/>
  <c r="J246" i="1"/>
  <c r="H246" i="1"/>
  <c r="G246" i="1"/>
  <c r="F246" i="1"/>
  <c r="M245" i="1"/>
  <c r="K245" i="1"/>
  <c r="J245" i="1"/>
  <c r="H245" i="1"/>
  <c r="G245" i="1"/>
  <c r="F245" i="1"/>
  <c r="M244" i="1"/>
  <c r="K244" i="1"/>
  <c r="J244" i="1"/>
  <c r="H244" i="1"/>
  <c r="G244" i="1"/>
  <c r="F244" i="1"/>
  <c r="M243" i="1"/>
  <c r="K243" i="1"/>
  <c r="J243" i="1"/>
  <c r="H243" i="1"/>
  <c r="G243" i="1"/>
  <c r="F243" i="1"/>
  <c r="M242" i="1"/>
  <c r="K242" i="1"/>
  <c r="J242" i="1"/>
  <c r="H242" i="1"/>
  <c r="G242" i="1"/>
  <c r="F242" i="1"/>
  <c r="M241" i="1"/>
  <c r="K241" i="1"/>
  <c r="J241" i="1"/>
  <c r="H241" i="1"/>
  <c r="G241" i="1"/>
  <c r="F241" i="1"/>
  <c r="M240" i="1"/>
  <c r="K240" i="1"/>
  <c r="J240" i="1"/>
  <c r="H240" i="1"/>
  <c r="G240" i="1"/>
  <c r="F240" i="1"/>
  <c r="M239" i="1"/>
  <c r="K239" i="1"/>
  <c r="J239" i="1"/>
  <c r="H239" i="1"/>
  <c r="G239" i="1"/>
  <c r="F239" i="1"/>
  <c r="M238" i="1"/>
  <c r="K238" i="1"/>
  <c r="J238" i="1"/>
  <c r="H238" i="1"/>
  <c r="G238" i="1"/>
  <c r="F238" i="1"/>
  <c r="M237" i="1"/>
  <c r="K237" i="1"/>
  <c r="J237" i="1"/>
  <c r="H237" i="1"/>
  <c r="G237" i="1"/>
  <c r="F237" i="1"/>
  <c r="M236" i="1"/>
  <c r="K236" i="1"/>
  <c r="J236" i="1"/>
  <c r="H236" i="1"/>
  <c r="G236" i="1"/>
  <c r="F236" i="1"/>
  <c r="M235" i="1"/>
  <c r="K235" i="1"/>
  <c r="J235" i="1"/>
  <c r="H235" i="1"/>
  <c r="G235" i="1"/>
  <c r="F235" i="1"/>
  <c r="M234" i="1"/>
  <c r="K234" i="1"/>
  <c r="J234" i="1"/>
  <c r="H234" i="1"/>
  <c r="G234" i="1"/>
  <c r="F234" i="1"/>
  <c r="M233" i="1"/>
  <c r="K233" i="1"/>
  <c r="J233" i="1"/>
  <c r="H233" i="1"/>
  <c r="G233" i="1"/>
  <c r="F233" i="1"/>
  <c r="M232" i="1"/>
  <c r="K232" i="1"/>
  <c r="J232" i="1"/>
  <c r="H232" i="1"/>
  <c r="G232" i="1"/>
  <c r="F232" i="1"/>
  <c r="M231" i="1"/>
  <c r="K231" i="1"/>
  <c r="J231" i="1"/>
  <c r="H231" i="1"/>
  <c r="G231" i="1"/>
  <c r="F231" i="1"/>
  <c r="K230" i="1"/>
  <c r="J230" i="1"/>
  <c r="H230" i="1"/>
  <c r="G230" i="1"/>
  <c r="F230" i="1"/>
  <c r="M230" i="1"/>
  <c r="M229" i="1"/>
  <c r="K229" i="1"/>
  <c r="J229" i="1"/>
  <c r="H229" i="1"/>
  <c r="G229" i="1"/>
  <c r="F229" i="1"/>
  <c r="F198" i="1"/>
  <c r="F213" i="1" s="1"/>
  <c r="M210" i="1"/>
  <c r="L210" i="1"/>
  <c r="K210" i="1"/>
  <c r="J210" i="1"/>
  <c r="H210" i="1"/>
  <c r="G210" i="1"/>
  <c r="F210" i="1"/>
  <c r="M209" i="1"/>
  <c r="L209" i="1"/>
  <c r="K209" i="1"/>
  <c r="J209" i="1"/>
  <c r="H209" i="1"/>
  <c r="G209" i="1"/>
  <c r="F209" i="1"/>
  <c r="F224" i="1" s="1"/>
  <c r="M208" i="1"/>
  <c r="L208" i="1"/>
  <c r="K208" i="1"/>
  <c r="J208" i="1"/>
  <c r="H208" i="1"/>
  <c r="G208" i="1"/>
  <c r="F208" i="1"/>
  <c r="M207" i="1"/>
  <c r="L207" i="1"/>
  <c r="K207" i="1"/>
  <c r="J207" i="1"/>
  <c r="H207" i="1"/>
  <c r="G207" i="1"/>
  <c r="F207" i="1"/>
  <c r="F222" i="1" s="1"/>
  <c r="M206" i="1"/>
  <c r="L206" i="1"/>
  <c r="K206" i="1"/>
  <c r="J206" i="1"/>
  <c r="H206" i="1"/>
  <c r="G206" i="1"/>
  <c r="F206" i="1"/>
  <c r="H205" i="1"/>
  <c r="G205" i="1"/>
  <c r="F205" i="1"/>
  <c r="F220" i="1" s="1"/>
  <c r="H204" i="1"/>
  <c r="G204" i="1"/>
  <c r="F204" i="1"/>
  <c r="H203" i="1"/>
  <c r="G203" i="1"/>
  <c r="F203" i="1"/>
  <c r="F218" i="1" s="1"/>
  <c r="H202" i="1"/>
  <c r="G202" i="1"/>
  <c r="F202" i="1"/>
  <c r="F201" i="1"/>
  <c r="F216" i="1" s="1"/>
  <c r="F200" i="1"/>
  <c r="F199" i="1"/>
  <c r="F179" i="1"/>
  <c r="F194" i="1" s="1"/>
  <c r="F178" i="1"/>
  <c r="F193" i="1" s="1"/>
  <c r="F177" i="1"/>
  <c r="F192" i="1" s="1"/>
  <c r="F176" i="1"/>
  <c r="F191" i="1" s="1"/>
  <c r="F175" i="1"/>
  <c r="F190" i="1" s="1"/>
  <c r="F174" i="1"/>
  <c r="F189" i="1" s="1"/>
  <c r="F173" i="1"/>
  <c r="F188" i="1" s="1"/>
  <c r="F172" i="1"/>
  <c r="F187" i="1" s="1"/>
  <c r="F171" i="1"/>
  <c r="F186" i="1" s="1"/>
  <c r="F170" i="1"/>
  <c r="F185" i="1" s="1"/>
  <c r="F169" i="1"/>
  <c r="F184" i="1" s="1"/>
  <c r="F168" i="1"/>
  <c r="F183" i="1" s="1"/>
  <c r="M179" i="1"/>
  <c r="L179" i="1"/>
  <c r="K179" i="1"/>
  <c r="J179" i="1"/>
  <c r="M178" i="1"/>
  <c r="L178" i="1"/>
  <c r="K178" i="1"/>
  <c r="J178" i="1"/>
  <c r="M177" i="1"/>
  <c r="L177" i="1"/>
  <c r="K177" i="1"/>
  <c r="J177" i="1"/>
  <c r="M176" i="1"/>
  <c r="L176" i="1"/>
  <c r="K176" i="1"/>
  <c r="J176" i="1"/>
  <c r="M175" i="1"/>
  <c r="L175" i="1"/>
  <c r="K175" i="1"/>
  <c r="J175" i="1"/>
  <c r="I179" i="1"/>
  <c r="I178" i="1"/>
  <c r="I177" i="1"/>
  <c r="I176" i="1"/>
  <c r="I175" i="1"/>
  <c r="I174" i="1"/>
  <c r="I173" i="1"/>
  <c r="I172" i="1"/>
  <c r="I171" i="1"/>
  <c r="H179" i="1"/>
  <c r="H178" i="1"/>
  <c r="H177" i="1"/>
  <c r="H176" i="1"/>
  <c r="H175" i="1"/>
  <c r="H174" i="1"/>
  <c r="H173" i="1"/>
  <c r="H172" i="1"/>
  <c r="H171" i="1"/>
  <c r="G179" i="1"/>
  <c r="G178" i="1"/>
  <c r="G177" i="1"/>
  <c r="G176" i="1"/>
  <c r="G175" i="1"/>
  <c r="G174" i="1"/>
  <c r="G173" i="1"/>
  <c r="G172" i="1"/>
  <c r="G171" i="1"/>
  <c r="F217" i="1" l="1"/>
  <c r="F225" i="1"/>
  <c r="F223" i="1"/>
  <c r="F214" i="1"/>
  <c r="F221" i="1"/>
  <c r="F215" i="1"/>
  <c r="F219" i="1"/>
  <c r="N229" i="1"/>
  <c r="Q229" i="1" s="1"/>
  <c r="N233" i="1"/>
  <c r="U233" i="1" s="1"/>
  <c r="R234" i="1"/>
  <c r="N241" i="1"/>
  <c r="U241" i="1" s="1"/>
  <c r="R242" i="1"/>
  <c r="N245" i="1"/>
  <c r="U245" i="1" s="1"/>
  <c r="N249" i="1"/>
  <c r="Q249" i="1" s="1"/>
  <c r="R250" i="1"/>
  <c r="P253" i="1"/>
  <c r="N253" i="1"/>
  <c r="U253" i="1" s="1"/>
  <c r="N257" i="1"/>
  <c r="R258" i="1" s="1"/>
  <c r="N261" i="1"/>
  <c r="U261" i="1" s="1"/>
  <c r="Q233" i="1"/>
  <c r="T234" i="1"/>
  <c r="T242" i="1"/>
  <c r="T250" i="1"/>
  <c r="T258" i="1"/>
  <c r="U234" i="1"/>
  <c r="U242" i="1"/>
  <c r="P248" i="1"/>
  <c r="T241" i="1"/>
  <c r="T249" i="1"/>
  <c r="N231" i="1"/>
  <c r="Q232" i="1" s="1"/>
  <c r="N239" i="1"/>
  <c r="U239" i="1" s="1"/>
  <c r="N243" i="1"/>
  <c r="R243" i="1" s="1"/>
  <c r="N247" i="1"/>
  <c r="U247" i="1" s="1"/>
  <c r="R248" i="1"/>
  <c r="U249" i="1"/>
  <c r="N251" i="1"/>
  <c r="Q251" i="1" s="1"/>
  <c r="N255" i="1"/>
  <c r="U255" i="1" s="1"/>
  <c r="R256" i="1"/>
  <c r="U257" i="1"/>
  <c r="N259" i="1"/>
  <c r="P260" i="1" s="1"/>
  <c r="N263" i="1"/>
  <c r="U263" i="1" s="1"/>
  <c r="P263" i="1"/>
  <c r="R264" i="1"/>
  <c r="R233" i="1"/>
  <c r="P240" i="1"/>
  <c r="R241" i="1"/>
  <c r="U250" i="1"/>
  <c r="R253" i="1"/>
  <c r="P256" i="1"/>
  <c r="T233" i="1"/>
  <c r="Q252" i="1"/>
  <c r="T253" i="1"/>
  <c r="Q239" i="1"/>
  <c r="T240" i="1"/>
  <c r="Q255" i="1"/>
  <c r="T256" i="1"/>
  <c r="Q259" i="1"/>
  <c r="Q263" i="1"/>
  <c r="U264" i="1"/>
  <c r="P234" i="1"/>
  <c r="R247" i="1"/>
  <c r="U248" i="1"/>
  <c r="P250" i="1"/>
  <c r="P254" i="1"/>
  <c r="R255" i="1"/>
  <c r="U256" i="1"/>
  <c r="R263" i="1"/>
  <c r="P230" i="1"/>
  <c r="Q234" i="1"/>
  <c r="T239" i="1"/>
  <c r="Q242" i="1"/>
  <c r="Q250" i="1"/>
  <c r="Q254" i="1"/>
  <c r="T255" i="1"/>
  <c r="T259" i="1"/>
  <c r="T263" i="1"/>
  <c r="N237" i="1"/>
  <c r="P237" i="1" s="1"/>
  <c r="U238" i="1"/>
  <c r="R238" i="1"/>
  <c r="T237" i="1"/>
  <c r="U237" i="1"/>
  <c r="R237" i="1"/>
  <c r="N235" i="1"/>
  <c r="Q235" i="1" s="1"/>
  <c r="DE35" i="1"/>
  <c r="DE36" i="1"/>
  <c r="DE37" i="1"/>
  <c r="DE38" i="1"/>
  <c r="DE39" i="1"/>
  <c r="DE40" i="1"/>
  <c r="DE41" i="1"/>
  <c r="DE42" i="1"/>
  <c r="DE43" i="1"/>
  <c r="DE44" i="1"/>
  <c r="DE45" i="1"/>
  <c r="DE46" i="1"/>
  <c r="DE47" i="1"/>
  <c r="DE48" i="1"/>
  <c r="DE49" i="1"/>
  <c r="DE50" i="1"/>
  <c r="DE51" i="1"/>
  <c r="DE52" i="1"/>
  <c r="DE53" i="1"/>
  <c r="DE54" i="1"/>
  <c r="DE55" i="1"/>
  <c r="DE56" i="1"/>
  <c r="DE57" i="1"/>
  <c r="DE58" i="1"/>
  <c r="DE59" i="1"/>
  <c r="DE60" i="1"/>
  <c r="DE61" i="1"/>
  <c r="DE62" i="1"/>
  <c r="DE65" i="1"/>
  <c r="DE67" i="1"/>
  <c r="DE69" i="1"/>
  <c r="DE70" i="1"/>
  <c r="DE74" i="1"/>
  <c r="DE76" i="1"/>
  <c r="DE77" i="1"/>
  <c r="DE78" i="1"/>
  <c r="DE79" i="1"/>
  <c r="DE80" i="1"/>
  <c r="DE81" i="1"/>
  <c r="DE82" i="1"/>
  <c r="DE83" i="1"/>
  <c r="DE84" i="1"/>
  <c r="DE85" i="1"/>
  <c r="DE86" i="1"/>
  <c r="DE87" i="1"/>
  <c r="DE88" i="1"/>
  <c r="DE89" i="1"/>
  <c r="DE90" i="1"/>
  <c r="DE91" i="1"/>
  <c r="DE92" i="1"/>
  <c r="DE93" i="1"/>
  <c r="DE94" i="1"/>
  <c r="DE95" i="1"/>
  <c r="DE96" i="1"/>
  <c r="DE98" i="1"/>
  <c r="DE99" i="1"/>
  <c r="DE100" i="1"/>
  <c r="DE101" i="1"/>
  <c r="DE102" i="1"/>
  <c r="DE103" i="1"/>
  <c r="DE104" i="1"/>
  <c r="DE105" i="1"/>
  <c r="DE106" i="1"/>
  <c r="DE108" i="1"/>
  <c r="DE110" i="1"/>
  <c r="DE111" i="1"/>
  <c r="DE115" i="1"/>
  <c r="DE117" i="1"/>
  <c r="DE119" i="1"/>
  <c r="DE120" i="1"/>
  <c r="DE124" i="1"/>
  <c r="DE126" i="1"/>
  <c r="DE127" i="1"/>
  <c r="DE128" i="1"/>
  <c r="DE129" i="1"/>
  <c r="DE130" i="1"/>
  <c r="DE131" i="1"/>
  <c r="DE132" i="1"/>
  <c r="DE133" i="1"/>
  <c r="DE134" i="1"/>
  <c r="DE135" i="1"/>
  <c r="DE136" i="1"/>
  <c r="DE137" i="1"/>
  <c r="DE138" i="1"/>
  <c r="DE139" i="1"/>
  <c r="DE140" i="1"/>
  <c r="DE141" i="1"/>
  <c r="DE142" i="1"/>
  <c r="DE143" i="1"/>
  <c r="DE144" i="1"/>
  <c r="DE145" i="1"/>
  <c r="DE146" i="1"/>
  <c r="DE148" i="1"/>
  <c r="DE149" i="1"/>
  <c r="DE150" i="1"/>
  <c r="DE151" i="1"/>
  <c r="DE152" i="1"/>
  <c r="DE153" i="1"/>
  <c r="DE154" i="1"/>
  <c r="DE155" i="1"/>
  <c r="DE156" i="1"/>
  <c r="DE158" i="1"/>
  <c r="DE160" i="1"/>
  <c r="DE161" i="1"/>
  <c r="P257" i="1" l="1"/>
  <c r="Q258" i="1"/>
  <c r="T257" i="1"/>
  <c r="P247" i="1"/>
  <c r="U229" i="1"/>
  <c r="Q241" i="1"/>
  <c r="R254" i="1"/>
  <c r="P241" i="1"/>
  <c r="T230" i="1"/>
  <c r="U260" i="1"/>
  <c r="P242" i="1"/>
  <c r="U230" i="1"/>
  <c r="Q257" i="1"/>
  <c r="R230" i="1"/>
  <c r="T238" i="1"/>
  <c r="T247" i="1"/>
  <c r="P258" i="1"/>
  <c r="U240" i="1"/>
  <c r="Q247" i="1"/>
  <c r="T229" i="1"/>
  <c r="P232" i="1"/>
  <c r="R240" i="1"/>
  <c r="U258" i="1"/>
  <c r="T254" i="1"/>
  <c r="P249" i="1"/>
  <c r="P233" i="1"/>
  <c r="T243" i="1"/>
  <c r="R239" i="1"/>
  <c r="Q243" i="1"/>
  <c r="R257" i="1"/>
  <c r="R229" i="1"/>
  <c r="P239" i="1"/>
  <c r="U254" i="1"/>
  <c r="Q253" i="1"/>
  <c r="Q230" i="1"/>
  <c r="U252" i="1"/>
  <c r="U262" i="1"/>
  <c r="R260" i="1"/>
  <c r="R252" i="1"/>
  <c r="R244" i="1"/>
  <c r="R232" i="1"/>
  <c r="T262" i="1"/>
  <c r="T246" i="1"/>
  <c r="R262" i="1"/>
  <c r="R246" i="1"/>
  <c r="Q262" i="1"/>
  <c r="Q246" i="1"/>
  <c r="P262" i="1"/>
  <c r="R251" i="1"/>
  <c r="T260" i="1"/>
  <c r="T244" i="1"/>
  <c r="P259" i="1"/>
  <c r="P251" i="1"/>
  <c r="P243" i="1"/>
  <c r="P231" i="1"/>
  <c r="Q240" i="1"/>
  <c r="R245" i="1"/>
  <c r="Q261" i="1"/>
  <c r="Q245" i="1"/>
  <c r="P261" i="1"/>
  <c r="P245" i="1"/>
  <c r="P244" i="1"/>
  <c r="R259" i="1"/>
  <c r="T245" i="1"/>
  <c r="R261" i="1"/>
  <c r="U259" i="1"/>
  <c r="U251" i="1"/>
  <c r="U243" i="1"/>
  <c r="U231" i="1"/>
  <c r="U232" i="1"/>
  <c r="Q244" i="1"/>
  <c r="P252" i="1"/>
  <c r="Q260" i="1"/>
  <c r="P246" i="1"/>
  <c r="R231" i="1"/>
  <c r="T252" i="1"/>
  <c r="T232" i="1"/>
  <c r="Q256" i="1"/>
  <c r="T251" i="1"/>
  <c r="T231" i="1"/>
  <c r="U244" i="1"/>
  <c r="Q231" i="1"/>
  <c r="U246" i="1"/>
  <c r="P255" i="1"/>
  <c r="Q264" i="1"/>
  <c r="P229" i="1"/>
  <c r="T264" i="1"/>
  <c r="T248" i="1"/>
  <c r="T261" i="1"/>
  <c r="Q248" i="1"/>
  <c r="R249" i="1"/>
  <c r="P264" i="1"/>
  <c r="Q238" i="1"/>
  <c r="Q237" i="1"/>
  <c r="P238" i="1"/>
  <c r="U236" i="1"/>
  <c r="P235" i="1"/>
  <c r="Q236" i="1"/>
  <c r="P236" i="1"/>
  <c r="R235" i="1"/>
  <c r="T235" i="1"/>
  <c r="T236" i="1"/>
  <c r="U235" i="1"/>
  <c r="R236" i="1"/>
  <c r="G35" i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DF162" i="1" l="1"/>
  <c r="DF35" i="1"/>
  <c r="DF36" i="1"/>
  <c r="DF37" i="1"/>
  <c r="DF38" i="1"/>
  <c r="DF39" i="1"/>
  <c r="DF40" i="1"/>
  <c r="DF41" i="1"/>
  <c r="DF42" i="1"/>
  <c r="DF43" i="1"/>
  <c r="DF44" i="1"/>
  <c r="DF45" i="1"/>
  <c r="DF46" i="1"/>
  <c r="DF47" i="1"/>
  <c r="DF48" i="1"/>
  <c r="DF49" i="1"/>
  <c r="DF50" i="1"/>
  <c r="DF51" i="1"/>
  <c r="DF52" i="1"/>
  <c r="DF53" i="1"/>
  <c r="DF54" i="1"/>
  <c r="DF55" i="1"/>
  <c r="DF56" i="1"/>
  <c r="DF57" i="1"/>
  <c r="DF58" i="1"/>
  <c r="DF59" i="1"/>
  <c r="DF60" i="1"/>
  <c r="DF61" i="1"/>
  <c r="DF62" i="1"/>
  <c r="DF63" i="1"/>
  <c r="DF64" i="1"/>
  <c r="DF65" i="1"/>
  <c r="DF66" i="1"/>
  <c r="DF67" i="1"/>
  <c r="DF68" i="1"/>
  <c r="DF69" i="1"/>
  <c r="DF70" i="1"/>
  <c r="DF71" i="1"/>
  <c r="DF72" i="1"/>
  <c r="DF73" i="1"/>
  <c r="DF74" i="1"/>
  <c r="DF75" i="1"/>
  <c r="DF76" i="1"/>
  <c r="DF77" i="1"/>
  <c r="DF78" i="1"/>
  <c r="DF79" i="1"/>
  <c r="DF80" i="1"/>
  <c r="DF81" i="1"/>
  <c r="DF82" i="1"/>
  <c r="DF83" i="1"/>
  <c r="DF84" i="1"/>
  <c r="DF85" i="1"/>
  <c r="DF86" i="1"/>
  <c r="DF87" i="1"/>
  <c r="DF88" i="1"/>
  <c r="DF89" i="1"/>
  <c r="DF90" i="1"/>
  <c r="DF91" i="1"/>
  <c r="DF92" i="1"/>
  <c r="DF93" i="1"/>
  <c r="DF94" i="1"/>
  <c r="DF95" i="1"/>
  <c r="DF96" i="1"/>
  <c r="DF97" i="1"/>
  <c r="DF98" i="1"/>
  <c r="DF99" i="1"/>
  <c r="DF100" i="1"/>
  <c r="DF101" i="1"/>
  <c r="DF102" i="1"/>
  <c r="DF103" i="1"/>
  <c r="DF104" i="1"/>
  <c r="DF105" i="1"/>
  <c r="DF106" i="1"/>
  <c r="DF107" i="1"/>
  <c r="DF108" i="1"/>
  <c r="DF109" i="1"/>
  <c r="DF110" i="1"/>
  <c r="DF111" i="1"/>
  <c r="DF112" i="1"/>
  <c r="DF113" i="1"/>
  <c r="DF114" i="1"/>
  <c r="DF115" i="1"/>
  <c r="DF116" i="1"/>
  <c r="DF117" i="1"/>
  <c r="DF118" i="1"/>
  <c r="DF119" i="1"/>
  <c r="DF120" i="1"/>
  <c r="DF121" i="1"/>
  <c r="DF122" i="1"/>
  <c r="DF123" i="1"/>
  <c r="DF124" i="1"/>
  <c r="DF125" i="1"/>
  <c r="DF126" i="1"/>
  <c r="DF127" i="1"/>
  <c r="DF128" i="1"/>
  <c r="DF129" i="1"/>
  <c r="DF130" i="1"/>
  <c r="DF131" i="1"/>
  <c r="DF132" i="1"/>
  <c r="DF133" i="1"/>
  <c r="DF134" i="1"/>
  <c r="DF135" i="1"/>
  <c r="DF136" i="1"/>
  <c r="DF137" i="1"/>
  <c r="DF138" i="1"/>
  <c r="DF139" i="1"/>
  <c r="DF140" i="1"/>
  <c r="DF141" i="1"/>
  <c r="DF142" i="1"/>
  <c r="DF143" i="1"/>
  <c r="DF144" i="1"/>
  <c r="DF145" i="1"/>
  <c r="DF146" i="1"/>
  <c r="DF147" i="1"/>
  <c r="DF148" i="1"/>
  <c r="DF149" i="1"/>
  <c r="DF150" i="1"/>
  <c r="DF151" i="1"/>
  <c r="DF152" i="1"/>
  <c r="DF153" i="1"/>
  <c r="DF154" i="1"/>
  <c r="DF155" i="1"/>
  <c r="DF156" i="1"/>
  <c r="DF157" i="1"/>
  <c r="DF158" i="1"/>
  <c r="DF159" i="1"/>
  <c r="DF160" i="1"/>
  <c r="DF161" i="1"/>
  <c r="DF4" i="1"/>
  <c r="DF5" i="1"/>
  <c r="DF6" i="1"/>
  <c r="DF7" i="1"/>
  <c r="DF8" i="1"/>
  <c r="DF9" i="1"/>
  <c r="DF10" i="1"/>
  <c r="DF11" i="1"/>
  <c r="DF12" i="1"/>
  <c r="DF13" i="1"/>
  <c r="DF14" i="1"/>
  <c r="DF15" i="1"/>
  <c r="DF16" i="1"/>
  <c r="DF17" i="1"/>
  <c r="DF18" i="1"/>
  <c r="DF19" i="1"/>
  <c r="DF20" i="1"/>
  <c r="DF21" i="1"/>
  <c r="DF22" i="1"/>
  <c r="DF23" i="1"/>
  <c r="DF24" i="1"/>
  <c r="DF25" i="1"/>
  <c r="DF26" i="1"/>
  <c r="DF27" i="1"/>
  <c r="DF28" i="1"/>
  <c r="DF29" i="1"/>
  <c r="DF30" i="1"/>
  <c r="DF31" i="1"/>
  <c r="DF32" i="1"/>
  <c r="DF33" i="1"/>
  <c r="DF34" i="1"/>
  <c r="DF3" i="1"/>
  <c r="DE64" i="1"/>
  <c r="DE66" i="1"/>
  <c r="DE71" i="1"/>
  <c r="DE72" i="1"/>
  <c r="DE75" i="1"/>
  <c r="DE97" i="1"/>
  <c r="DE107" i="1"/>
  <c r="DE113" i="1"/>
  <c r="DE121" i="1"/>
  <c r="DE122" i="1"/>
  <c r="DE123" i="1"/>
  <c r="DE147" i="1"/>
  <c r="DE159" i="1"/>
  <c r="DE34" i="1"/>
  <c r="DE32" i="1"/>
  <c r="DE31" i="1"/>
  <c r="DE30" i="1"/>
  <c r="DE29" i="1"/>
  <c r="DE28" i="1"/>
  <c r="DE27" i="1"/>
  <c r="DE26" i="1"/>
  <c r="DE25" i="1"/>
  <c r="DE23" i="1"/>
  <c r="DE22" i="1"/>
  <c r="DE21" i="1"/>
  <c r="DE20" i="1"/>
  <c r="DE18" i="1"/>
  <c r="DE17" i="1"/>
  <c r="DE16" i="1"/>
  <c r="DE15" i="1"/>
  <c r="DE14" i="1"/>
  <c r="DE12" i="1"/>
  <c r="DE11" i="1"/>
  <c r="DE9" i="1"/>
  <c r="DE8" i="1"/>
  <c r="DE7" i="1"/>
  <c r="DE6" i="1"/>
  <c r="DE5" i="1"/>
  <c r="DE4" i="1"/>
  <c r="Z111" i="1"/>
  <c r="Z161" i="1"/>
  <c r="B4" i="1"/>
  <c r="B5" i="1" s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Z62" i="1"/>
  <c r="Z53" i="1"/>
  <c r="Z54" i="1"/>
  <c r="Z55" i="1"/>
  <c r="Z56" i="1"/>
  <c r="Z57" i="1"/>
  <c r="Z58" i="1"/>
  <c r="Z59" i="1"/>
  <c r="Z60" i="1"/>
  <c r="Z61" i="1"/>
  <c r="Z52" i="1"/>
  <c r="Z51" i="1"/>
  <c r="Z35" i="1"/>
  <c r="Z36" i="1"/>
  <c r="Z37" i="1"/>
  <c r="Z38" i="1"/>
  <c r="Z39" i="1"/>
  <c r="Z40" i="1"/>
  <c r="Z41" i="1"/>
  <c r="Z42" i="1"/>
  <c r="Z43" i="1"/>
  <c r="Z44" i="1"/>
  <c r="Z45" i="1"/>
  <c r="Z46" i="1"/>
  <c r="Z47" i="1"/>
  <c r="Z48" i="1"/>
  <c r="Z49" i="1"/>
  <c r="Z50" i="1"/>
  <c r="C3" i="1"/>
  <c r="E3" i="1" s="1"/>
  <c r="AA3" i="1"/>
  <c r="AD3" i="1"/>
  <c r="AE3" i="1"/>
  <c r="AJ3" i="1"/>
  <c r="AR3" i="1"/>
  <c r="C4" i="1"/>
  <c r="E4" i="1" s="1"/>
  <c r="AA4" i="1"/>
  <c r="AD4" i="1"/>
  <c r="AE4" i="1"/>
  <c r="AJ4" i="1"/>
  <c r="C5" i="1"/>
  <c r="E5" i="1" s="1"/>
  <c r="AA5" i="1"/>
  <c r="AD5" i="1"/>
  <c r="AE5" i="1"/>
  <c r="AJ5" i="1"/>
  <c r="C6" i="1"/>
  <c r="E6" i="1" s="1"/>
  <c r="AA6" i="1"/>
  <c r="AD6" i="1"/>
  <c r="AE6" i="1"/>
  <c r="AJ6" i="1"/>
  <c r="AR6" i="1"/>
  <c r="AS6" i="1"/>
  <c r="C7" i="1"/>
  <c r="E7" i="1" s="1"/>
  <c r="AA7" i="1"/>
  <c r="AD7" i="1"/>
  <c r="AE7" i="1"/>
  <c r="AJ7" i="1"/>
  <c r="AR7" i="1"/>
  <c r="AS7" i="1"/>
  <c r="C8" i="1"/>
  <c r="E8" i="1" s="1"/>
  <c r="AA8" i="1"/>
  <c r="AD8" i="1"/>
  <c r="AE8" i="1"/>
  <c r="AJ8" i="1"/>
  <c r="AR8" i="1"/>
  <c r="AS8" i="1"/>
  <c r="C9" i="1"/>
  <c r="E9" i="1" s="1"/>
  <c r="AA9" i="1"/>
  <c r="AD9" i="1"/>
  <c r="AE9" i="1"/>
  <c r="AJ9" i="1"/>
  <c r="AR9" i="1"/>
  <c r="AS9" i="1"/>
  <c r="C10" i="1"/>
  <c r="E10" i="1" s="1"/>
  <c r="AA10" i="1"/>
  <c r="AD10" i="1"/>
  <c r="AE10" i="1"/>
  <c r="AJ10" i="1"/>
  <c r="C11" i="1"/>
  <c r="E11" i="1" s="1"/>
  <c r="AA11" i="1"/>
  <c r="AD11" i="1"/>
  <c r="AE11" i="1"/>
  <c r="AJ11" i="1"/>
  <c r="C12" i="1"/>
  <c r="E12" i="1" s="1"/>
  <c r="AA12" i="1"/>
  <c r="AD12" i="1"/>
  <c r="AE12" i="1"/>
  <c r="AJ12" i="1"/>
  <c r="C13" i="1"/>
  <c r="E13" i="1" s="1"/>
  <c r="AA13" i="1"/>
  <c r="AD13" i="1"/>
  <c r="AE13" i="1"/>
  <c r="AJ13" i="1"/>
  <c r="C14" i="1"/>
  <c r="E14" i="1" s="1"/>
  <c r="AA14" i="1"/>
  <c r="AD14" i="1"/>
  <c r="AE14" i="1"/>
  <c r="AJ14" i="1"/>
  <c r="C15" i="1"/>
  <c r="E15" i="1" s="1"/>
  <c r="AA15" i="1"/>
  <c r="AD15" i="1"/>
  <c r="AE15" i="1"/>
  <c r="AJ15" i="1"/>
  <c r="C16" i="1"/>
  <c r="E16" i="1" s="1"/>
  <c r="AA16" i="1"/>
  <c r="AD16" i="1"/>
  <c r="AE16" i="1"/>
  <c r="AJ16" i="1"/>
  <c r="C17" i="1"/>
  <c r="E17" i="1" s="1"/>
  <c r="AA17" i="1"/>
  <c r="AD17" i="1"/>
  <c r="AE17" i="1"/>
  <c r="AJ17" i="1"/>
  <c r="C18" i="1"/>
  <c r="E18" i="1" s="1"/>
  <c r="AA18" i="1"/>
  <c r="AD18" i="1"/>
  <c r="AE18" i="1"/>
  <c r="AJ18" i="1"/>
  <c r="C19" i="1"/>
  <c r="E19" i="1" s="1"/>
  <c r="AA19" i="1"/>
  <c r="AD19" i="1"/>
  <c r="AE19" i="1"/>
  <c r="AJ19" i="1"/>
  <c r="C20" i="1"/>
  <c r="E20" i="1" s="1"/>
  <c r="AA20" i="1"/>
  <c r="AD20" i="1"/>
  <c r="AJ20" i="1"/>
  <c r="C21" i="1"/>
  <c r="E21" i="1" s="1"/>
  <c r="AA21" i="1"/>
  <c r="AD21" i="1"/>
  <c r="AJ21" i="1"/>
  <c r="AS21" i="1"/>
  <c r="C22" i="1"/>
  <c r="E22" i="1" s="1"/>
  <c r="AA22" i="1"/>
  <c r="AD22" i="1"/>
  <c r="AJ22" i="1"/>
  <c r="AR22" i="1"/>
  <c r="AS22" i="1"/>
  <c r="AV22" i="1"/>
  <c r="AW22" i="1"/>
  <c r="AX22" i="1"/>
  <c r="AY22" i="1"/>
  <c r="AZ22" i="1"/>
  <c r="BA22" i="1"/>
  <c r="BB22" i="1"/>
  <c r="BC22" i="1"/>
  <c r="BD22" i="1"/>
  <c r="BE22" i="1"/>
  <c r="BF22" i="1"/>
  <c r="BG22" i="1"/>
  <c r="BH22" i="1"/>
  <c r="BI22" i="1"/>
  <c r="BJ22" i="1"/>
  <c r="BK22" i="1"/>
  <c r="BL22" i="1"/>
  <c r="BM22" i="1"/>
  <c r="BN22" i="1"/>
  <c r="BO22" i="1"/>
  <c r="BP22" i="1"/>
  <c r="BQ22" i="1"/>
  <c r="BR22" i="1"/>
  <c r="BS22" i="1"/>
  <c r="BT22" i="1"/>
  <c r="C23" i="1"/>
  <c r="E23" i="1" s="1"/>
  <c r="AA23" i="1"/>
  <c r="AD23" i="1"/>
  <c r="AJ23" i="1"/>
  <c r="AR23" i="1"/>
  <c r="AS23" i="1"/>
  <c r="AV23" i="1"/>
  <c r="AW23" i="1"/>
  <c r="AX23" i="1"/>
  <c r="AY23" i="1"/>
  <c r="AZ23" i="1"/>
  <c r="BA23" i="1"/>
  <c r="BB23" i="1"/>
  <c r="BC23" i="1"/>
  <c r="BD23" i="1"/>
  <c r="BE23" i="1"/>
  <c r="BF23" i="1"/>
  <c r="BG23" i="1"/>
  <c r="BH23" i="1"/>
  <c r="BI23" i="1"/>
  <c r="BJ23" i="1"/>
  <c r="BK23" i="1"/>
  <c r="BL23" i="1"/>
  <c r="BM23" i="1"/>
  <c r="BN23" i="1"/>
  <c r="BO23" i="1"/>
  <c r="BP23" i="1"/>
  <c r="BQ23" i="1"/>
  <c r="BR23" i="1"/>
  <c r="BS23" i="1"/>
  <c r="BT23" i="1"/>
  <c r="C24" i="1"/>
  <c r="E24" i="1" s="1"/>
  <c r="AA24" i="1"/>
  <c r="AD24" i="1"/>
  <c r="AJ24" i="1"/>
  <c r="C25" i="1"/>
  <c r="E25" i="1" s="1"/>
  <c r="AA25" i="1"/>
  <c r="AD25" i="1"/>
  <c r="AJ25" i="1"/>
  <c r="AR25" i="1"/>
  <c r="AS25" i="1"/>
  <c r="AV25" i="1"/>
  <c r="AW25" i="1"/>
  <c r="AX25" i="1"/>
  <c r="AY25" i="1"/>
  <c r="AZ25" i="1"/>
  <c r="BA25" i="1"/>
  <c r="BB25" i="1"/>
  <c r="BC25" i="1"/>
  <c r="BD25" i="1"/>
  <c r="BE25" i="1"/>
  <c r="BF25" i="1"/>
  <c r="BG25" i="1"/>
  <c r="BH25" i="1"/>
  <c r="BI25" i="1"/>
  <c r="BJ25" i="1"/>
  <c r="BK25" i="1"/>
  <c r="BL25" i="1"/>
  <c r="BM25" i="1"/>
  <c r="BN25" i="1"/>
  <c r="BO25" i="1"/>
  <c r="BP25" i="1"/>
  <c r="BQ25" i="1"/>
  <c r="BR25" i="1"/>
  <c r="BS25" i="1"/>
  <c r="BT25" i="1"/>
  <c r="C26" i="1"/>
  <c r="E26" i="1" s="1"/>
  <c r="AA26" i="1"/>
  <c r="AD26" i="1"/>
  <c r="AJ26" i="1"/>
  <c r="AR26" i="1"/>
  <c r="AS26" i="1"/>
  <c r="AV26" i="1"/>
  <c r="AW26" i="1"/>
  <c r="AX26" i="1"/>
  <c r="AY26" i="1"/>
  <c r="AZ26" i="1"/>
  <c r="BA26" i="1"/>
  <c r="BB26" i="1"/>
  <c r="BC26" i="1"/>
  <c r="BD26" i="1"/>
  <c r="BE26" i="1"/>
  <c r="BF26" i="1"/>
  <c r="BG26" i="1"/>
  <c r="BH26" i="1"/>
  <c r="BI26" i="1"/>
  <c r="BJ26" i="1"/>
  <c r="BK26" i="1"/>
  <c r="BL26" i="1"/>
  <c r="BM26" i="1"/>
  <c r="BN26" i="1"/>
  <c r="BO26" i="1"/>
  <c r="BP26" i="1"/>
  <c r="BQ26" i="1"/>
  <c r="BR26" i="1"/>
  <c r="BS26" i="1"/>
  <c r="BT26" i="1"/>
  <c r="C27" i="1"/>
  <c r="E27" i="1" s="1"/>
  <c r="AA27" i="1"/>
  <c r="AD27" i="1"/>
  <c r="AJ27" i="1"/>
  <c r="AR27" i="1"/>
  <c r="AS27" i="1"/>
  <c r="AV27" i="1"/>
  <c r="AW27" i="1"/>
  <c r="AX27" i="1"/>
  <c r="AY27" i="1"/>
  <c r="AZ27" i="1"/>
  <c r="BA27" i="1"/>
  <c r="BB27" i="1"/>
  <c r="BC27" i="1"/>
  <c r="BD27" i="1"/>
  <c r="BE27" i="1"/>
  <c r="BF27" i="1"/>
  <c r="BG27" i="1"/>
  <c r="BH27" i="1"/>
  <c r="BI27" i="1"/>
  <c r="BJ27" i="1"/>
  <c r="BK27" i="1"/>
  <c r="BL27" i="1"/>
  <c r="BM27" i="1"/>
  <c r="BN27" i="1"/>
  <c r="BO27" i="1"/>
  <c r="BP27" i="1"/>
  <c r="BQ27" i="1"/>
  <c r="BR27" i="1"/>
  <c r="BS27" i="1"/>
  <c r="BT27" i="1"/>
  <c r="C28" i="1"/>
  <c r="E28" i="1" s="1"/>
  <c r="AA28" i="1"/>
  <c r="AD28" i="1"/>
  <c r="AJ28" i="1"/>
  <c r="AR28" i="1"/>
  <c r="AS28" i="1"/>
  <c r="AV28" i="1"/>
  <c r="AW28" i="1"/>
  <c r="AX28" i="1"/>
  <c r="AY28" i="1"/>
  <c r="AZ28" i="1"/>
  <c r="BA28" i="1"/>
  <c r="BB28" i="1"/>
  <c r="BC28" i="1"/>
  <c r="BD28" i="1"/>
  <c r="BE28" i="1"/>
  <c r="BF28" i="1"/>
  <c r="BG28" i="1"/>
  <c r="BH28" i="1"/>
  <c r="BI28" i="1"/>
  <c r="BJ28" i="1"/>
  <c r="BK28" i="1"/>
  <c r="BL28" i="1"/>
  <c r="BM28" i="1"/>
  <c r="BN28" i="1"/>
  <c r="BO28" i="1"/>
  <c r="BP28" i="1"/>
  <c r="BQ28" i="1"/>
  <c r="BR28" i="1"/>
  <c r="BS28" i="1"/>
  <c r="BT28" i="1"/>
  <c r="C29" i="1"/>
  <c r="E29" i="1" s="1"/>
  <c r="AA29" i="1"/>
  <c r="AD29" i="1"/>
  <c r="AJ29" i="1"/>
  <c r="AR29" i="1"/>
  <c r="C30" i="1"/>
  <c r="E30" i="1" s="1"/>
  <c r="AA30" i="1"/>
  <c r="AD30" i="1"/>
  <c r="AJ30" i="1"/>
  <c r="AR30" i="1"/>
  <c r="C31" i="1"/>
  <c r="E31" i="1" s="1"/>
  <c r="AA31" i="1"/>
  <c r="AD31" i="1"/>
  <c r="AJ31" i="1"/>
  <c r="AR31" i="1"/>
  <c r="C32" i="1"/>
  <c r="E32" i="1" s="1"/>
  <c r="AA32" i="1"/>
  <c r="AD32" i="1"/>
  <c r="AJ32" i="1"/>
  <c r="AR32" i="1"/>
  <c r="C33" i="1"/>
  <c r="E33" i="1" s="1"/>
  <c r="AA33" i="1"/>
  <c r="AD33" i="1"/>
  <c r="AJ33" i="1"/>
  <c r="AR33" i="1"/>
  <c r="C34" i="1"/>
  <c r="E34" i="1" s="1"/>
  <c r="AA34" i="1"/>
  <c r="AD34" i="1"/>
  <c r="AJ34" i="1"/>
  <c r="AR34" i="1"/>
  <c r="AS34" i="1"/>
  <c r="AV34" i="1"/>
  <c r="AW34" i="1"/>
  <c r="AX34" i="1"/>
  <c r="AY34" i="1"/>
  <c r="AZ34" i="1"/>
  <c r="BA34" i="1"/>
  <c r="BB34" i="1"/>
  <c r="BC34" i="1"/>
  <c r="BD34" i="1"/>
  <c r="BE34" i="1"/>
  <c r="BF34" i="1"/>
  <c r="BG34" i="1"/>
  <c r="BH34" i="1"/>
  <c r="BI34" i="1"/>
  <c r="BJ34" i="1"/>
  <c r="BK34" i="1"/>
  <c r="BL34" i="1"/>
  <c r="BM34" i="1"/>
  <c r="BN34" i="1"/>
  <c r="BO34" i="1"/>
  <c r="BP34" i="1"/>
  <c r="BQ34" i="1"/>
  <c r="BR34" i="1"/>
  <c r="BS34" i="1"/>
  <c r="BT34" i="1"/>
  <c r="BV2" i="1"/>
  <c r="BX2" i="1"/>
  <c r="BZ2" i="1"/>
  <c r="CB2" i="1"/>
  <c r="DD2" i="1"/>
  <c r="DB2" i="1"/>
  <c r="CT2" i="1"/>
  <c r="CZ2" i="1"/>
  <c r="CX2" i="1"/>
  <c r="CV2" i="1"/>
  <c r="CR2" i="1"/>
  <c r="CP2" i="1"/>
  <c r="CN2" i="1"/>
  <c r="CL2" i="1"/>
  <c r="CJ2" i="1"/>
  <c r="CH2" i="1"/>
  <c r="CF2" i="1"/>
  <c r="CD2" i="1"/>
  <c r="DE3" i="1" l="1"/>
  <c r="T207" i="1" a="1"/>
  <c r="T207" i="1" s="1"/>
  <c r="T203" i="1" a="1"/>
  <c r="T203" i="1" s="1"/>
  <c r="S202" i="1" a="1"/>
  <c r="S202" i="1" s="1"/>
  <c r="S199" i="1" a="1"/>
  <c r="S199" i="1" s="1"/>
  <c r="T208" i="1" a="1"/>
  <c r="T208" i="1" s="1"/>
  <c r="S207" i="1" a="1"/>
  <c r="S207" i="1" s="1"/>
  <c r="S203" i="1" a="1"/>
  <c r="S203" i="1" s="1"/>
  <c r="T200" i="1" a="1"/>
  <c r="T200" i="1" s="1"/>
  <c r="S209" i="1" a="1"/>
  <c r="S209" i="1" s="1"/>
  <c r="S200" i="1" a="1"/>
  <c r="S200" i="1" s="1"/>
  <c r="S198" i="1"/>
  <c r="T209" i="1" a="1"/>
  <c r="T209" i="1" s="1"/>
  <c r="T198" i="1"/>
  <c r="S208" i="1" a="1"/>
  <c r="S208" i="1" s="1"/>
  <c r="T202" i="1" a="1"/>
  <c r="T202" i="1" s="1"/>
  <c r="T199" i="1" a="1"/>
  <c r="T199" i="1" s="1"/>
  <c r="Z116" i="1"/>
  <c r="DE116" i="1"/>
  <c r="Z157" i="1"/>
  <c r="DE157" i="1"/>
  <c r="Z114" i="1"/>
  <c r="DE114" i="1"/>
  <c r="B28" i="1"/>
  <c r="Z68" i="1"/>
  <c r="DE68" i="1"/>
  <c r="Z13" i="1"/>
  <c r="DE13" i="1"/>
  <c r="Z24" i="1"/>
  <c r="DE24" i="1"/>
  <c r="Z125" i="1"/>
  <c r="DE125" i="1"/>
  <c r="Z109" i="1"/>
  <c r="DE109" i="1"/>
  <c r="Z10" i="1"/>
  <c r="DE10" i="1"/>
  <c r="Z63" i="1"/>
  <c r="DE63" i="1"/>
  <c r="Z19" i="1"/>
  <c r="DE19" i="1"/>
  <c r="Z33" i="1"/>
  <c r="DE33" i="1"/>
  <c r="Z118" i="1"/>
  <c r="DE118" i="1"/>
  <c r="Z73" i="1"/>
  <c r="DE73" i="1"/>
  <c r="Z122" i="1"/>
  <c r="Z97" i="1"/>
  <c r="Z25" i="1"/>
  <c r="Z26" i="1"/>
  <c r="Z147" i="1"/>
  <c r="Z113" i="1"/>
  <c r="Z29" i="1"/>
  <c r="Z34" i="1"/>
  <c r="Z71" i="1"/>
  <c r="Z8" i="1"/>
  <c r="Z17" i="1"/>
  <c r="Z28" i="1"/>
  <c r="Z66" i="1"/>
  <c r="Z30" i="1"/>
  <c r="Z23" i="1"/>
  <c r="Z18" i="1"/>
  <c r="Z7" i="1"/>
  <c r="Z21" i="1"/>
  <c r="Z6" i="1"/>
  <c r="Z27" i="1"/>
  <c r="Z32" i="1"/>
  <c r="Z20" i="1"/>
  <c r="Z31" i="1"/>
  <c r="Z4" i="1"/>
  <c r="Z12" i="1"/>
  <c r="Z123" i="1"/>
  <c r="Z11" i="1"/>
  <c r="Z16" i="1"/>
  <c r="Z75" i="1"/>
  <c r="Z14" i="1"/>
  <c r="Z121" i="1"/>
  <c r="Z159" i="1"/>
  <c r="Z72" i="1"/>
  <c r="Z107" i="1"/>
  <c r="Z64" i="1"/>
  <c r="Z9" i="1"/>
  <c r="Z22" i="1"/>
  <c r="Z5" i="1"/>
  <c r="C35" i="1"/>
  <c r="E35" i="1" s="1"/>
  <c r="Z15" i="1"/>
  <c r="Z3" i="1"/>
  <c r="DE112" i="1"/>
  <c r="S168" i="1" l="1" a="1"/>
  <c r="S168" i="1" s="1"/>
  <c r="S176" i="1" a="1"/>
  <c r="S176" i="1" s="1"/>
  <c r="S179" i="1" a="1"/>
  <c r="S179" i="1" s="1"/>
  <c r="T167" i="1"/>
  <c r="T169" i="1" a="1"/>
  <c r="T169" i="1" s="1"/>
  <c r="T179" i="1" a="1"/>
  <c r="T179" i="1" s="1"/>
  <c r="T175" i="1" a="1"/>
  <c r="T175" i="1" s="1"/>
  <c r="S177" i="1" a="1"/>
  <c r="S177" i="1" s="1"/>
  <c r="S170" i="1" a="1"/>
  <c r="S170" i="1" s="1"/>
  <c r="T174" i="1" a="1"/>
  <c r="T174" i="1" s="1"/>
  <c r="S167" i="1"/>
  <c r="T168" i="1" a="1"/>
  <c r="T168" i="1" s="1"/>
  <c r="S174" i="1" a="1"/>
  <c r="S174" i="1" s="1"/>
  <c r="S169" i="1" a="1"/>
  <c r="S169" i="1" s="1"/>
  <c r="S171" i="1" a="1"/>
  <c r="S171" i="1" s="1"/>
  <c r="T172" i="1" a="1"/>
  <c r="T172" i="1" s="1"/>
  <c r="S178" i="1" a="1"/>
  <c r="S178" i="1" s="1"/>
  <c r="S172" i="1" a="1"/>
  <c r="S172" i="1" s="1"/>
  <c r="S175" i="1" a="1"/>
  <c r="S175" i="1" s="1"/>
  <c r="T178" i="1" a="1"/>
  <c r="T178" i="1" s="1"/>
  <c r="S173" i="1" a="1"/>
  <c r="S173" i="1" s="1"/>
  <c r="V209" i="1" a="1"/>
  <c r="V209" i="1" s="1"/>
  <c r="U200" i="1" a="1"/>
  <c r="U200" i="1" s="1"/>
  <c r="V199" i="1" a="1"/>
  <c r="V199" i="1" s="1"/>
  <c r="U209" i="1" a="1"/>
  <c r="U209" i="1" s="1"/>
  <c r="V198" i="1"/>
  <c r="V208" i="1" a="1"/>
  <c r="V208" i="1" s="1"/>
  <c r="U198" i="1"/>
  <c r="U208" i="1" a="1"/>
  <c r="U208" i="1" s="1"/>
  <c r="V202" i="1" a="1"/>
  <c r="V202" i="1" s="1"/>
  <c r="V207" i="1" a="1"/>
  <c r="V207" i="1" s="1"/>
  <c r="V203" i="1" a="1"/>
  <c r="V203" i="1" s="1"/>
  <c r="U202" i="1" a="1"/>
  <c r="U202" i="1" s="1"/>
  <c r="V200" i="1" a="1"/>
  <c r="V200" i="1" s="1"/>
  <c r="U199" i="1" a="1"/>
  <c r="U199" i="1" s="1"/>
  <c r="U207" i="1" a="1"/>
  <c r="U207" i="1" s="1"/>
  <c r="U203" i="1" a="1"/>
  <c r="U203" i="1" s="1"/>
  <c r="T173" i="1" a="1"/>
  <c r="T173" i="1" s="1"/>
  <c r="T170" i="1" a="1"/>
  <c r="T170" i="1" s="1"/>
  <c r="T176" i="1" a="1"/>
  <c r="T176" i="1" s="1"/>
  <c r="T171" i="1" a="1"/>
  <c r="T171" i="1" s="1"/>
  <c r="T177" i="1" a="1"/>
  <c r="T177" i="1" s="1"/>
  <c r="C36" i="1"/>
  <c r="E36" i="1" s="1"/>
  <c r="Z162" i="1"/>
  <c r="DE162" i="1"/>
  <c r="Z112" i="1"/>
  <c r="U170" i="1" l="1" a="1"/>
  <c r="U170" i="1" s="1"/>
  <c r="V167" i="1"/>
  <c r="U169" i="1" a="1"/>
  <c r="U169" i="1" s="1"/>
  <c r="U171" i="1" a="1"/>
  <c r="U171" i="1" s="1"/>
  <c r="U176" i="1" a="1"/>
  <c r="U176" i="1" s="1"/>
  <c r="V171" i="1" a="1"/>
  <c r="V171" i="1" s="1"/>
  <c r="V173" i="1" a="1"/>
  <c r="V173" i="1" s="1"/>
  <c r="U167" i="1"/>
  <c r="U173" i="1" a="1"/>
  <c r="U173" i="1" s="1"/>
  <c r="V170" i="1" a="1"/>
  <c r="V170" i="1" s="1"/>
  <c r="U168" i="1" a="1"/>
  <c r="U168" i="1" s="1"/>
  <c r="V175" i="1" a="1"/>
  <c r="V175" i="1" s="1"/>
  <c r="U174" i="1" a="1"/>
  <c r="U174" i="1" s="1"/>
  <c r="V177" i="1" a="1"/>
  <c r="V177" i="1" s="1"/>
  <c r="V174" i="1" a="1"/>
  <c r="V174" i="1" s="1"/>
  <c r="V178" i="1" a="1"/>
  <c r="V178" i="1" s="1"/>
  <c r="U178" i="1" a="1"/>
  <c r="U178" i="1" s="1"/>
  <c r="V168" i="1" a="1"/>
  <c r="V168" i="1" s="1"/>
  <c r="V169" i="1" a="1"/>
  <c r="V169" i="1" s="1"/>
  <c r="V179" i="1" a="1"/>
  <c r="V179" i="1" s="1"/>
  <c r="U172" i="1" a="1"/>
  <c r="U172" i="1" s="1"/>
  <c r="V176" i="1" a="1"/>
  <c r="V176" i="1" s="1"/>
  <c r="V172" i="1" a="1"/>
  <c r="V172" i="1" s="1"/>
  <c r="U179" i="1" a="1"/>
  <c r="U179" i="1" s="1"/>
  <c r="U177" i="1" a="1"/>
  <c r="U177" i="1" s="1"/>
  <c r="U175" i="1" a="1"/>
  <c r="U175" i="1" s="1"/>
  <c r="C37" i="1"/>
  <c r="E37" i="1" s="1"/>
  <c r="C38" i="1" l="1"/>
  <c r="E38" i="1" s="1"/>
  <c r="C39" i="1" l="1"/>
  <c r="E39" i="1" s="1"/>
  <c r="C40" i="1" l="1"/>
  <c r="E40" i="1" s="1"/>
  <c r="C41" i="1" l="1"/>
  <c r="E41" i="1" s="1"/>
  <c r="C42" i="1" l="1"/>
  <c r="E42" i="1" s="1"/>
  <c r="C43" i="1" l="1"/>
  <c r="E43" i="1" s="1"/>
  <c r="C44" i="1" l="1"/>
  <c r="E44" i="1" s="1"/>
  <c r="C45" i="1" l="1"/>
  <c r="E45" i="1" s="1"/>
  <c r="C46" i="1" l="1"/>
  <c r="E46" i="1" s="1"/>
  <c r="C47" i="1" l="1"/>
  <c r="E47" i="1" s="1"/>
  <c r="C48" i="1" l="1"/>
  <c r="E48" i="1" s="1"/>
  <c r="C49" i="1" l="1"/>
  <c r="E49" i="1" s="1"/>
  <c r="G51" i="1"/>
  <c r="C50" i="1" l="1"/>
  <c r="E50" i="1" s="1"/>
  <c r="G52" i="1" l="1"/>
  <c r="C51" i="1"/>
  <c r="E51" i="1" s="1"/>
  <c r="C52" i="1" l="1"/>
  <c r="E52" i="1" s="1"/>
  <c r="G53" i="1"/>
  <c r="G54" i="1" l="1"/>
  <c r="C53" i="1"/>
  <c r="E53" i="1" s="1"/>
  <c r="G55" i="1" l="1"/>
  <c r="C54" i="1"/>
  <c r="E54" i="1" s="1"/>
  <c r="G56" i="1" l="1"/>
  <c r="C55" i="1"/>
  <c r="E55" i="1" s="1"/>
  <c r="C56" i="1" l="1"/>
  <c r="E56" i="1" s="1"/>
  <c r="G57" i="1"/>
  <c r="G58" i="1" l="1"/>
  <c r="C57" i="1"/>
  <c r="E57" i="1" s="1"/>
  <c r="G59" i="1" l="1"/>
  <c r="C58" i="1"/>
  <c r="E58" i="1" s="1"/>
  <c r="G60" i="1" l="1"/>
  <c r="C59" i="1"/>
  <c r="E59" i="1" s="1"/>
  <c r="G61" i="1" l="1"/>
  <c r="C60" i="1"/>
  <c r="E60" i="1" s="1"/>
  <c r="C61" i="1" l="1"/>
  <c r="E61" i="1" s="1"/>
  <c r="G62" i="1"/>
  <c r="G63" i="1" s="1"/>
  <c r="C62" i="1" l="1"/>
  <c r="E62" i="1" s="1"/>
  <c r="C63" i="1" l="1"/>
  <c r="E63" i="1" s="1"/>
  <c r="G64" i="1"/>
  <c r="G65" i="1" l="1"/>
  <c r="C64" i="1"/>
  <c r="E64" i="1" s="1"/>
  <c r="C65" i="1" l="1"/>
  <c r="E65" i="1" s="1"/>
  <c r="G66" i="1"/>
  <c r="C66" i="1" l="1"/>
  <c r="E66" i="1" s="1"/>
  <c r="G67" i="1"/>
  <c r="C67" i="1" l="1"/>
  <c r="E67" i="1" s="1"/>
  <c r="G68" i="1"/>
  <c r="C68" i="1" l="1"/>
  <c r="E68" i="1" s="1"/>
  <c r="G69" i="1"/>
  <c r="G70" i="1" l="1"/>
  <c r="C69" i="1"/>
  <c r="E69" i="1" s="1"/>
  <c r="C70" i="1" l="1"/>
  <c r="E70" i="1" s="1"/>
  <c r="G71" i="1"/>
  <c r="C71" i="1" l="1"/>
  <c r="E71" i="1" s="1"/>
  <c r="G72" i="1"/>
  <c r="C72" i="1" l="1"/>
  <c r="E72" i="1" s="1"/>
  <c r="G73" i="1"/>
  <c r="C73" i="1" l="1"/>
  <c r="E73" i="1" s="1"/>
  <c r="G74" i="1"/>
  <c r="C74" i="1" l="1"/>
  <c r="E74" i="1" s="1"/>
  <c r="G75" i="1"/>
  <c r="C75" i="1" l="1"/>
  <c r="E75" i="1" s="1"/>
  <c r="G76" i="1"/>
  <c r="C76" i="1" l="1"/>
  <c r="E76" i="1" s="1"/>
  <c r="G77" i="1"/>
  <c r="C77" i="1" l="1"/>
  <c r="E77" i="1" s="1"/>
  <c r="G78" i="1"/>
  <c r="G79" i="1" l="1"/>
  <c r="C78" i="1"/>
  <c r="E78" i="1" s="1"/>
  <c r="G80" i="1" l="1"/>
  <c r="C79" i="1"/>
  <c r="E79" i="1" s="1"/>
  <c r="C80" i="1" l="1"/>
  <c r="E80" i="1" s="1"/>
  <c r="G81" i="1"/>
  <c r="C81" i="1" l="1"/>
  <c r="E81" i="1" s="1"/>
  <c r="G82" i="1"/>
  <c r="C82" i="1" l="1"/>
  <c r="E82" i="1" s="1"/>
  <c r="G83" i="1"/>
  <c r="G84" i="1" l="1"/>
  <c r="C83" i="1"/>
  <c r="E83" i="1" s="1"/>
  <c r="G85" i="1" l="1"/>
  <c r="C84" i="1"/>
  <c r="E84" i="1" s="1"/>
  <c r="G86" i="1" l="1"/>
  <c r="C85" i="1"/>
  <c r="E85" i="1" s="1"/>
  <c r="G87" i="1" l="1"/>
  <c r="C86" i="1"/>
  <c r="E86" i="1" s="1"/>
  <c r="G88" i="1" l="1"/>
  <c r="C87" i="1"/>
  <c r="E87" i="1" s="1"/>
  <c r="C88" i="1" l="1"/>
  <c r="E88" i="1" s="1"/>
  <c r="G89" i="1"/>
  <c r="C89" i="1" l="1"/>
  <c r="E89" i="1" s="1"/>
  <c r="G90" i="1"/>
  <c r="C90" i="1" l="1"/>
  <c r="E90" i="1" s="1"/>
  <c r="G91" i="1"/>
  <c r="C91" i="1" l="1"/>
  <c r="E91" i="1" s="1"/>
  <c r="G92" i="1"/>
  <c r="G93" i="1" l="1"/>
  <c r="C92" i="1"/>
  <c r="E92" i="1" s="1"/>
  <c r="C93" i="1" l="1"/>
  <c r="E93" i="1" s="1"/>
  <c r="G94" i="1"/>
  <c r="G95" i="1" l="1"/>
  <c r="C94" i="1"/>
  <c r="E94" i="1" s="1"/>
  <c r="G96" i="1" l="1"/>
  <c r="C95" i="1"/>
  <c r="E95" i="1" s="1"/>
  <c r="G97" i="1" l="1"/>
  <c r="C96" i="1"/>
  <c r="E96" i="1" s="1"/>
  <c r="G98" i="1" l="1"/>
  <c r="C97" i="1"/>
  <c r="E97" i="1" s="1"/>
  <c r="G99" i="1" l="1"/>
  <c r="C98" i="1"/>
  <c r="E98" i="1" s="1"/>
  <c r="G100" i="1" l="1"/>
  <c r="C99" i="1"/>
  <c r="E99" i="1" s="1"/>
  <c r="C100" i="1" l="1"/>
  <c r="E100" i="1" s="1"/>
  <c r="G101" i="1"/>
  <c r="C101" i="1" l="1"/>
  <c r="E101" i="1" s="1"/>
  <c r="G102" i="1"/>
  <c r="C102" i="1" l="1"/>
  <c r="E102" i="1" s="1"/>
  <c r="G103" i="1"/>
  <c r="C103" i="1" l="1"/>
  <c r="E103" i="1" s="1"/>
  <c r="G104" i="1"/>
  <c r="G105" i="1" l="1"/>
  <c r="C104" i="1"/>
  <c r="E104" i="1" s="1"/>
  <c r="G106" i="1" l="1"/>
  <c r="C105" i="1"/>
  <c r="E105" i="1" s="1"/>
  <c r="G107" i="1" l="1"/>
  <c r="C106" i="1"/>
  <c r="E106" i="1" s="1"/>
  <c r="C107" i="1" l="1"/>
  <c r="E107" i="1" s="1"/>
  <c r="G108" i="1"/>
  <c r="G109" i="1" l="1"/>
  <c r="C108" i="1"/>
  <c r="E108" i="1" s="1"/>
  <c r="C109" i="1" l="1"/>
  <c r="E109" i="1" s="1"/>
  <c r="G110" i="1"/>
  <c r="G111" i="1" l="1"/>
  <c r="C110" i="1"/>
  <c r="E110" i="1" s="1"/>
  <c r="G112" i="1" l="1"/>
  <c r="C111" i="1"/>
  <c r="E111" i="1" s="1"/>
  <c r="C112" i="1" l="1"/>
  <c r="E112" i="1" s="1"/>
  <c r="G113" i="1"/>
  <c r="C113" i="1" l="1"/>
  <c r="E113" i="1" s="1"/>
  <c r="G114" i="1"/>
  <c r="G115" i="1" l="1"/>
  <c r="C114" i="1"/>
  <c r="E114" i="1" s="1"/>
  <c r="G116" i="1" l="1"/>
  <c r="C115" i="1"/>
  <c r="E115" i="1" s="1"/>
  <c r="C116" i="1" l="1"/>
  <c r="E116" i="1" s="1"/>
  <c r="G117" i="1"/>
  <c r="C117" i="1" l="1"/>
  <c r="E117" i="1" s="1"/>
  <c r="G118" i="1"/>
  <c r="C118" i="1" l="1"/>
  <c r="E118" i="1" s="1"/>
  <c r="G119" i="1"/>
  <c r="C119" i="1" l="1"/>
  <c r="E119" i="1" s="1"/>
  <c r="G120" i="1"/>
  <c r="G121" i="1" l="1"/>
  <c r="C120" i="1"/>
  <c r="E120" i="1" s="1"/>
  <c r="C121" i="1" l="1"/>
  <c r="E121" i="1" s="1"/>
  <c r="G122" i="1"/>
  <c r="C122" i="1" l="1"/>
  <c r="E122" i="1" s="1"/>
  <c r="G123" i="1"/>
  <c r="C123" i="1" l="1"/>
  <c r="E123" i="1" s="1"/>
  <c r="G124" i="1"/>
  <c r="C124" i="1" l="1"/>
  <c r="E124" i="1" s="1"/>
  <c r="G125" i="1"/>
  <c r="C125" i="1" l="1"/>
  <c r="E125" i="1" s="1"/>
  <c r="G126" i="1"/>
  <c r="C126" i="1" l="1"/>
  <c r="E126" i="1" s="1"/>
  <c r="G127" i="1"/>
  <c r="G128" i="1" l="1"/>
  <c r="C127" i="1"/>
  <c r="E127" i="1" s="1"/>
  <c r="C128" i="1" l="1"/>
  <c r="E128" i="1" s="1"/>
  <c r="G129" i="1"/>
  <c r="G130" i="1" l="1"/>
  <c r="C129" i="1"/>
  <c r="E129" i="1" s="1"/>
  <c r="C130" i="1" l="1"/>
  <c r="E130" i="1" s="1"/>
  <c r="G131" i="1"/>
  <c r="C131" i="1" l="1"/>
  <c r="E131" i="1" s="1"/>
  <c r="G132" i="1"/>
  <c r="G133" i="1" l="1"/>
  <c r="C132" i="1"/>
  <c r="E132" i="1" s="1"/>
  <c r="G134" i="1" l="1"/>
  <c r="C133" i="1"/>
  <c r="E133" i="1" s="1"/>
  <c r="C134" i="1" l="1"/>
  <c r="E134" i="1" s="1"/>
  <c r="G135" i="1"/>
  <c r="C135" i="1" l="1"/>
  <c r="E135" i="1" s="1"/>
  <c r="G136" i="1"/>
  <c r="C136" i="1" l="1"/>
  <c r="E136" i="1" s="1"/>
  <c r="G137" i="1"/>
  <c r="C137" i="1" l="1"/>
  <c r="E137" i="1" s="1"/>
  <c r="G138" i="1"/>
  <c r="G139" i="1" l="1"/>
  <c r="C138" i="1"/>
  <c r="E138" i="1" s="1"/>
  <c r="C139" i="1" l="1"/>
  <c r="E139" i="1" s="1"/>
  <c r="G140" i="1"/>
  <c r="C140" i="1" l="1"/>
  <c r="E140" i="1" s="1"/>
  <c r="G141" i="1"/>
  <c r="G142" i="1" l="1"/>
  <c r="C141" i="1"/>
  <c r="E141" i="1" s="1"/>
  <c r="G143" i="1" l="1"/>
  <c r="C142" i="1"/>
  <c r="E142" i="1" s="1"/>
  <c r="C143" i="1" l="1"/>
  <c r="E143" i="1" s="1"/>
  <c r="G144" i="1"/>
  <c r="G145" i="1" l="1"/>
  <c r="C144" i="1"/>
  <c r="E144" i="1" s="1"/>
  <c r="C145" i="1" l="1"/>
  <c r="E145" i="1" s="1"/>
  <c r="G146" i="1"/>
  <c r="G147" i="1" l="1"/>
  <c r="C146" i="1"/>
  <c r="E146" i="1" s="1"/>
  <c r="G148" i="1" l="1"/>
  <c r="C147" i="1"/>
  <c r="E147" i="1" s="1"/>
  <c r="G149" i="1" l="1"/>
  <c r="C148" i="1"/>
  <c r="E148" i="1" s="1"/>
  <c r="C149" i="1" l="1"/>
  <c r="E149" i="1" s="1"/>
  <c r="G150" i="1"/>
  <c r="G151" i="1" l="1"/>
  <c r="C150" i="1"/>
  <c r="E150" i="1" s="1"/>
  <c r="G152" i="1" l="1"/>
  <c r="C151" i="1"/>
  <c r="E151" i="1" s="1"/>
  <c r="C152" i="1" l="1"/>
  <c r="E152" i="1" s="1"/>
  <c r="G153" i="1"/>
  <c r="G154" i="1" l="1"/>
  <c r="C153" i="1"/>
  <c r="E153" i="1" s="1"/>
  <c r="C154" i="1" l="1"/>
  <c r="E154" i="1" s="1"/>
  <c r="G155" i="1"/>
  <c r="G156" i="1" l="1"/>
  <c r="C155" i="1"/>
  <c r="E155" i="1" s="1"/>
  <c r="C156" i="1" l="1"/>
  <c r="E156" i="1" s="1"/>
  <c r="G157" i="1"/>
  <c r="G158" i="1" l="1"/>
  <c r="C157" i="1"/>
  <c r="E157" i="1" s="1"/>
  <c r="C158" i="1" l="1"/>
  <c r="E158" i="1" s="1"/>
  <c r="G159" i="1"/>
  <c r="G160" i="1" l="1"/>
  <c r="C159" i="1"/>
  <c r="E159" i="1" s="1"/>
  <c r="G161" i="1" l="1"/>
  <c r="C160" i="1"/>
  <c r="E160" i="1" s="1"/>
  <c r="C161" i="1" l="1"/>
  <c r="E161" i="1" s="1"/>
  <c r="G162" i="1"/>
  <c r="C162" i="1" s="1"/>
  <c r="E162" i="1" s="1"/>
</calcChain>
</file>

<file path=xl/comments1.xml><?xml version="1.0" encoding="utf-8"?>
<comments xmlns="http://schemas.openxmlformats.org/spreadsheetml/2006/main">
  <authors>
    <author>ATROPOS_02</author>
    <author>CHAOS</author>
  </authors>
  <commentList>
    <comment ref="M2" authorId="0">
      <text>
        <r>
          <rPr>
            <b/>
            <sz val="9"/>
            <color indexed="81"/>
            <rFont val="Tahoma"/>
            <family val="2"/>
          </rPr>
          <t>ATROPOS_02:</t>
        </r>
        <r>
          <rPr>
            <sz val="9"/>
            <color indexed="81"/>
            <rFont val="Tahoma"/>
            <family val="2"/>
          </rPr>
          <t xml:space="preserve">
it discriminates between neoplasm and controls only</t>
        </r>
      </text>
    </comment>
    <comment ref="N2" authorId="0">
      <text>
        <r>
          <rPr>
            <b/>
            <sz val="9"/>
            <color indexed="81"/>
            <rFont val="Tahoma"/>
            <family val="2"/>
          </rPr>
          <t>ATROPOS_02:</t>
        </r>
        <r>
          <rPr>
            <sz val="9"/>
            <color indexed="81"/>
            <rFont val="Tahoma"/>
            <family val="2"/>
          </rPr>
          <t xml:space="preserve">
discriminates between malignant neoplasm, benign neoplasm and controls
</t>
        </r>
      </text>
    </comment>
    <comment ref="O2" authorId="0">
      <text>
        <r>
          <rPr>
            <b/>
            <sz val="9"/>
            <color indexed="81"/>
            <rFont val="Tahoma"/>
            <family val="2"/>
          </rPr>
          <t>ATROPOS_02:</t>
        </r>
        <r>
          <rPr>
            <sz val="9"/>
            <color indexed="81"/>
            <rFont val="Tahoma"/>
            <family val="2"/>
          </rPr>
          <t xml:space="preserve">
entails the actual diagnosis  and controls</t>
        </r>
      </text>
    </comment>
    <comment ref="P2" authorId="0">
      <text>
        <r>
          <rPr>
            <b/>
            <sz val="9"/>
            <color indexed="81"/>
            <rFont val="Tahoma"/>
            <family val="2"/>
          </rPr>
          <t>ATROPOS_02:</t>
        </r>
        <r>
          <rPr>
            <sz val="9"/>
            <color indexed="81"/>
            <rFont val="Tahoma"/>
            <family val="2"/>
          </rPr>
          <t xml:space="preserve">
entails the actual diagnoosis and discriminates the control categories</t>
        </r>
      </text>
    </comment>
    <comment ref="AH2" authorId="1">
      <text>
        <r>
          <rPr>
            <b/>
            <sz val="8"/>
            <color indexed="81"/>
            <rFont val="Tahoma"/>
            <family val="2"/>
            <charset val="161"/>
          </rPr>
          <t>CHAOS:</t>
        </r>
        <r>
          <rPr>
            <sz val="8"/>
            <color indexed="81"/>
            <rFont val="Tahoma"/>
            <family val="2"/>
            <charset val="161"/>
          </rPr>
          <t xml:space="preserve">
0: ALIVE
1: DECEASED</t>
        </r>
      </text>
    </comment>
    <comment ref="CN3" authorId="1">
      <text>
        <r>
          <rPr>
            <b/>
            <sz val="8"/>
            <color indexed="81"/>
            <rFont val="Tahoma"/>
            <family val="2"/>
            <charset val="161"/>
          </rPr>
          <t>CHAOS:</t>
        </r>
        <r>
          <rPr>
            <sz val="8"/>
            <color indexed="81"/>
            <rFont val="Tahoma"/>
            <family val="2"/>
            <charset val="161"/>
          </rPr>
          <t xml:space="preserve">
</t>
        </r>
      </text>
    </comment>
    <comment ref="D50" authorId="0">
      <text>
        <r>
          <rPr>
            <b/>
            <sz val="9"/>
            <color indexed="81"/>
            <rFont val="Tahoma"/>
            <family val="2"/>
          </rPr>
          <t>ATROPOS_02:</t>
        </r>
        <r>
          <rPr>
            <sz val="9"/>
            <color indexed="81"/>
            <rFont val="Tahoma"/>
            <family val="2"/>
          </rPr>
          <t xml:space="preserve">
Birks Data: End</t>
        </r>
      </text>
    </comment>
    <comment ref="D51" authorId="0">
      <text>
        <r>
          <rPr>
            <b/>
            <sz val="9"/>
            <color indexed="81"/>
            <rFont val="Tahoma"/>
            <family val="2"/>
          </rPr>
          <t>ATROPOS_02:</t>
        </r>
        <r>
          <rPr>
            <sz val="9"/>
            <color indexed="81"/>
            <rFont val="Tahoma"/>
            <family val="2"/>
          </rPr>
          <t xml:space="preserve">
GSE19347 BEGIN
</t>
        </r>
      </text>
    </comment>
    <comment ref="E57" authorId="0">
      <text>
        <r>
          <rPr>
            <b/>
            <sz val="9"/>
            <color indexed="81"/>
            <rFont val="Tahoma"/>
            <family val="2"/>
          </rPr>
          <t>ATROPOS_02:</t>
        </r>
        <r>
          <rPr>
            <sz val="9"/>
            <color indexed="81"/>
            <rFont val="Tahoma"/>
            <family val="2"/>
          </rPr>
          <t xml:space="preserve">
IMTG: IMMATURE TERATOMA-GERMINOMA</t>
        </r>
      </text>
    </comment>
    <comment ref="Q57" authorId="0">
      <text>
        <r>
          <rPr>
            <b/>
            <sz val="9"/>
            <color indexed="81"/>
            <rFont val="Tahoma"/>
            <family val="2"/>
          </rPr>
          <t>ATROPOS_02:</t>
        </r>
        <r>
          <rPr>
            <sz val="9"/>
            <color indexed="81"/>
            <rFont val="Tahoma"/>
            <family val="2"/>
          </rPr>
          <t xml:space="preserve">
IMMATURE TERATOMA-GERMINOMA</t>
        </r>
      </text>
    </comment>
    <comment ref="Q58" authorId="0">
      <text>
        <r>
          <rPr>
            <b/>
            <sz val="9"/>
            <color indexed="81"/>
            <rFont val="Tahoma"/>
            <family val="2"/>
          </rPr>
          <t>ATROPOS_02:</t>
        </r>
        <r>
          <rPr>
            <sz val="9"/>
            <color indexed="81"/>
            <rFont val="Tahoma"/>
            <family val="2"/>
          </rPr>
          <t xml:space="preserve">
IMMATURE TERATOMA
</t>
        </r>
      </text>
    </comment>
    <comment ref="Q60" authorId="0">
      <text>
        <r>
          <rPr>
            <b/>
            <sz val="9"/>
            <color indexed="81"/>
            <rFont val="Tahoma"/>
            <family val="2"/>
          </rPr>
          <t>ATROPOS_02:</t>
        </r>
        <r>
          <rPr>
            <sz val="9"/>
            <color indexed="81"/>
            <rFont val="Tahoma"/>
            <family val="2"/>
          </rPr>
          <t xml:space="preserve">
IMMATURE TERATOMA YOLK SALK TUMOR</t>
        </r>
      </text>
    </comment>
    <comment ref="Q61" authorId="0">
      <text>
        <r>
          <rPr>
            <b/>
            <sz val="9"/>
            <color indexed="81"/>
            <rFont val="Tahoma"/>
            <family val="2"/>
          </rPr>
          <t>ATROPOS_02:</t>
        </r>
        <r>
          <rPr>
            <sz val="9"/>
            <color indexed="81"/>
            <rFont val="Tahoma"/>
            <family val="2"/>
          </rPr>
          <t xml:space="preserve">
IMMATURE TERATOMA-EMBRYONAL CARCINOMA YOLK SALK TUMOR
</t>
        </r>
      </text>
    </comment>
    <comment ref="Q62" authorId="0">
      <text>
        <r>
          <rPr>
            <b/>
            <sz val="9"/>
            <color indexed="81"/>
            <rFont val="Tahoma"/>
            <family val="2"/>
          </rPr>
          <t>ATROPOS_02:</t>
        </r>
        <r>
          <rPr>
            <sz val="9"/>
            <color indexed="81"/>
            <rFont val="Tahoma"/>
            <family val="2"/>
          </rPr>
          <t xml:space="preserve">
YOLK SALK TUMOR-GERMINOMA</t>
        </r>
      </text>
    </comment>
  </commentList>
</comments>
</file>

<file path=xl/sharedStrings.xml><?xml version="1.0" encoding="utf-8"?>
<sst xmlns="http://schemas.openxmlformats.org/spreadsheetml/2006/main" count="14866" uniqueCount="372">
  <si>
    <t>CNS_Slide1_1</t>
  </si>
  <si>
    <t>CNS_Slide1_2</t>
  </si>
  <si>
    <t>CNS_Slide1_7</t>
  </si>
  <si>
    <t>CNS_Slide2_2</t>
  </si>
  <si>
    <t>CNS_Slide2_3</t>
  </si>
  <si>
    <t>CNS_Slide2_6</t>
  </si>
  <si>
    <t>CNS_Slide2_7</t>
  </si>
  <si>
    <t>CNS_Slide3_1</t>
  </si>
  <si>
    <t>CNS_Slide3_2</t>
  </si>
  <si>
    <t>CNS_Slide3_3</t>
  </si>
  <si>
    <t>CNS_Slide3_4</t>
  </si>
  <si>
    <t>CNS_Slide3_5</t>
  </si>
  <si>
    <t>CNS_Slide3_8</t>
  </si>
  <si>
    <t>Brain Location</t>
  </si>
  <si>
    <t>Grade</t>
  </si>
  <si>
    <t>Age at Date of Diagnosis</t>
  </si>
  <si>
    <t>Immunochemistry</t>
  </si>
  <si>
    <t>First Type Diagnosis</t>
  </si>
  <si>
    <t>Second Type Diagnosis (if applicable)</t>
  </si>
  <si>
    <t>First Name</t>
  </si>
  <si>
    <t>Surname</t>
  </si>
  <si>
    <t>Survival</t>
  </si>
  <si>
    <t>Gender</t>
  </si>
  <si>
    <t>Nationality</t>
  </si>
  <si>
    <t>F</t>
  </si>
  <si>
    <t>M</t>
  </si>
  <si>
    <t>Hellenic</t>
  </si>
  <si>
    <t>Medulloblastoma</t>
  </si>
  <si>
    <t>IV</t>
  </si>
  <si>
    <t>WBC (x10^3/ul)</t>
  </si>
  <si>
    <t>Hb (Gr/dlt)</t>
  </si>
  <si>
    <t>Ht (%)</t>
  </si>
  <si>
    <t>RBC (x10^6/ul)</t>
  </si>
  <si>
    <t>PLT (10^6/ul)</t>
  </si>
  <si>
    <t>GFAP</t>
  </si>
  <si>
    <t>Synaptophysin (p38)</t>
  </si>
  <si>
    <t>BCL2</t>
  </si>
  <si>
    <t>b-Tubulin III</t>
  </si>
  <si>
    <t>Neu-N</t>
  </si>
  <si>
    <t>b-Catenin</t>
  </si>
  <si>
    <t>INI-1</t>
  </si>
  <si>
    <t>Ki67/MIB</t>
  </si>
  <si>
    <t>Keratin</t>
  </si>
  <si>
    <t>EMA</t>
  </si>
  <si>
    <t>Neuro-microfilaments</t>
  </si>
  <si>
    <t>Type of Relapse</t>
  </si>
  <si>
    <t>PNET</t>
  </si>
  <si>
    <t>Sub-Arachnoid</t>
  </si>
  <si>
    <t>ALIVE</t>
  </si>
  <si>
    <t>P27</t>
  </si>
  <si>
    <t>P53</t>
  </si>
  <si>
    <t>II</t>
  </si>
  <si>
    <t>S100</t>
  </si>
  <si>
    <t>Actin</t>
  </si>
  <si>
    <t>EGFR</t>
  </si>
  <si>
    <t>Desmin</t>
  </si>
  <si>
    <t>Myelin</t>
  </si>
  <si>
    <t>Albanian</t>
  </si>
  <si>
    <t>FRONTAL LOBE</t>
  </si>
  <si>
    <t>Frontal Lobe</t>
  </si>
  <si>
    <t>N/A</t>
  </si>
  <si>
    <t>DECEASED</t>
  </si>
  <si>
    <t>RELAPSE</t>
  </si>
  <si>
    <t>CR</t>
  </si>
  <si>
    <t>Slide Code</t>
  </si>
  <si>
    <t>Time from Diagnosis to 1st Surgery (Days)</t>
  </si>
  <si>
    <t>Time from Diagnosis to 2nd Surgery (Days)</t>
  </si>
  <si>
    <t>Sampling</t>
  </si>
  <si>
    <t>DIAGNOSIS</t>
  </si>
  <si>
    <t>ID1</t>
  </si>
  <si>
    <t>ID2</t>
  </si>
  <si>
    <t>NaN</t>
  </si>
  <si>
    <t>POSITIVE</t>
  </si>
  <si>
    <t xml:space="preserve">POSITIVE </t>
  </si>
  <si>
    <t>NEGATIVE</t>
  </si>
  <si>
    <t>Time of Curation (months)</t>
  </si>
  <si>
    <t>Date of Death</t>
  </si>
  <si>
    <t>Survival Code</t>
  </si>
  <si>
    <t>Clinical Outcome</t>
  </si>
  <si>
    <t>Overall Survival (years)</t>
  </si>
  <si>
    <t>CEREBELLUM</t>
  </si>
  <si>
    <t>CONTROL</t>
  </si>
  <si>
    <t>Primary Brain Location</t>
  </si>
  <si>
    <t>Secondary Brain Location</t>
  </si>
  <si>
    <t>Tertiary Brain Location</t>
  </si>
  <si>
    <t>LACUNA</t>
  </si>
  <si>
    <t>VENTRICLE</t>
  </si>
  <si>
    <t>LATERAL</t>
  </si>
  <si>
    <t>FOURTH VENTRICLE</t>
  </si>
  <si>
    <t>CEREBRUM</t>
  </si>
  <si>
    <t>RIGHT</t>
  </si>
  <si>
    <t>OBLONGATA</t>
  </si>
  <si>
    <t>MEDULLA</t>
  </si>
  <si>
    <t>LEFT</t>
  </si>
  <si>
    <t>CNS_Slide4_1</t>
  </si>
  <si>
    <t>CNS_Slide4_3</t>
  </si>
  <si>
    <t>CNS_Slide4_4</t>
  </si>
  <si>
    <t>CNS_Slide4_5</t>
  </si>
  <si>
    <t>CNS_Slide4_6</t>
  </si>
  <si>
    <t>CNS_Slide5_3</t>
  </si>
  <si>
    <t>CNS_Slide5_7</t>
  </si>
  <si>
    <t>CNS_Slide5_8</t>
  </si>
  <si>
    <t>CNS_Slide6_1</t>
  </si>
  <si>
    <t>CNS_Slide6_2</t>
  </si>
  <si>
    <t>CNS_Slide6_3</t>
  </si>
  <si>
    <t>CNS_Slide6_5</t>
  </si>
  <si>
    <t>CNS_Slide7_2</t>
  </si>
  <si>
    <t>Inv.</t>
  </si>
  <si>
    <t xml:space="preserve">NEGATIVE </t>
  </si>
  <si>
    <t>CEREBELUM</t>
  </si>
  <si>
    <t>DEATH</t>
  </si>
  <si>
    <t>12,7</t>
  </si>
  <si>
    <t>36,3%</t>
  </si>
  <si>
    <t>CNS_Slide8_1</t>
  </si>
  <si>
    <t>CNS_Slide8_2</t>
  </si>
  <si>
    <t>CNS_Slide8_3</t>
  </si>
  <si>
    <t>CNS_Slide8_4</t>
  </si>
  <si>
    <t>CNS_Slide8_5</t>
  </si>
  <si>
    <t>CNS_Slide8_6</t>
  </si>
  <si>
    <t>POOL</t>
  </si>
  <si>
    <t>CRP (mg/dL)</t>
  </si>
  <si>
    <t>RBC Sedimentation (mm)</t>
  </si>
  <si>
    <t>Glucose (mg/dL)</t>
  </si>
  <si>
    <t>Urea (mg/dL)</t>
  </si>
  <si>
    <t>Kreatinine (mg/dL)</t>
  </si>
  <si>
    <t>SGOT (IU/dL)</t>
  </si>
  <si>
    <t>SGPT (IU/dL)</t>
  </si>
  <si>
    <t>γ-GT (IU/dL)</t>
  </si>
  <si>
    <t>ALP (IU/dL)</t>
  </si>
  <si>
    <t>Uric Acid (mg/dL)</t>
  </si>
  <si>
    <t>K+ (mmol/lt)</t>
  </si>
  <si>
    <t>Na+ (mmol/lt)</t>
  </si>
  <si>
    <t>Ca+ (mg/lt)</t>
  </si>
  <si>
    <t>Cl- (mmol/lt)</t>
  </si>
  <si>
    <t>Mg+ (mg/lt)</t>
  </si>
  <si>
    <t>P+ (mg/dL)</t>
  </si>
  <si>
    <t>Billirubin totak (mg/dL)</t>
  </si>
  <si>
    <t>Billirubin direct (mg/dL)</t>
  </si>
  <si>
    <t>Total Protein (gr/dL)</t>
  </si>
  <si>
    <t>Albumin (gr/dL)</t>
  </si>
  <si>
    <t>LDH (IU/lt)</t>
  </si>
  <si>
    <t>Amylase (mg/dl)</t>
  </si>
  <si>
    <t>Cholesterol (mg/dL)</t>
  </si>
  <si>
    <t>Triglycerides (mg/dL)</t>
  </si>
  <si>
    <t>HDL (mg/dl)</t>
  </si>
  <si>
    <t>LDL (mg/dl)</t>
  </si>
  <si>
    <t>CPK (IU/lt)</t>
  </si>
  <si>
    <t>MEDULLOBLASTOMA</t>
  </si>
  <si>
    <t>EMBRYONAL PERIOD</t>
  </si>
  <si>
    <t>251643611377_S01_1_2</t>
  </si>
  <si>
    <t>251643611377_S01_2_2</t>
  </si>
  <si>
    <t>251643611378_S01_1_1</t>
  </si>
  <si>
    <t>251643611378_S01_1_2</t>
  </si>
  <si>
    <t>251643611379_S01_1_4</t>
  </si>
  <si>
    <t>251643611379_S01_2_1</t>
  </si>
  <si>
    <t>251643611393_S01_1_3</t>
  </si>
  <si>
    <t>251643611393_S01_2_4</t>
  </si>
  <si>
    <t>251643611440_S01_1_1</t>
  </si>
  <si>
    <t>251643611440_S01_1_2</t>
  </si>
  <si>
    <t>251643611440_S01_1_3</t>
  </si>
  <si>
    <t>251643611440_S01_1_4</t>
  </si>
  <si>
    <t>251643611440_S01_2_1</t>
  </si>
  <si>
    <t>251643611440_S01_2_2</t>
  </si>
  <si>
    <t>251643611440_S01_2_3</t>
  </si>
  <si>
    <t>251643611440_S01_2_4</t>
  </si>
  <si>
    <t/>
  </si>
  <si>
    <t>ID3</t>
  </si>
  <si>
    <t>CORTEX</t>
  </si>
  <si>
    <t>BRAIN</t>
  </si>
  <si>
    <t>WHOLE</t>
  </si>
  <si>
    <t>DEVELOPMENTAL STATUS</t>
  </si>
  <si>
    <t>ADULT</t>
  </si>
  <si>
    <t>FETAL</t>
  </si>
  <si>
    <t>Age at Date of Diagnosis (incl. gestation in weeks)</t>
  </si>
  <si>
    <t>CHILD</t>
  </si>
  <si>
    <t>INFANT</t>
  </si>
  <si>
    <t>ADOLESCENCE</t>
  </si>
  <si>
    <t>American</t>
  </si>
  <si>
    <t>ATRT</t>
  </si>
  <si>
    <t>GSM480464</t>
  </si>
  <si>
    <t>Taiwanese</t>
  </si>
  <si>
    <t>GERMINOMA</t>
  </si>
  <si>
    <t>INTRACRANIAL</t>
  </si>
  <si>
    <t>GSM480465</t>
  </si>
  <si>
    <t>GERM CELL TUMOR</t>
  </si>
  <si>
    <t>GSM480466</t>
  </si>
  <si>
    <t>GSM480467</t>
  </si>
  <si>
    <t>GSM480468</t>
  </si>
  <si>
    <t>GSM480469</t>
  </si>
  <si>
    <t>GSM480470</t>
  </si>
  <si>
    <t>GSM480471</t>
  </si>
  <si>
    <t>GSM480472</t>
  </si>
  <si>
    <t>GSM480473</t>
  </si>
  <si>
    <t>GSM480474</t>
  </si>
  <si>
    <t>GSM480475</t>
  </si>
  <si>
    <t>GSM1097562</t>
  </si>
  <si>
    <t>GSM1097563</t>
  </si>
  <si>
    <t>GSM1097564</t>
  </si>
  <si>
    <t>GSM1097565</t>
  </si>
  <si>
    <t>GSM1097566</t>
  </si>
  <si>
    <t>GSM1097567</t>
  </si>
  <si>
    <t>GSM1097568</t>
  </si>
  <si>
    <t>GSM1097569</t>
  </si>
  <si>
    <t>GSM1097570</t>
  </si>
  <si>
    <t>GSM1097571</t>
  </si>
  <si>
    <t>GSM1097572</t>
  </si>
  <si>
    <t>GSM1097573</t>
  </si>
  <si>
    <t>GSM1097574</t>
  </si>
  <si>
    <t>GSM1097575</t>
  </si>
  <si>
    <t>GSM1097576</t>
  </si>
  <si>
    <t>GSM1097577</t>
  </si>
  <si>
    <t>GSM1097578</t>
  </si>
  <si>
    <t>GSM1097579</t>
  </si>
  <si>
    <t>GSM1097580</t>
  </si>
  <si>
    <t>GSM1097581</t>
  </si>
  <si>
    <t>GSM1097582</t>
  </si>
  <si>
    <t>GSM1097583</t>
  </si>
  <si>
    <t>GSM1097584</t>
  </si>
  <si>
    <t>GSM1097585</t>
  </si>
  <si>
    <t>GSM1097586</t>
  </si>
  <si>
    <t>GSM1097587</t>
  </si>
  <si>
    <t>GSM1097588</t>
  </si>
  <si>
    <t>GSM1097589</t>
  </si>
  <si>
    <t>GSM1097590</t>
  </si>
  <si>
    <t>GSM1097591</t>
  </si>
  <si>
    <t>GSM1097592</t>
  </si>
  <si>
    <t>GSM1097593</t>
  </si>
  <si>
    <t>GSM1097594</t>
  </si>
  <si>
    <t>GSM1097595</t>
  </si>
  <si>
    <t>GSM1097596</t>
  </si>
  <si>
    <t>GSM1097597</t>
  </si>
  <si>
    <t>GSM1097598</t>
  </si>
  <si>
    <t>GSM1097599</t>
  </si>
  <si>
    <t>GSM1097600</t>
  </si>
  <si>
    <t>GSM1097601</t>
  </si>
  <si>
    <t>GSM1097602</t>
  </si>
  <si>
    <t>GSM1097603</t>
  </si>
  <si>
    <t>GSM1097604</t>
  </si>
  <si>
    <t>GSM1097605</t>
  </si>
  <si>
    <t>GSM1097606</t>
  </si>
  <si>
    <t>GSM1097607</t>
  </si>
  <si>
    <t>GSM1097608</t>
  </si>
  <si>
    <t>GSM1097609</t>
  </si>
  <si>
    <t>GSM1097610</t>
  </si>
  <si>
    <t>GSM1097611</t>
  </si>
  <si>
    <t>GSM1097612</t>
  </si>
  <si>
    <t>GSM1097613</t>
  </si>
  <si>
    <t>GSM1097614</t>
  </si>
  <si>
    <t>GSM1097615</t>
  </si>
  <si>
    <t>GSM1097616</t>
  </si>
  <si>
    <t>GSM1097617</t>
  </si>
  <si>
    <t>GSM1097618</t>
  </si>
  <si>
    <t>GSM1097619</t>
  </si>
  <si>
    <t>GSM1097620</t>
  </si>
  <si>
    <t>GSM1097621</t>
  </si>
  <si>
    <t>GSM1097622</t>
  </si>
  <si>
    <t>GSM1097623</t>
  </si>
  <si>
    <t>GSM1097624</t>
  </si>
  <si>
    <t>GSM1097625</t>
  </si>
  <si>
    <t>GSM1097626</t>
  </si>
  <si>
    <t>GSM1097627</t>
  </si>
  <si>
    <t>GSM1097628</t>
  </si>
  <si>
    <t>GSM1097629</t>
  </si>
  <si>
    <t>GSM1097630</t>
  </si>
  <si>
    <t>GSM1097631</t>
  </si>
  <si>
    <t>GSM1097632</t>
  </si>
  <si>
    <t>GSM1097633</t>
  </si>
  <si>
    <t>GSM1097634</t>
  </si>
  <si>
    <t>GSM1097635</t>
  </si>
  <si>
    <t>GSM1097636</t>
  </si>
  <si>
    <t>GSM1097637</t>
  </si>
  <si>
    <t>GSM1097638</t>
  </si>
  <si>
    <t>GSM1097639</t>
  </si>
  <si>
    <t>GSM1097640</t>
  </si>
  <si>
    <t>GSM1097641</t>
  </si>
  <si>
    <t>GSM1097642</t>
  </si>
  <si>
    <t>GSM1097643</t>
  </si>
  <si>
    <t>GSM1097644</t>
  </si>
  <si>
    <t>GSM1097645</t>
  </si>
  <si>
    <t>GSM1097646</t>
  </si>
  <si>
    <t>GSM1097647</t>
  </si>
  <si>
    <t>GSM1097648</t>
  </si>
  <si>
    <t>GSM1097649</t>
  </si>
  <si>
    <t>GSM1097650</t>
  </si>
  <si>
    <t>GSM1097651</t>
  </si>
  <si>
    <t>GSM1097652</t>
  </si>
  <si>
    <t>GSM1097653</t>
  </si>
  <si>
    <t>GSM1097654</t>
  </si>
  <si>
    <t>GSM1097655</t>
  </si>
  <si>
    <t>GSM1097656</t>
  </si>
  <si>
    <t>GSM1097657</t>
  </si>
  <si>
    <t>GSM1097658</t>
  </si>
  <si>
    <t>GSM1097659</t>
  </si>
  <si>
    <t>GSM1097660</t>
  </si>
  <si>
    <t>GSM1097661</t>
  </si>
  <si>
    <t>FIRST CHOICE</t>
  </si>
  <si>
    <t>REFERENCE POOL</t>
  </si>
  <si>
    <t>LEFT AND RIGHT</t>
  </si>
  <si>
    <t>SUB-ARACHNOID</t>
  </si>
  <si>
    <t>Status of Survival at Biopsy</t>
  </si>
  <si>
    <t>VIVUS</t>
  </si>
  <si>
    <t>POST-MORTEM</t>
  </si>
  <si>
    <t>IMTG</t>
  </si>
  <si>
    <t>IMT</t>
  </si>
  <si>
    <t>IMTYST</t>
  </si>
  <si>
    <t>IMTECYST</t>
  </si>
  <si>
    <t>YSTG</t>
  </si>
  <si>
    <t>Age Group</t>
  </si>
  <si>
    <t>Disease Group</t>
  </si>
  <si>
    <t>CONTROL_CHILD</t>
  </si>
  <si>
    <t>CONTROL_ADULT</t>
  </si>
  <si>
    <t>CONTROL_FETAL</t>
  </si>
  <si>
    <t>CONTROL_INFANT</t>
  </si>
  <si>
    <t>Third Type Diagnosis (if applicable)</t>
  </si>
  <si>
    <t>MALIGNANCY</t>
  </si>
  <si>
    <t>Fourth Type Diagnosis (if applicable)</t>
  </si>
  <si>
    <t>NEOPLASM</t>
  </si>
  <si>
    <t>Fifth Type Diagnosis (if applicable)</t>
  </si>
  <si>
    <t>In-House Dataset</t>
  </si>
  <si>
    <t>GSE19347</t>
  </si>
  <si>
    <t>GSE45126</t>
  </si>
  <si>
    <t>N</t>
  </si>
  <si>
    <t>MALES</t>
  </si>
  <si>
    <t>FEMALES</t>
  </si>
  <si>
    <t>CONTROLS</t>
  </si>
  <si>
    <t>BIRKS ET AL</t>
  </si>
  <si>
    <t>ALL</t>
  </si>
  <si>
    <t>ADOLESCENT</t>
  </si>
  <si>
    <t>%</t>
  </si>
  <si>
    <t>UNKNOWN GENDER</t>
  </si>
  <si>
    <t>MEAN AGE (YEARS)</t>
  </si>
  <si>
    <t>STDEV AGE</t>
  </si>
  <si>
    <t>MEAN AGE (WEEKS)</t>
  </si>
  <si>
    <t>ALL AVAILABLE DATA</t>
  </si>
  <si>
    <t>IN-HOUSE DATA</t>
  </si>
  <si>
    <t>GFAP (+)</t>
  </si>
  <si>
    <t>GFAP (-)</t>
  </si>
  <si>
    <t>P38 (+)</t>
  </si>
  <si>
    <t>P38 (-)</t>
  </si>
  <si>
    <t>Neuromicrofilaments (+)</t>
  </si>
  <si>
    <t>Neuro-microfilaments (-)</t>
  </si>
  <si>
    <t>P53 (+)</t>
  </si>
  <si>
    <t>P53 (-)</t>
  </si>
  <si>
    <t>BCL2 (+)</t>
  </si>
  <si>
    <t>BCL2 (-)</t>
  </si>
  <si>
    <t>b-Tubulin III (+)</t>
  </si>
  <si>
    <t>b-Tubulin III (-)</t>
  </si>
  <si>
    <t>Neu-N (+)</t>
  </si>
  <si>
    <t>Neu-N (-)</t>
  </si>
  <si>
    <t>b-Catenin (+)</t>
  </si>
  <si>
    <t>b-Catenin (-)</t>
  </si>
  <si>
    <t>INI-1 (+)</t>
  </si>
  <si>
    <t>Ki67/MIB (+)</t>
  </si>
  <si>
    <t>Ki67/MIB (-)</t>
  </si>
  <si>
    <t>Keratin (+)</t>
  </si>
  <si>
    <t>Keratin (-)</t>
  </si>
  <si>
    <t>EMA (+)</t>
  </si>
  <si>
    <t>EMA (-)</t>
  </si>
  <si>
    <t>EGFR (+)</t>
  </si>
  <si>
    <t>EGFR (-)</t>
  </si>
  <si>
    <t>P27 (+)</t>
  </si>
  <si>
    <t>P27 (-)</t>
  </si>
  <si>
    <t>S100 (+)</t>
  </si>
  <si>
    <t>S100 (-)</t>
  </si>
  <si>
    <t>Actin (+)</t>
  </si>
  <si>
    <t>Actin (-)</t>
  </si>
  <si>
    <t>Desmin (+)</t>
  </si>
  <si>
    <t>Desmin (-)</t>
  </si>
  <si>
    <t>Myelin (+)</t>
  </si>
  <si>
    <t>Myelin (-)</t>
  </si>
  <si>
    <t>INI-1 (-)</t>
  </si>
  <si>
    <t>SUMS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</si>
</sst>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9]d\-mmm\-yy;@"/>
    <numFmt numFmtId="165" formatCode="0.000"/>
  </numFmts>
  <fonts count="18" x14ac:knownFonts="1">
    <font>
      <sz val="10"/>
      <name val="Arial"/>
    </font>
    <font>
      <sz val="8"/>
      <name val="Arial"/>
      <family val="2"/>
      <charset val="161"/>
    </font>
    <font>
      <sz val="8"/>
      <color indexed="81"/>
      <name val="Tahoma"/>
      <family val="2"/>
      <charset val="161"/>
    </font>
    <font>
      <b/>
      <sz val="8"/>
      <color indexed="81"/>
      <name val="Tahoma"/>
      <family val="2"/>
      <charset val="161"/>
    </font>
    <font>
      <sz val="10"/>
      <name val="Times New Roman"/>
      <family val="1"/>
      <charset val="161"/>
    </font>
    <font>
      <b/>
      <sz val="10"/>
      <name val="Times New Roman"/>
      <family val="1"/>
      <charset val="16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C00000"/>
      <name val="Times New Roman"/>
      <family val="1"/>
    </font>
    <font>
      <sz val="10"/>
      <color indexed="56"/>
      <name val="Times New Roman"/>
      <family val="1"/>
    </font>
    <font>
      <sz val="10"/>
      <color theme="3" tint="-0.499984740745262"/>
      <name val="Times New Roman"/>
      <family val="1"/>
    </font>
    <font>
      <b/>
      <sz val="10"/>
      <color rgb="FFC00000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</fonts>
  <fills count="1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1">
    <xf numFmtId="0" fontId="0" fillId="0" borderId="0" xfId="0"/>
    <xf numFmtId="0" fontId="5" fillId="0" borderId="1" xfId="0" applyFont="1" applyBorder="1" applyAlignment="1">
      <alignment horizontal="center" vertical="center" wrapText="1" shrinkToFi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Border="1" applyAlignment="1">
      <alignment horizontal="center" vertical="center" wrapText="1" shrinkToFit="1"/>
    </xf>
    <xf numFmtId="0" fontId="7" fillId="0" borderId="0" xfId="0" applyFont="1" applyBorder="1" applyAlignment="1">
      <alignment horizontal="center" vertical="center"/>
    </xf>
    <xf numFmtId="0" fontId="6" fillId="5" borderId="0" xfId="0" applyFont="1" applyFill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 shrinkToFit="1"/>
    </xf>
    <xf numFmtId="4" fontId="7" fillId="0" borderId="0" xfId="0" applyNumberFormat="1" applyFont="1" applyFill="1" applyBorder="1" applyAlignment="1">
      <alignment horizontal="center" vertical="center" wrapText="1"/>
    </xf>
    <xf numFmtId="2" fontId="7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left" vertical="center"/>
    </xf>
    <xf numFmtId="0" fontId="12" fillId="4" borderId="0" xfId="0" applyFont="1" applyFill="1" applyBorder="1" applyAlignment="1">
      <alignment horizontal="center" vertical="center"/>
    </xf>
    <xf numFmtId="0" fontId="12" fillId="4" borderId="0" xfId="0" applyFont="1" applyFill="1" applyBorder="1" applyAlignment="1">
      <alignment horizontal="left" vertical="center"/>
    </xf>
    <xf numFmtId="0" fontId="6" fillId="4" borderId="0" xfId="0" applyFont="1" applyFill="1" applyBorder="1" applyAlignment="1">
      <alignment horizontal="left" vertical="center"/>
    </xf>
    <xf numFmtId="164" fontId="12" fillId="4" borderId="0" xfId="0" applyNumberFormat="1" applyFont="1" applyFill="1" applyBorder="1" applyAlignment="1">
      <alignment horizontal="center" vertical="center"/>
    </xf>
    <xf numFmtId="2" fontId="13" fillId="4" borderId="0" xfId="0" applyNumberFormat="1" applyFont="1" applyFill="1" applyBorder="1" applyAlignment="1">
      <alignment horizontal="center" vertical="center"/>
    </xf>
    <xf numFmtId="2" fontId="14" fillId="4" borderId="0" xfId="0" applyNumberFormat="1" applyFont="1" applyFill="1" applyBorder="1" applyAlignment="1">
      <alignment horizontal="center" vertical="center"/>
    </xf>
    <xf numFmtId="165" fontId="12" fillId="4" borderId="0" xfId="0" applyNumberFormat="1" applyFont="1" applyFill="1" applyBorder="1" applyAlignment="1">
      <alignment horizontal="center" vertical="center"/>
    </xf>
    <xf numFmtId="10" fontId="12" fillId="4" borderId="0" xfId="0" applyNumberFormat="1" applyFont="1" applyFill="1" applyBorder="1" applyAlignment="1">
      <alignment horizontal="center" vertical="center"/>
    </xf>
    <xf numFmtId="2" fontId="12" fillId="4" borderId="0" xfId="0" applyNumberFormat="1" applyFont="1" applyFill="1" applyBorder="1" applyAlignment="1">
      <alignment horizontal="center" vertical="center"/>
    </xf>
    <xf numFmtId="16" fontId="12" fillId="4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left" vertical="center"/>
    </xf>
    <xf numFmtId="0" fontId="12" fillId="2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164" fontId="12" fillId="2" borderId="0" xfId="0" applyNumberFormat="1" applyFont="1" applyFill="1" applyBorder="1" applyAlignment="1">
      <alignment horizontal="center" vertical="center"/>
    </xf>
    <xf numFmtId="2" fontId="13" fillId="2" borderId="0" xfId="0" applyNumberFormat="1" applyFont="1" applyFill="1" applyBorder="1" applyAlignment="1">
      <alignment horizontal="center" vertical="center"/>
    </xf>
    <xf numFmtId="2" fontId="14" fillId="2" borderId="0" xfId="0" applyNumberFormat="1" applyFont="1" applyFill="1" applyBorder="1" applyAlignment="1">
      <alignment horizontal="center" vertical="center"/>
    </xf>
    <xf numFmtId="165" fontId="12" fillId="2" borderId="0" xfId="0" applyNumberFormat="1" applyFont="1" applyFill="1" applyBorder="1" applyAlignment="1">
      <alignment horizontal="center" vertical="center"/>
    </xf>
    <xf numFmtId="2" fontId="12" fillId="2" borderId="0" xfId="0" applyNumberFormat="1" applyFont="1" applyFill="1" applyBorder="1" applyAlignment="1">
      <alignment horizontal="center" vertical="center"/>
    </xf>
    <xf numFmtId="10" fontId="12" fillId="2" borderId="0" xfId="0" applyNumberFormat="1" applyFont="1" applyFill="1" applyBorder="1" applyAlignment="1">
      <alignment horizontal="center" vertical="center"/>
    </xf>
    <xf numFmtId="0" fontId="6" fillId="3" borderId="0" xfId="0" applyFont="1" applyFill="1" applyBorder="1" applyAlignment="1">
      <alignment vertical="center"/>
    </xf>
    <xf numFmtId="0" fontId="12" fillId="3" borderId="0" xfId="0" applyFont="1" applyFill="1" applyBorder="1" applyAlignment="1">
      <alignment vertical="center"/>
    </xf>
    <xf numFmtId="0" fontId="7" fillId="3" borderId="0" xfId="0" applyFont="1" applyFill="1" applyBorder="1" applyAlignment="1">
      <alignment horizontal="center" vertical="center"/>
    </xf>
    <xf numFmtId="0" fontId="15" fillId="3" borderId="0" xfId="0" applyFont="1" applyFill="1" applyBorder="1" applyAlignment="1">
      <alignment horizontal="left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left" vertical="center"/>
    </xf>
    <xf numFmtId="0" fontId="6" fillId="3" borderId="0" xfId="0" applyFont="1" applyFill="1" applyBorder="1" applyAlignment="1">
      <alignment horizontal="left" vertical="center"/>
    </xf>
    <xf numFmtId="164" fontId="12" fillId="3" borderId="0" xfId="0" applyNumberFormat="1" applyFont="1" applyFill="1" applyBorder="1" applyAlignment="1">
      <alignment horizontal="center" vertical="center"/>
    </xf>
    <xf numFmtId="2" fontId="13" fillId="3" borderId="0" xfId="0" applyNumberFormat="1" applyFont="1" applyFill="1" applyBorder="1" applyAlignment="1">
      <alignment horizontal="center" vertical="center"/>
    </xf>
    <xf numFmtId="2" fontId="14" fillId="3" borderId="0" xfId="0" applyNumberFormat="1" applyFont="1" applyFill="1" applyBorder="1" applyAlignment="1">
      <alignment horizontal="center" vertical="center"/>
    </xf>
    <xf numFmtId="165" fontId="12" fillId="3" borderId="0" xfId="0" applyNumberFormat="1" applyFont="1" applyFill="1" applyBorder="1" applyAlignment="1">
      <alignment horizontal="center" vertical="center"/>
    </xf>
    <xf numFmtId="10" fontId="12" fillId="3" borderId="0" xfId="0" applyNumberFormat="1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left" vertical="center"/>
    </xf>
    <xf numFmtId="9" fontId="12" fillId="3" borderId="0" xfId="0" applyNumberFormat="1" applyFont="1" applyFill="1" applyBorder="1" applyAlignment="1">
      <alignment horizontal="center" vertical="center"/>
    </xf>
    <xf numFmtId="0" fontId="6" fillId="5" borderId="0" xfId="0" applyFont="1" applyFill="1" applyBorder="1" applyAlignment="1">
      <alignment vertical="center"/>
    </xf>
    <xf numFmtId="0" fontId="7" fillId="5" borderId="0" xfId="0" applyFont="1" applyFill="1" applyBorder="1" applyAlignment="1">
      <alignment horizontal="center" vertical="center"/>
    </xf>
    <xf numFmtId="0" fontId="7" fillId="5" borderId="0" xfId="0" applyFont="1" applyFill="1" applyBorder="1" applyAlignment="1">
      <alignment horizontal="left" vertical="center"/>
    </xf>
    <xf numFmtId="0" fontId="12" fillId="5" borderId="0" xfId="0" applyFont="1" applyFill="1" applyBorder="1" applyAlignment="1">
      <alignment horizontal="center" vertical="center"/>
    </xf>
    <xf numFmtId="0" fontId="12" fillId="5" borderId="0" xfId="0" applyFont="1" applyFill="1" applyBorder="1" applyAlignment="1">
      <alignment horizontal="left" vertical="center"/>
    </xf>
    <xf numFmtId="164" fontId="12" fillId="5" borderId="0" xfId="0" applyNumberFormat="1" applyFont="1" applyFill="1" applyBorder="1" applyAlignment="1">
      <alignment horizontal="center" vertical="center"/>
    </xf>
    <xf numFmtId="2" fontId="13" fillId="5" borderId="0" xfId="0" applyNumberFormat="1" applyFont="1" applyFill="1" applyBorder="1" applyAlignment="1">
      <alignment horizontal="center" vertical="center"/>
    </xf>
    <xf numFmtId="2" fontId="13" fillId="5" borderId="0" xfId="0" applyNumberFormat="1" applyFont="1" applyFill="1" applyBorder="1" applyAlignment="1">
      <alignment horizontal="center" vertical="center" wrapText="1"/>
    </xf>
    <xf numFmtId="2" fontId="14" fillId="5" borderId="0" xfId="0" applyNumberFormat="1" applyFont="1" applyFill="1" applyBorder="1" applyAlignment="1">
      <alignment horizontal="center" vertical="center"/>
    </xf>
    <xf numFmtId="165" fontId="12" fillId="5" borderId="0" xfId="0" applyNumberFormat="1" applyFont="1" applyFill="1" applyBorder="1" applyAlignment="1">
      <alignment horizontal="center" vertical="center"/>
    </xf>
    <xf numFmtId="10" fontId="12" fillId="5" borderId="0" xfId="0" applyNumberFormat="1" applyFont="1" applyFill="1" applyBorder="1" applyAlignment="1">
      <alignment horizontal="center" vertical="center"/>
    </xf>
    <xf numFmtId="0" fontId="15" fillId="5" borderId="0" xfId="0" applyFont="1" applyFill="1" applyBorder="1" applyAlignment="1">
      <alignment horizontal="left" vertical="center"/>
    </xf>
    <xf numFmtId="0" fontId="6" fillId="6" borderId="0" xfId="0" applyFont="1" applyFill="1" applyBorder="1" applyAlignment="1">
      <alignment vertical="center"/>
    </xf>
    <xf numFmtId="0" fontId="7" fillId="6" borderId="0" xfId="0" applyFont="1" applyFill="1" applyBorder="1" applyAlignment="1">
      <alignment horizontal="center" vertical="center"/>
    </xf>
    <xf numFmtId="0" fontId="7" fillId="6" borderId="0" xfId="0" applyFont="1" applyFill="1" applyBorder="1" applyAlignment="1">
      <alignment horizontal="left" vertical="center"/>
    </xf>
    <xf numFmtId="0" fontId="12" fillId="6" borderId="0" xfId="0" applyFont="1" applyFill="1" applyBorder="1" applyAlignment="1">
      <alignment horizontal="center" vertical="center"/>
    </xf>
    <xf numFmtId="0" fontId="12" fillId="6" borderId="0" xfId="0" applyFont="1" applyFill="1" applyBorder="1" applyAlignment="1">
      <alignment horizontal="left" vertical="center"/>
    </xf>
    <xf numFmtId="0" fontId="6" fillId="6" borderId="0" xfId="0" applyFont="1" applyFill="1" applyBorder="1" applyAlignment="1">
      <alignment horizontal="left" vertical="center"/>
    </xf>
    <xf numFmtId="164" fontId="12" fillId="6" borderId="0" xfId="0" applyNumberFormat="1" applyFont="1" applyFill="1" applyBorder="1" applyAlignment="1">
      <alignment horizontal="center" vertical="center"/>
    </xf>
    <xf numFmtId="2" fontId="13" fillId="6" borderId="0" xfId="0" applyNumberFormat="1" applyFont="1" applyFill="1" applyBorder="1" applyAlignment="1">
      <alignment horizontal="center" vertical="center"/>
    </xf>
    <xf numFmtId="2" fontId="13" fillId="6" borderId="0" xfId="0" applyNumberFormat="1" applyFont="1" applyFill="1" applyBorder="1" applyAlignment="1">
      <alignment horizontal="center" vertical="center" wrapText="1"/>
    </xf>
    <xf numFmtId="2" fontId="14" fillId="6" borderId="0" xfId="0" applyNumberFormat="1" applyFont="1" applyFill="1" applyBorder="1" applyAlignment="1">
      <alignment horizontal="center" vertical="center"/>
    </xf>
    <xf numFmtId="165" fontId="12" fillId="6" borderId="0" xfId="0" applyNumberFormat="1" applyFont="1" applyFill="1" applyBorder="1" applyAlignment="1">
      <alignment horizontal="center" vertical="center"/>
    </xf>
    <xf numFmtId="10" fontId="12" fillId="6" borderId="0" xfId="0" applyNumberFormat="1" applyFont="1" applyFill="1" applyBorder="1" applyAlignment="1">
      <alignment horizontal="center" vertical="center"/>
    </xf>
    <xf numFmtId="2" fontId="12" fillId="6" borderId="0" xfId="0" applyNumberFormat="1" applyFont="1" applyFill="1" applyBorder="1" applyAlignment="1">
      <alignment horizontal="center" vertical="center"/>
    </xf>
    <xf numFmtId="14" fontId="12" fillId="6" borderId="0" xfId="0" applyNumberFormat="1" applyFont="1" applyFill="1" applyBorder="1" applyAlignment="1">
      <alignment horizontal="center" vertical="center"/>
    </xf>
    <xf numFmtId="0" fontId="15" fillId="6" borderId="0" xfId="0" applyFont="1" applyFill="1" applyBorder="1" applyAlignment="1">
      <alignment horizontal="left" vertical="center"/>
    </xf>
    <xf numFmtId="0" fontId="6" fillId="7" borderId="0" xfId="0" applyFont="1" applyFill="1" applyBorder="1" applyAlignment="1">
      <alignment vertical="center"/>
    </xf>
    <xf numFmtId="0" fontId="7" fillId="7" borderId="0" xfId="0" applyFont="1" applyFill="1" applyBorder="1" applyAlignment="1">
      <alignment horizontal="center" vertical="center"/>
    </xf>
    <xf numFmtId="0" fontId="7" fillId="7" borderId="0" xfId="0" applyFont="1" applyFill="1" applyBorder="1" applyAlignment="1">
      <alignment horizontal="left" vertical="center"/>
    </xf>
    <xf numFmtId="0" fontId="12" fillId="7" borderId="0" xfId="0" applyFont="1" applyFill="1" applyBorder="1" applyAlignment="1">
      <alignment horizontal="center" vertical="center"/>
    </xf>
    <xf numFmtId="0" fontId="12" fillId="7" borderId="0" xfId="0" applyFont="1" applyFill="1" applyBorder="1" applyAlignment="1">
      <alignment horizontal="left" vertical="center"/>
    </xf>
    <xf numFmtId="0" fontId="6" fillId="7" borderId="0" xfId="0" applyFont="1" applyFill="1" applyBorder="1" applyAlignment="1">
      <alignment horizontal="left" vertical="center"/>
    </xf>
    <xf numFmtId="164" fontId="12" fillId="7" borderId="0" xfId="0" applyNumberFormat="1" applyFont="1" applyFill="1" applyBorder="1" applyAlignment="1">
      <alignment horizontal="center" vertical="center"/>
    </xf>
    <xf numFmtId="2" fontId="13" fillId="7" borderId="0" xfId="0" applyNumberFormat="1" applyFont="1" applyFill="1" applyBorder="1" applyAlignment="1">
      <alignment horizontal="center" vertical="center"/>
    </xf>
    <xf numFmtId="2" fontId="13" fillId="7" borderId="0" xfId="0" applyNumberFormat="1" applyFont="1" applyFill="1" applyBorder="1" applyAlignment="1">
      <alignment horizontal="center" vertical="center" wrapText="1"/>
    </xf>
    <xf numFmtId="0" fontId="12" fillId="8" borderId="0" xfId="0" applyFont="1" applyFill="1" applyBorder="1" applyAlignment="1">
      <alignment horizontal="center" vertical="center"/>
    </xf>
    <xf numFmtId="2" fontId="14" fillId="7" borderId="0" xfId="0" applyNumberFormat="1" applyFont="1" applyFill="1" applyBorder="1" applyAlignment="1">
      <alignment horizontal="center" vertical="center"/>
    </xf>
    <xf numFmtId="165" fontId="12" fillId="7" borderId="0" xfId="0" applyNumberFormat="1" applyFont="1" applyFill="1" applyBorder="1" applyAlignment="1">
      <alignment horizontal="center" vertical="center"/>
    </xf>
    <xf numFmtId="2" fontId="12" fillId="7" borderId="0" xfId="0" applyNumberFormat="1" applyFont="1" applyFill="1" applyBorder="1" applyAlignment="1">
      <alignment horizontal="center" vertical="center"/>
    </xf>
    <xf numFmtId="10" fontId="12" fillId="7" borderId="0" xfId="0" applyNumberFormat="1" applyFont="1" applyFill="1" applyBorder="1" applyAlignment="1">
      <alignment horizontal="center" vertical="center"/>
    </xf>
    <xf numFmtId="15" fontId="12" fillId="7" borderId="0" xfId="0" applyNumberFormat="1" applyFont="1" applyFill="1" applyBorder="1" applyAlignment="1">
      <alignment horizontal="center" vertical="center"/>
    </xf>
    <xf numFmtId="2" fontId="12" fillId="8" borderId="0" xfId="0" applyNumberFormat="1" applyFont="1" applyFill="1" applyBorder="1" applyAlignment="1">
      <alignment horizontal="center" vertical="center"/>
    </xf>
    <xf numFmtId="2" fontId="13" fillId="2" borderId="0" xfId="0" applyNumberFormat="1" applyFont="1" applyFill="1" applyBorder="1" applyAlignment="1">
      <alignment horizontal="center" vertical="center" wrapText="1"/>
    </xf>
    <xf numFmtId="15" fontId="12" fillId="2" borderId="0" xfId="0" applyNumberFormat="1" applyFont="1" applyFill="1" applyBorder="1" applyAlignment="1">
      <alignment horizontal="center" vertical="center"/>
    </xf>
    <xf numFmtId="0" fontId="6" fillId="9" borderId="0" xfId="0" applyFont="1" applyFill="1" applyBorder="1" applyAlignment="1">
      <alignment vertical="center"/>
    </xf>
    <xf numFmtId="0" fontId="7" fillId="9" borderId="0" xfId="0" applyFont="1" applyFill="1" applyBorder="1" applyAlignment="1">
      <alignment horizontal="center" vertical="center"/>
    </xf>
    <xf numFmtId="0" fontId="15" fillId="9" borderId="0" xfId="0" applyFont="1" applyFill="1" applyBorder="1" applyAlignment="1">
      <alignment horizontal="left" vertical="center"/>
    </xf>
    <xf numFmtId="0" fontId="12" fillId="9" borderId="0" xfId="0" applyFont="1" applyFill="1" applyBorder="1" applyAlignment="1">
      <alignment horizontal="center" vertical="center"/>
    </xf>
    <xf numFmtId="0" fontId="12" fillId="9" borderId="0" xfId="0" applyFont="1" applyFill="1" applyBorder="1" applyAlignment="1">
      <alignment horizontal="left" vertical="center"/>
    </xf>
    <xf numFmtId="0" fontId="6" fillId="9" borderId="0" xfId="0" applyFont="1" applyFill="1" applyBorder="1" applyAlignment="1">
      <alignment horizontal="left" vertical="center"/>
    </xf>
    <xf numFmtId="164" fontId="12" fillId="9" borderId="0" xfId="0" applyNumberFormat="1" applyFont="1" applyFill="1" applyBorder="1" applyAlignment="1">
      <alignment horizontal="center" vertical="center"/>
    </xf>
    <xf numFmtId="2" fontId="13" fillId="9" borderId="0" xfId="0" applyNumberFormat="1" applyFont="1" applyFill="1" applyBorder="1" applyAlignment="1">
      <alignment horizontal="center" vertical="center"/>
    </xf>
    <xf numFmtId="2" fontId="13" fillId="9" borderId="0" xfId="0" applyNumberFormat="1" applyFont="1" applyFill="1" applyBorder="1" applyAlignment="1">
      <alignment horizontal="center" vertical="center" wrapText="1"/>
    </xf>
    <xf numFmtId="15" fontId="12" fillId="9" borderId="0" xfId="0" applyNumberFormat="1" applyFont="1" applyFill="1" applyBorder="1" applyAlignment="1">
      <alignment horizontal="center" vertical="center"/>
    </xf>
    <xf numFmtId="2" fontId="14" fillId="9" borderId="0" xfId="0" applyNumberFormat="1" applyFont="1" applyFill="1" applyBorder="1" applyAlignment="1">
      <alignment horizontal="center" vertical="center"/>
    </xf>
    <xf numFmtId="165" fontId="12" fillId="9" borderId="0" xfId="0" applyNumberFormat="1" applyFont="1" applyFill="1" applyBorder="1" applyAlignment="1">
      <alignment horizontal="center" vertical="center"/>
    </xf>
    <xf numFmtId="2" fontId="12" fillId="9" borderId="0" xfId="0" applyNumberFormat="1" applyFont="1" applyFill="1" applyBorder="1" applyAlignment="1">
      <alignment horizontal="center" vertical="center"/>
    </xf>
    <xf numFmtId="10" fontId="12" fillId="9" borderId="0" xfId="0" applyNumberFormat="1" applyFont="1" applyFill="1" applyBorder="1" applyAlignment="1">
      <alignment horizontal="center" vertical="center"/>
    </xf>
    <xf numFmtId="0" fontId="7" fillId="9" borderId="0" xfId="0" applyFont="1" applyFill="1" applyBorder="1" applyAlignment="1">
      <alignment horizontal="left" vertical="center"/>
    </xf>
    <xf numFmtId="0" fontId="7" fillId="10" borderId="0" xfId="0" applyFont="1" applyFill="1" applyBorder="1" applyAlignment="1">
      <alignment horizontal="center" vertical="center"/>
    </xf>
    <xf numFmtId="0" fontId="6" fillId="10" borderId="0" xfId="0" applyFont="1" applyFill="1" applyBorder="1" applyAlignment="1">
      <alignment vertical="center"/>
    </xf>
    <xf numFmtId="0" fontId="9" fillId="10" borderId="0" xfId="0" applyFont="1" applyFill="1" applyBorder="1" applyAlignment="1">
      <alignment vertical="center"/>
    </xf>
    <xf numFmtId="0" fontId="6" fillId="10" borderId="0" xfId="0" applyFont="1" applyFill="1" applyBorder="1" applyAlignment="1">
      <alignment horizontal="center" vertical="center"/>
    </xf>
    <xf numFmtId="0" fontId="9" fillId="10" borderId="0" xfId="0" applyFont="1" applyFill="1" applyBorder="1" applyAlignment="1">
      <alignment horizontal="left" vertical="center"/>
    </xf>
    <xf numFmtId="0" fontId="6" fillId="10" borderId="0" xfId="0" applyFont="1" applyFill="1" applyBorder="1" applyAlignment="1">
      <alignment horizontal="left" vertical="center"/>
    </xf>
    <xf numFmtId="2" fontId="6" fillId="10" borderId="0" xfId="0" applyNumberFormat="1" applyFont="1" applyFill="1" applyBorder="1" applyAlignment="1">
      <alignment horizontal="center" vertical="center"/>
    </xf>
    <xf numFmtId="2" fontId="13" fillId="10" borderId="0" xfId="0" applyNumberFormat="1" applyFont="1" applyFill="1" applyBorder="1" applyAlignment="1">
      <alignment horizontal="center" vertical="center"/>
    </xf>
    <xf numFmtId="10" fontId="6" fillId="10" borderId="0" xfId="0" applyNumberFormat="1" applyFont="1" applyFill="1" applyBorder="1" applyAlignment="1">
      <alignment horizontal="center" vertical="center"/>
    </xf>
    <xf numFmtId="0" fontId="9" fillId="10" borderId="0" xfId="0" applyFont="1" applyFill="1" applyBorder="1" applyAlignment="1">
      <alignment horizontal="center" vertical="center"/>
    </xf>
    <xf numFmtId="0" fontId="7" fillId="11" borderId="0" xfId="0" applyFont="1" applyFill="1" applyBorder="1" applyAlignment="1">
      <alignment horizontal="center" vertical="center"/>
    </xf>
    <xf numFmtId="0" fontId="6" fillId="11" borderId="0" xfId="0" applyFont="1" applyFill="1" applyBorder="1" applyAlignment="1">
      <alignment horizontal="left" vertical="center"/>
    </xf>
    <xf numFmtId="0" fontId="6" fillId="11" borderId="0" xfId="0" applyFont="1" applyFill="1"/>
    <xf numFmtId="0" fontId="6" fillId="11" borderId="0" xfId="0" applyFont="1" applyFill="1" applyBorder="1" applyAlignment="1">
      <alignment horizontal="center" vertical="center"/>
    </xf>
    <xf numFmtId="2" fontId="13" fillId="11" borderId="0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 shrinkToFit="1"/>
    </xf>
    <xf numFmtId="2" fontId="6" fillId="11" borderId="0" xfId="0" applyNumberFormat="1" applyFont="1" applyFill="1" applyBorder="1" applyAlignment="1">
      <alignment horizontal="center" vertical="center"/>
    </xf>
    <xf numFmtId="0" fontId="7" fillId="12" borderId="0" xfId="0" applyFont="1" applyFill="1" applyBorder="1" applyAlignment="1">
      <alignment horizontal="center" vertical="center"/>
    </xf>
    <xf numFmtId="0" fontId="6" fillId="12" borderId="0" xfId="0" applyFont="1" applyFill="1" applyBorder="1" applyAlignment="1">
      <alignment horizontal="left" vertical="center"/>
    </xf>
    <xf numFmtId="0" fontId="6" fillId="12" borderId="0" xfId="0" applyFont="1" applyFill="1" applyBorder="1" applyAlignment="1">
      <alignment horizontal="center" vertical="center"/>
    </xf>
    <xf numFmtId="2" fontId="6" fillId="12" borderId="0" xfId="0" applyNumberFormat="1" applyFont="1" applyFill="1" applyBorder="1" applyAlignment="1">
      <alignment horizontal="center" vertical="center"/>
    </xf>
    <xf numFmtId="2" fontId="13" fillId="12" borderId="0" xfId="0" applyNumberFormat="1" applyFont="1" applyFill="1" applyBorder="1" applyAlignment="1">
      <alignment horizontal="center" vertical="center"/>
    </xf>
    <xf numFmtId="0" fontId="6" fillId="0" borderId="0" xfId="0" applyFont="1"/>
    <xf numFmtId="0" fontId="7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2" fontId="6" fillId="0" borderId="0" xfId="0" applyNumberFormat="1" applyFont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7" fillId="0" borderId="0" xfId="0" applyFont="1" applyBorder="1" applyAlignment="1">
      <alignment horizontal="right" vertical="center"/>
    </xf>
    <xf numFmtId="0" fontId="16" fillId="0" borderId="0" xfId="0" applyFont="1" applyFill="1" applyBorder="1" applyAlignment="1">
      <alignment horizontal="center" vertical="center" textRotation="90"/>
    </xf>
    <xf numFmtId="0" fontId="7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/>
    <xf numFmtId="2" fontId="6" fillId="0" borderId="0" xfId="0" applyNumberFormat="1" applyFont="1" applyFill="1" applyBorder="1" applyAlignment="1">
      <alignment horizontal="center" vertical="center"/>
    </xf>
    <xf numFmtId="2" fontId="13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0" fontId="6" fillId="0" borderId="0" xfId="0" applyNumberFormat="1" applyFont="1" applyFill="1" applyBorder="1" applyAlignment="1">
      <alignment horizontal="center" vertical="center"/>
    </xf>
    <xf numFmtId="10" fontId="6" fillId="10" borderId="0" xfId="0" applyNumberFormat="1" applyFont="1" applyFill="1" applyBorder="1" applyAlignment="1">
      <alignment vertical="center"/>
    </xf>
    <xf numFmtId="0" fontId="7" fillId="0" borderId="0" xfId="0" applyFont="1" applyBorder="1" applyAlignment="1">
      <alignment horizontal="right" vertical="center" wrapText="1" shrinkToFit="1"/>
    </xf>
    <xf numFmtId="0" fontId="7" fillId="0" borderId="0" xfId="0" applyFont="1" applyFill="1" applyBorder="1" applyAlignment="1">
      <alignment horizontal="right" vertical="center"/>
    </xf>
    <xf numFmtId="0" fontId="17" fillId="0" borderId="0" xfId="0" applyFont="1" applyBorder="1" applyAlignment="1">
      <alignment horizontal="center" vertical="center"/>
    </xf>
    <xf numFmtId="10" fontId="6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vertical="center" textRotation="90"/>
    </xf>
    <xf numFmtId="0" fontId="17" fillId="0" borderId="0" xfId="0" applyFont="1" applyBorder="1" applyAlignment="1">
      <alignment horizontal="center" vertical="center" textRotation="90"/>
    </xf>
    <xf numFmtId="0" fontId="7" fillId="0" borderId="0" xfId="0" applyFont="1" applyBorder="1" applyAlignment="1">
      <alignment horizontal="center" vertical="center" wrapText="1" shrinkToFit="1"/>
    </xf>
    <xf numFmtId="0" fontId="16" fillId="0" borderId="0" xfId="0" applyFont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.Documents/1.Academic/3.Publications/6.Monographs/1.Nat%20Sciences/5.PhD%20Thesis%20NKUA/1.Supporting%20Files/19.Materials/CNS%20Patient%20Clinical%20Da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le1"/>
      <sheetName val="Tabelle2"/>
      <sheetName val="Tabelle3"/>
    </sheetNames>
    <sheetDataSet>
      <sheetData sheetId="0">
        <row r="3">
          <cell r="C3" t="str">
            <v>ΑΘΑΝΑΣΟΠΟΥΛΟΣ</v>
          </cell>
          <cell r="D3" t="str">
            <v>ΑΓΓΕΛΟΣ</v>
          </cell>
          <cell r="E3">
            <v>35289</v>
          </cell>
          <cell r="F3">
            <v>37149</v>
          </cell>
          <cell r="G3" t="str">
            <v>Νευροβλάστωμα</v>
          </cell>
          <cell r="H3"/>
          <cell r="I3" t="str">
            <v>M</v>
          </cell>
          <cell r="J3">
            <v>5.095890410958904</v>
          </cell>
          <cell r="K3">
            <v>2</v>
          </cell>
          <cell r="L3">
            <v>38062</v>
          </cell>
          <cell r="M3"/>
          <cell r="N3" t="str">
            <v>μετάσταση</v>
          </cell>
          <cell r="O3">
            <v>37952</v>
          </cell>
          <cell r="P3"/>
          <cell r="Q3">
            <v>0.2</v>
          </cell>
          <cell r="R3">
            <v>22</v>
          </cell>
          <cell r="S3"/>
          <cell r="T3"/>
          <cell r="U3">
            <v>31</v>
          </cell>
          <cell r="V3">
            <v>0.5</v>
          </cell>
          <cell r="W3">
            <v>17</v>
          </cell>
          <cell r="X3">
            <v>13</v>
          </cell>
          <cell r="Y3">
            <v>12</v>
          </cell>
          <cell r="Z3">
            <v>125</v>
          </cell>
          <cell r="AA3"/>
          <cell r="AB3">
            <v>3.4</v>
          </cell>
          <cell r="AC3">
            <v>133</v>
          </cell>
          <cell r="AD3">
            <v>9.1999999999999993</v>
          </cell>
          <cell r="AE3">
            <v>95</v>
          </cell>
          <cell r="AF3"/>
          <cell r="AG3">
            <v>3.5</v>
          </cell>
          <cell r="AH3"/>
          <cell r="AI3"/>
          <cell r="AJ3">
            <v>5.4</v>
          </cell>
          <cell r="AK3">
            <v>3.6</v>
          </cell>
          <cell r="AL3"/>
          <cell r="AM3"/>
          <cell r="AN3"/>
          <cell r="AO3"/>
          <cell r="AP3"/>
          <cell r="AQ3"/>
          <cell r="AR3"/>
          <cell r="AS3"/>
          <cell r="AT3"/>
          <cell r="AU3"/>
          <cell r="AV3"/>
          <cell r="AW3"/>
          <cell r="AX3"/>
          <cell r="AY3"/>
          <cell r="AZ3"/>
          <cell r="BA3"/>
          <cell r="BB3"/>
          <cell r="BC3"/>
          <cell r="BD3"/>
          <cell r="BE3"/>
          <cell r="BF3"/>
          <cell r="BG3"/>
          <cell r="BH3"/>
          <cell r="BI3"/>
          <cell r="BJ3"/>
          <cell r="BK3" t="str">
            <v>Trizol</v>
          </cell>
          <cell r="BL3"/>
          <cell r="BM3">
            <v>35.799999999999997</v>
          </cell>
          <cell r="BN3">
            <v>1.98</v>
          </cell>
          <cell r="BO3">
            <v>100</v>
          </cell>
          <cell r="BP3">
            <v>3.5799999999999996</v>
          </cell>
          <cell r="BQ3">
            <v>1</v>
          </cell>
          <cell r="BR3">
            <v>27.932960893854752</v>
          </cell>
        </row>
        <row r="4">
          <cell r="C4" t="str">
            <v>ΑΜΠΙΛΑΣΗ</v>
          </cell>
          <cell r="D4" t="str">
            <v>ΑΝΤΛΕΪ</v>
          </cell>
          <cell r="E4">
            <v>33260</v>
          </cell>
          <cell r="F4">
            <v>37589</v>
          </cell>
          <cell r="G4" t="str">
            <v>Μυελοβλάστωμα παρεγκεφαλίδας</v>
          </cell>
          <cell r="H4"/>
          <cell r="I4" t="str">
            <v>M</v>
          </cell>
          <cell r="J4">
            <v>11.860273972602739</v>
          </cell>
          <cell r="K4" t="str">
            <v>1 ?</v>
          </cell>
          <cell r="L4">
            <v>39836</v>
          </cell>
          <cell r="M4"/>
          <cell r="N4" t="str">
            <v>όχι</v>
          </cell>
          <cell r="O4"/>
          <cell r="P4"/>
          <cell r="Q4">
            <v>7.16</v>
          </cell>
          <cell r="R4"/>
          <cell r="S4"/>
          <cell r="T4"/>
          <cell r="U4">
            <v>12</v>
          </cell>
          <cell r="V4">
            <v>0.6</v>
          </cell>
          <cell r="W4">
            <v>18</v>
          </cell>
          <cell r="X4">
            <v>11</v>
          </cell>
          <cell r="Y4">
            <v>4</v>
          </cell>
          <cell r="Z4">
            <v>59</v>
          </cell>
          <cell r="AA4"/>
          <cell r="AB4">
            <v>3.3</v>
          </cell>
          <cell r="AC4">
            <v>140</v>
          </cell>
          <cell r="AD4">
            <v>8.5</v>
          </cell>
          <cell r="AE4">
            <v>101</v>
          </cell>
          <cell r="AF4"/>
          <cell r="AG4"/>
          <cell r="AH4">
            <v>1.5</v>
          </cell>
          <cell r="AI4"/>
          <cell r="AJ4">
            <v>5.9</v>
          </cell>
          <cell r="AK4">
            <v>3.5</v>
          </cell>
          <cell r="AL4"/>
          <cell r="AM4"/>
          <cell r="AN4"/>
          <cell r="AO4"/>
          <cell r="AP4"/>
          <cell r="AQ4"/>
          <cell r="AR4"/>
          <cell r="AS4"/>
          <cell r="AT4"/>
          <cell r="AU4"/>
          <cell r="AV4"/>
          <cell r="AW4"/>
          <cell r="AX4"/>
          <cell r="AY4"/>
          <cell r="AZ4"/>
          <cell r="BA4"/>
          <cell r="BB4"/>
          <cell r="BC4"/>
          <cell r="BD4"/>
          <cell r="BE4"/>
          <cell r="BF4"/>
          <cell r="BG4"/>
          <cell r="BH4"/>
          <cell r="BI4"/>
          <cell r="BJ4"/>
          <cell r="BK4" t="str">
            <v>Trizol</v>
          </cell>
          <cell r="BL4"/>
          <cell r="BM4">
            <v>28.1</v>
          </cell>
          <cell r="BN4">
            <v>1.97</v>
          </cell>
          <cell r="BO4">
            <v>100</v>
          </cell>
          <cell r="BP4">
            <v>2.81</v>
          </cell>
          <cell r="BQ4">
            <v>1</v>
          </cell>
          <cell r="BR4">
            <v>35.587188612099645</v>
          </cell>
        </row>
        <row r="5">
          <cell r="C5" t="str">
            <v>ΑΝΤΑΜΗ</v>
          </cell>
          <cell r="D5" t="str">
            <v>ΜΑΡΙΑ</v>
          </cell>
          <cell r="E5">
            <v>34967</v>
          </cell>
          <cell r="F5">
            <v>37175</v>
          </cell>
          <cell r="G5" t="str">
            <v>Πιλοκυτταρικό αστροκύτωμα</v>
          </cell>
          <cell r="H5" t="str">
            <v>Ι-ΙΙ</v>
          </cell>
          <cell r="I5" t="str">
            <v>F</v>
          </cell>
          <cell r="J5">
            <v>6.0493150684931507</v>
          </cell>
          <cell r="K5" t="str">
            <v>1 ?</v>
          </cell>
          <cell r="L5">
            <v>39371</v>
          </cell>
          <cell r="M5"/>
          <cell r="N5" t="str">
            <v>όχι</v>
          </cell>
          <cell r="O5"/>
          <cell r="P5"/>
          <cell r="Q5">
            <v>6.4</v>
          </cell>
          <cell r="R5"/>
          <cell r="S5"/>
          <cell r="T5">
            <v>88</v>
          </cell>
          <cell r="U5">
            <v>12</v>
          </cell>
          <cell r="V5">
            <v>0.3</v>
          </cell>
          <cell r="W5">
            <v>18</v>
          </cell>
          <cell r="X5">
            <v>13</v>
          </cell>
          <cell r="Y5">
            <v>10</v>
          </cell>
          <cell r="Z5">
            <v>100</v>
          </cell>
          <cell r="AA5"/>
          <cell r="AB5">
            <v>3.9</v>
          </cell>
          <cell r="AC5">
            <v>139</v>
          </cell>
          <cell r="AD5">
            <v>9.1</v>
          </cell>
          <cell r="AE5">
            <v>100</v>
          </cell>
          <cell r="AF5"/>
          <cell r="AG5">
            <v>4.5</v>
          </cell>
          <cell r="AH5"/>
          <cell r="AI5"/>
          <cell r="AJ5">
            <v>4.5999999999999996</v>
          </cell>
          <cell r="AK5">
            <v>2.5</v>
          </cell>
          <cell r="AL5"/>
          <cell r="AM5"/>
          <cell r="AN5"/>
          <cell r="AO5"/>
          <cell r="AP5"/>
          <cell r="AQ5"/>
          <cell r="AR5"/>
          <cell r="AS5"/>
          <cell r="AT5"/>
          <cell r="AU5"/>
          <cell r="AV5"/>
          <cell r="AW5"/>
          <cell r="AX5"/>
          <cell r="AY5"/>
          <cell r="AZ5"/>
          <cell r="BA5"/>
          <cell r="BB5"/>
          <cell r="BC5"/>
          <cell r="BD5"/>
          <cell r="BE5"/>
          <cell r="BF5"/>
          <cell r="BG5"/>
          <cell r="BH5"/>
          <cell r="BI5"/>
          <cell r="BJ5"/>
          <cell r="BK5" t="str">
            <v>Trizol</v>
          </cell>
          <cell r="BL5"/>
          <cell r="BM5">
            <v>27.86</v>
          </cell>
          <cell r="BN5">
            <v>2.0699999999999998</v>
          </cell>
          <cell r="BO5">
            <v>100</v>
          </cell>
          <cell r="BP5">
            <v>2.786</v>
          </cell>
          <cell r="BQ5">
            <v>1</v>
          </cell>
          <cell r="BR5">
            <v>35.89375448671931</v>
          </cell>
        </row>
        <row r="6">
          <cell r="C6" t="str">
            <v>ΑΝΤΩΝΟΠΟΥΛΟΣ</v>
          </cell>
          <cell r="D6" t="str">
            <v>ΑΝΤΩΝΗΣ</v>
          </cell>
          <cell r="E6">
            <v>33991</v>
          </cell>
          <cell r="F6">
            <v>37596</v>
          </cell>
          <cell r="G6" t="str">
            <v>Γλοιβλάστωμα μετωπιαίου λοβού</v>
          </cell>
          <cell r="H6"/>
          <cell r="I6" t="str">
            <v>M</v>
          </cell>
          <cell r="J6">
            <v>9.8767123287671232</v>
          </cell>
          <cell r="K6" t="str">
            <v>1 ?</v>
          </cell>
          <cell r="L6">
            <v>40091</v>
          </cell>
          <cell r="M6"/>
          <cell r="N6" t="str">
            <v>ναι</v>
          </cell>
          <cell r="O6">
            <v>37899</v>
          </cell>
          <cell r="P6"/>
          <cell r="Q6">
            <v>6.86</v>
          </cell>
          <cell r="R6"/>
          <cell r="S6">
            <v>3</v>
          </cell>
          <cell r="T6">
            <v>71</v>
          </cell>
          <cell r="U6">
            <v>14</v>
          </cell>
          <cell r="V6">
            <v>0.5</v>
          </cell>
          <cell r="W6">
            <v>14</v>
          </cell>
          <cell r="X6">
            <v>10</v>
          </cell>
          <cell r="Y6">
            <v>12</v>
          </cell>
          <cell r="Z6"/>
          <cell r="AA6">
            <v>1.7</v>
          </cell>
          <cell r="AB6">
            <v>3.8</v>
          </cell>
          <cell r="AC6">
            <v>135</v>
          </cell>
          <cell r="AD6">
            <v>8.8000000000000007</v>
          </cell>
          <cell r="AE6">
            <v>97</v>
          </cell>
          <cell r="AF6"/>
          <cell r="AG6">
            <v>4.2</v>
          </cell>
          <cell r="AH6"/>
          <cell r="AI6"/>
          <cell r="AJ6"/>
          <cell r="AK6"/>
          <cell r="AL6">
            <v>335</v>
          </cell>
          <cell r="AM6"/>
          <cell r="AN6">
            <v>290.2</v>
          </cell>
          <cell r="AO6"/>
          <cell r="AP6"/>
          <cell r="AQ6"/>
          <cell r="AR6"/>
          <cell r="AS6"/>
          <cell r="AT6"/>
          <cell r="AU6"/>
          <cell r="AV6"/>
          <cell r="AW6"/>
          <cell r="AX6"/>
          <cell r="AY6"/>
          <cell r="AZ6"/>
          <cell r="BA6"/>
          <cell r="BB6"/>
          <cell r="BC6"/>
          <cell r="BD6"/>
          <cell r="BE6"/>
          <cell r="BF6"/>
          <cell r="BG6"/>
          <cell r="BH6"/>
          <cell r="BI6"/>
          <cell r="BJ6"/>
          <cell r="BK6" t="str">
            <v>Trizol</v>
          </cell>
          <cell r="BL6"/>
          <cell r="BM6">
            <v>18.57</v>
          </cell>
          <cell r="BN6">
            <v>1.64</v>
          </cell>
          <cell r="BO6">
            <v>100</v>
          </cell>
          <cell r="BP6">
            <v>1.857</v>
          </cell>
          <cell r="BQ6">
            <v>1</v>
          </cell>
          <cell r="BR6">
            <v>53.850296176628973</v>
          </cell>
        </row>
        <row r="7">
          <cell r="C7" t="str">
            <v>ΑΣΗΜΙΝΑΚΗ</v>
          </cell>
          <cell r="D7" t="str">
            <v>ΣΑΒΒΙΝΑ</v>
          </cell>
          <cell r="E7"/>
          <cell r="F7">
            <v>37998</v>
          </cell>
          <cell r="G7"/>
          <cell r="H7"/>
          <cell r="I7" t="str">
            <v>F</v>
          </cell>
          <cell r="J7">
            <v>104.1041095890411</v>
          </cell>
          <cell r="K7"/>
          <cell r="L7"/>
          <cell r="M7"/>
          <cell r="N7"/>
          <cell r="O7"/>
          <cell r="P7"/>
          <cell r="Q7"/>
          <cell r="R7"/>
          <cell r="S7"/>
          <cell r="T7"/>
          <cell r="U7"/>
          <cell r="V7"/>
          <cell r="W7"/>
          <cell r="X7"/>
          <cell r="Y7"/>
          <cell r="Z7"/>
          <cell r="AA7"/>
          <cell r="AB7"/>
          <cell r="AC7"/>
          <cell r="AD7"/>
          <cell r="AE7"/>
          <cell r="AF7"/>
          <cell r="AG7"/>
          <cell r="AH7"/>
          <cell r="AI7"/>
          <cell r="AJ7"/>
          <cell r="AK7"/>
          <cell r="AL7"/>
          <cell r="AM7"/>
          <cell r="AN7"/>
          <cell r="AO7"/>
          <cell r="AP7"/>
          <cell r="AQ7"/>
          <cell r="AR7"/>
          <cell r="AS7"/>
          <cell r="AT7"/>
          <cell r="AU7"/>
          <cell r="AV7"/>
          <cell r="AW7"/>
          <cell r="AX7"/>
          <cell r="AY7"/>
          <cell r="AZ7"/>
          <cell r="BA7"/>
          <cell r="BB7"/>
          <cell r="BC7"/>
          <cell r="BD7"/>
          <cell r="BE7"/>
          <cell r="BF7"/>
          <cell r="BG7"/>
          <cell r="BH7"/>
          <cell r="BI7"/>
          <cell r="BJ7"/>
          <cell r="BK7" t="str">
            <v>Trizol</v>
          </cell>
          <cell r="BL7"/>
          <cell r="BM7">
            <v>31.71</v>
          </cell>
          <cell r="BN7">
            <v>1.97</v>
          </cell>
          <cell r="BO7">
            <v>100</v>
          </cell>
          <cell r="BP7">
            <v>3.1709999999999998</v>
          </cell>
          <cell r="BQ7">
            <v>1</v>
          </cell>
          <cell r="BR7">
            <v>31.535793125197099</v>
          </cell>
        </row>
        <row r="8">
          <cell r="C8" t="str">
            <v>ΓΕΩΡΓΑΚΗΣ</v>
          </cell>
          <cell r="D8" t="str">
            <v>ΕΥΣΤΑΘΙΟΣ</v>
          </cell>
          <cell r="E8">
            <v>33327</v>
          </cell>
          <cell r="F8">
            <v>37680</v>
          </cell>
          <cell r="G8" t="str">
            <v>Πιλοκυτταρικό αστροκύτωμα I-II βαθμού</v>
          </cell>
          <cell r="H8" t="str">
            <v>Ι-ΙΙ</v>
          </cell>
          <cell r="I8" t="str">
            <v>M</v>
          </cell>
          <cell r="J8">
            <v>11.926027397260274</v>
          </cell>
          <cell r="K8" t="str">
            <v>1?</v>
          </cell>
          <cell r="L8">
            <v>40304</v>
          </cell>
          <cell r="M8"/>
          <cell r="N8" t="str">
            <v>όχι</v>
          </cell>
          <cell r="O8"/>
          <cell r="P8"/>
          <cell r="Q8">
            <v>15</v>
          </cell>
          <cell r="R8">
            <v>3</v>
          </cell>
          <cell r="S8"/>
          <cell r="T8"/>
          <cell r="U8">
            <v>42</v>
          </cell>
          <cell r="V8">
            <v>0.8</v>
          </cell>
          <cell r="W8">
            <v>20</v>
          </cell>
          <cell r="X8">
            <v>25</v>
          </cell>
          <cell r="Y8">
            <v>11</v>
          </cell>
          <cell r="Z8">
            <v>101</v>
          </cell>
          <cell r="AA8"/>
          <cell r="AB8">
            <v>3.2</v>
          </cell>
          <cell r="AC8">
            <v>138</v>
          </cell>
          <cell r="AD8">
            <v>9.1999999999999993</v>
          </cell>
          <cell r="AE8">
            <v>95</v>
          </cell>
          <cell r="AF8"/>
          <cell r="AG8">
            <v>3.5</v>
          </cell>
          <cell r="AH8"/>
          <cell r="AI8"/>
          <cell r="AJ8"/>
          <cell r="AK8"/>
          <cell r="AL8"/>
          <cell r="AM8"/>
          <cell r="AN8"/>
          <cell r="AO8"/>
          <cell r="AP8"/>
          <cell r="AQ8"/>
          <cell r="AR8"/>
          <cell r="AS8"/>
          <cell r="AT8"/>
          <cell r="AU8"/>
          <cell r="AV8"/>
          <cell r="AW8"/>
          <cell r="AX8"/>
          <cell r="AY8"/>
          <cell r="AZ8"/>
          <cell r="BA8"/>
          <cell r="BB8"/>
          <cell r="BC8"/>
          <cell r="BD8"/>
          <cell r="BE8"/>
          <cell r="BF8"/>
          <cell r="BG8"/>
          <cell r="BH8"/>
          <cell r="BI8"/>
          <cell r="BJ8"/>
          <cell r="BK8" t="str">
            <v>Trizol</v>
          </cell>
          <cell r="BL8"/>
          <cell r="BM8">
            <v>161.30000000000001</v>
          </cell>
          <cell r="BN8">
            <v>2.16</v>
          </cell>
          <cell r="BO8">
            <v>100</v>
          </cell>
          <cell r="BP8">
            <v>16.130000000000003</v>
          </cell>
          <cell r="BQ8">
            <v>1</v>
          </cell>
          <cell r="BR8">
            <v>6.1996280223186595</v>
          </cell>
        </row>
        <row r="9">
          <cell r="C9" t="str">
            <v>ΓΙΑΝΝΑΚΟΠΟΥΛΟΥ</v>
          </cell>
          <cell r="D9" t="str">
            <v>ΟΛΓΑ</v>
          </cell>
          <cell r="E9">
            <v>35352</v>
          </cell>
          <cell r="F9">
            <v>38128</v>
          </cell>
          <cell r="G9" t="str">
            <v>PNET or Glioma</v>
          </cell>
          <cell r="H9"/>
          <cell r="I9" t="str">
            <v>F</v>
          </cell>
          <cell r="J9">
            <v>7.6054794520547944</v>
          </cell>
          <cell r="K9">
            <v>2</v>
          </cell>
          <cell r="L9">
            <v>38412</v>
          </cell>
          <cell r="M9"/>
          <cell r="N9" t="str">
            <v>ναι</v>
          </cell>
          <cell r="O9">
            <v>38145</v>
          </cell>
          <cell r="P9"/>
          <cell r="Q9">
            <v>14.52</v>
          </cell>
          <cell r="R9">
            <v>9</v>
          </cell>
          <cell r="S9"/>
          <cell r="T9">
            <v>247</v>
          </cell>
          <cell r="U9">
            <v>13</v>
          </cell>
          <cell r="V9">
            <v>0.5</v>
          </cell>
          <cell r="W9">
            <v>15</v>
          </cell>
          <cell r="X9">
            <v>10</v>
          </cell>
          <cell r="Y9"/>
          <cell r="Z9"/>
          <cell r="AA9"/>
          <cell r="AB9">
            <v>4.0999999999999996</v>
          </cell>
          <cell r="AC9">
            <v>133</v>
          </cell>
          <cell r="AD9">
            <v>7.7</v>
          </cell>
          <cell r="AE9">
            <v>105</v>
          </cell>
          <cell r="AF9"/>
          <cell r="AG9"/>
          <cell r="AH9">
            <v>0.3</v>
          </cell>
          <cell r="AI9">
            <v>0.02</v>
          </cell>
          <cell r="AJ9">
            <v>4.4000000000000004</v>
          </cell>
          <cell r="AK9">
            <v>2.7</v>
          </cell>
          <cell r="AL9"/>
          <cell r="AM9"/>
          <cell r="AN9"/>
          <cell r="AO9"/>
          <cell r="AP9"/>
          <cell r="AQ9"/>
          <cell r="AR9"/>
          <cell r="AS9"/>
          <cell r="AT9"/>
          <cell r="AU9"/>
          <cell r="AV9"/>
          <cell r="AW9"/>
          <cell r="AX9"/>
          <cell r="AY9"/>
          <cell r="AZ9"/>
          <cell r="BA9"/>
          <cell r="BB9"/>
          <cell r="BC9"/>
          <cell r="BD9"/>
          <cell r="BE9"/>
          <cell r="BF9"/>
          <cell r="BG9"/>
          <cell r="BH9">
            <v>22.5</v>
          </cell>
          <cell r="BI9">
            <v>223</v>
          </cell>
          <cell r="BJ9"/>
          <cell r="BK9" t="str">
            <v>Trizol</v>
          </cell>
          <cell r="BL9"/>
          <cell r="BM9">
            <v>459.17</v>
          </cell>
          <cell r="BN9">
            <v>2.1800000000000002</v>
          </cell>
          <cell r="BO9">
            <v>100</v>
          </cell>
          <cell r="BP9">
            <v>45.917000000000002</v>
          </cell>
          <cell r="BQ9">
            <v>1</v>
          </cell>
          <cell r="BR9">
            <v>2.177842629091622</v>
          </cell>
        </row>
        <row r="10">
          <cell r="C10" t="str">
            <v>ΔΗΜΗΤΡΙΑΔΗΣ</v>
          </cell>
          <cell r="D10" t="str">
            <v>ΓΙΩΡΓΟΣ</v>
          </cell>
          <cell r="E10"/>
          <cell r="F10">
            <v>38010</v>
          </cell>
          <cell r="G10" t="str">
            <v>Μυελοβλάστωμα παρεγκεφαλίδας</v>
          </cell>
          <cell r="H10"/>
          <cell r="I10" t="str">
            <v>M</v>
          </cell>
          <cell r="J10" t="e">
            <v>#VALUE!</v>
          </cell>
          <cell r="K10"/>
          <cell r="L10"/>
          <cell r="M10"/>
          <cell r="N10"/>
          <cell r="O10"/>
          <cell r="P10"/>
          <cell r="Q10"/>
          <cell r="R10"/>
          <cell r="S10"/>
          <cell r="T10"/>
          <cell r="U10"/>
          <cell r="V10"/>
          <cell r="W10"/>
          <cell r="X10"/>
          <cell r="Y10"/>
          <cell r="Z10"/>
          <cell r="AA10"/>
          <cell r="AB10"/>
          <cell r="AC10"/>
          <cell r="AD10"/>
          <cell r="AE10"/>
          <cell r="AF10"/>
          <cell r="AG10"/>
          <cell r="AH10"/>
          <cell r="AI10"/>
          <cell r="AJ10"/>
          <cell r="AK10"/>
          <cell r="AL10"/>
          <cell r="AM10"/>
          <cell r="AN10"/>
          <cell r="AO10"/>
          <cell r="AP10"/>
          <cell r="AQ10"/>
          <cell r="AR10"/>
          <cell r="AS10"/>
          <cell r="AT10"/>
          <cell r="AU10"/>
          <cell r="AV10"/>
          <cell r="AW10"/>
          <cell r="AX10"/>
          <cell r="AY10"/>
          <cell r="AZ10"/>
          <cell r="BA10"/>
          <cell r="BB10"/>
          <cell r="BC10"/>
          <cell r="BD10"/>
          <cell r="BE10"/>
          <cell r="BF10"/>
          <cell r="BG10"/>
          <cell r="BH10"/>
          <cell r="BI10"/>
          <cell r="BJ10"/>
          <cell r="BK10" t="str">
            <v>Trizol</v>
          </cell>
          <cell r="BL10"/>
          <cell r="BM10">
            <v>127.42</v>
          </cell>
          <cell r="BN10">
            <v>2.13</v>
          </cell>
          <cell r="BO10">
            <v>100</v>
          </cell>
          <cell r="BP10">
            <v>12.742000000000001</v>
          </cell>
          <cell r="BQ10">
            <v>1</v>
          </cell>
          <cell r="BR10">
            <v>7.8480615288023854</v>
          </cell>
        </row>
        <row r="11">
          <cell r="C11" t="str">
            <v>ΔΟΥΛΓΕΡΗΣ</v>
          </cell>
          <cell r="D11" t="str">
            <v>ΔΗΜΗΤΡΙΟΣ</v>
          </cell>
          <cell r="E11">
            <v>32144</v>
          </cell>
          <cell r="F11">
            <v>37223</v>
          </cell>
          <cell r="G11" t="str">
            <v>Πιλοκυτταρικό αστροκύτωμα</v>
          </cell>
          <cell r="H11" t="str">
            <v>ΙΙ</v>
          </cell>
          <cell r="I11" t="str">
            <v>M</v>
          </cell>
          <cell r="J11">
            <v>13.915068493150685</v>
          </cell>
          <cell r="K11">
            <v>1</v>
          </cell>
          <cell r="L11">
            <v>40847</v>
          </cell>
          <cell r="M11"/>
          <cell r="N11" t="str">
            <v>όχι</v>
          </cell>
          <cell r="O11"/>
          <cell r="P11"/>
          <cell r="Q11">
            <v>9.6999999999999993</v>
          </cell>
          <cell r="R11"/>
          <cell r="S11"/>
          <cell r="T11">
            <v>130</v>
          </cell>
          <cell r="U11">
            <v>27</v>
          </cell>
          <cell r="V11">
            <v>8.1</v>
          </cell>
          <cell r="W11">
            <v>48</v>
          </cell>
          <cell r="X11">
            <v>46</v>
          </cell>
          <cell r="Y11">
            <v>37</v>
          </cell>
          <cell r="Z11">
            <v>190</v>
          </cell>
          <cell r="AA11"/>
          <cell r="AB11">
            <v>3.6</v>
          </cell>
          <cell r="AC11">
            <v>137</v>
          </cell>
          <cell r="AD11">
            <v>8.1</v>
          </cell>
          <cell r="AE11">
            <v>103</v>
          </cell>
          <cell r="AF11"/>
          <cell r="AG11"/>
          <cell r="AH11">
            <v>1</v>
          </cell>
          <cell r="AI11">
            <v>0.4</v>
          </cell>
          <cell r="AJ11">
            <v>6</v>
          </cell>
          <cell r="AK11">
            <v>3.6</v>
          </cell>
          <cell r="AL11"/>
          <cell r="AM11"/>
          <cell r="AN11"/>
          <cell r="AO11"/>
          <cell r="AP11"/>
          <cell r="AQ11"/>
          <cell r="AR11"/>
          <cell r="AS11"/>
          <cell r="AT11"/>
          <cell r="AU11"/>
          <cell r="AV11"/>
          <cell r="AW11"/>
          <cell r="AX11"/>
          <cell r="AY11"/>
          <cell r="AZ11"/>
          <cell r="BA11"/>
          <cell r="BB11"/>
          <cell r="BC11"/>
          <cell r="BD11"/>
          <cell r="BE11"/>
          <cell r="BF11"/>
          <cell r="BG11"/>
          <cell r="BH11"/>
          <cell r="BI11"/>
          <cell r="BJ11"/>
          <cell r="BK11"/>
          <cell r="BL11"/>
          <cell r="BM11"/>
          <cell r="BN11"/>
          <cell r="BO11"/>
          <cell r="BP11"/>
          <cell r="BQ11"/>
          <cell r="BR11"/>
        </row>
        <row r="12">
          <cell r="C12" t="str">
            <v>ΔΡΙΒΑΛΑ</v>
          </cell>
          <cell r="D12"/>
          <cell r="E12"/>
          <cell r="F12">
            <v>37309</v>
          </cell>
          <cell r="G12" t="str">
            <v>Νευροβλάστωμα</v>
          </cell>
          <cell r="H12"/>
          <cell r="I12" t="str">
            <v>F</v>
          </cell>
          <cell r="J12">
            <v>102.21643835616439</v>
          </cell>
          <cell r="K12"/>
          <cell r="L12"/>
          <cell r="M12"/>
          <cell r="N12"/>
          <cell r="O12"/>
          <cell r="P12"/>
          <cell r="Q12"/>
          <cell r="R12"/>
          <cell r="S12"/>
          <cell r="T12"/>
          <cell r="U12"/>
          <cell r="V12"/>
          <cell r="W12"/>
          <cell r="X12"/>
          <cell r="Y12"/>
          <cell r="Z12"/>
          <cell r="AA12"/>
          <cell r="AB12"/>
          <cell r="AC12"/>
          <cell r="AD12"/>
          <cell r="AE12"/>
          <cell r="AF12"/>
          <cell r="AG12"/>
          <cell r="AH12"/>
          <cell r="AI12"/>
          <cell r="AJ12"/>
          <cell r="AK12"/>
          <cell r="AL12"/>
          <cell r="AM12"/>
          <cell r="AN12"/>
          <cell r="AO12"/>
          <cell r="AP12"/>
          <cell r="AQ12"/>
          <cell r="AR12"/>
          <cell r="AS12"/>
          <cell r="AT12"/>
          <cell r="AU12"/>
          <cell r="AV12"/>
          <cell r="AW12"/>
          <cell r="AX12"/>
          <cell r="AY12"/>
          <cell r="AZ12"/>
          <cell r="BA12"/>
          <cell r="BB12"/>
          <cell r="BC12"/>
          <cell r="BD12"/>
          <cell r="BE12"/>
          <cell r="BF12"/>
          <cell r="BG12"/>
          <cell r="BH12"/>
          <cell r="BI12"/>
          <cell r="BJ12"/>
          <cell r="BK12"/>
          <cell r="BL12"/>
          <cell r="BM12"/>
          <cell r="BN12"/>
          <cell r="BO12"/>
          <cell r="BP12"/>
          <cell r="BQ12"/>
          <cell r="BR12"/>
        </row>
        <row r="13">
          <cell r="C13" t="str">
            <v>ΕΞΑΡΧΟΥ</v>
          </cell>
          <cell r="D13" t="str">
            <v>ΕΥΑΓΓΕΛΙΑ</v>
          </cell>
          <cell r="E13">
            <v>34838</v>
          </cell>
          <cell r="F13">
            <v>37309</v>
          </cell>
          <cell r="G13" t="str">
            <v>Πιλοκυτταρικό αστροκύττωμα παρεγκεφαλίδας</v>
          </cell>
          <cell r="H13" t="str">
            <v>Ι</v>
          </cell>
          <cell r="I13" t="str">
            <v>F</v>
          </cell>
          <cell r="J13">
            <v>6.7698630136986298</v>
          </cell>
          <cell r="K13" t="str">
            <v>1?</v>
          </cell>
          <cell r="L13">
            <v>38590</v>
          </cell>
          <cell r="M13"/>
          <cell r="N13" t="str">
            <v>όχι</v>
          </cell>
          <cell r="O13"/>
          <cell r="P13"/>
          <cell r="Q13">
            <v>5.4</v>
          </cell>
          <cell r="R13"/>
          <cell r="S13"/>
          <cell r="T13">
            <v>110</v>
          </cell>
          <cell r="U13">
            <v>18</v>
          </cell>
          <cell r="V13">
            <v>0.5</v>
          </cell>
          <cell r="W13">
            <v>18</v>
          </cell>
          <cell r="X13">
            <v>12</v>
          </cell>
          <cell r="Y13">
            <v>12</v>
          </cell>
          <cell r="Z13">
            <v>173</v>
          </cell>
          <cell r="AA13"/>
          <cell r="AB13">
            <v>3.4</v>
          </cell>
          <cell r="AC13">
            <v>134</v>
          </cell>
          <cell r="AD13">
            <v>9.1</v>
          </cell>
          <cell r="AE13">
            <v>101</v>
          </cell>
          <cell r="AF13"/>
          <cell r="AG13">
            <v>5.5</v>
          </cell>
          <cell r="AH13">
            <v>1.1000000000000001</v>
          </cell>
          <cell r="AI13">
            <v>0.39</v>
          </cell>
          <cell r="AJ13">
            <v>6.2</v>
          </cell>
          <cell r="AK13">
            <v>3.9</v>
          </cell>
          <cell r="AL13"/>
          <cell r="AM13"/>
          <cell r="AN13"/>
          <cell r="AO13"/>
          <cell r="AP13"/>
          <cell r="AQ13"/>
          <cell r="AR13"/>
          <cell r="AS13"/>
          <cell r="AT13"/>
          <cell r="AU13"/>
          <cell r="AV13"/>
          <cell r="AW13"/>
          <cell r="AX13"/>
          <cell r="AY13"/>
          <cell r="AZ13"/>
          <cell r="BA13"/>
          <cell r="BB13"/>
          <cell r="BC13"/>
          <cell r="BD13"/>
          <cell r="BE13"/>
          <cell r="BF13"/>
          <cell r="BG13"/>
          <cell r="BH13"/>
          <cell r="BI13"/>
          <cell r="BJ13"/>
          <cell r="BK13"/>
          <cell r="BL13"/>
          <cell r="BM13"/>
          <cell r="BN13"/>
          <cell r="BO13"/>
          <cell r="BP13"/>
          <cell r="BQ13"/>
          <cell r="BR13"/>
        </row>
        <row r="14">
          <cell r="C14" t="str">
            <v>ΖΑΡΑΒΕΛΛΑ</v>
          </cell>
          <cell r="D14" t="str">
            <v>ΝΕΚΤΑΡΙΑ</v>
          </cell>
          <cell r="E14">
            <v>34857</v>
          </cell>
          <cell r="F14">
            <v>38075</v>
          </cell>
          <cell r="G14" t="str">
            <v>Αστροκύττωμα Grade II</v>
          </cell>
          <cell r="H14"/>
          <cell r="I14" t="str">
            <v>F</v>
          </cell>
          <cell r="J14">
            <v>8.8164383561643831</v>
          </cell>
          <cell r="K14"/>
          <cell r="L14"/>
          <cell r="M14"/>
          <cell r="N14"/>
          <cell r="O14"/>
          <cell r="P14"/>
          <cell r="Q14"/>
          <cell r="R14"/>
          <cell r="S14"/>
          <cell r="T14"/>
          <cell r="U14"/>
          <cell r="V14"/>
          <cell r="W14"/>
          <cell r="X14"/>
          <cell r="Y14"/>
          <cell r="Z14"/>
          <cell r="AA14"/>
          <cell r="AB14"/>
          <cell r="AC14"/>
          <cell r="AD14"/>
          <cell r="AE14"/>
          <cell r="AF14"/>
          <cell r="AG14"/>
          <cell r="AH14"/>
          <cell r="AI14"/>
          <cell r="AJ14"/>
          <cell r="AK14"/>
          <cell r="AL14"/>
          <cell r="AM14"/>
          <cell r="AN14"/>
          <cell r="AO14"/>
          <cell r="AP14"/>
          <cell r="AQ14"/>
          <cell r="AR14"/>
          <cell r="AS14"/>
          <cell r="AT14"/>
          <cell r="AU14"/>
          <cell r="AV14"/>
          <cell r="AW14"/>
          <cell r="AX14"/>
          <cell r="AY14"/>
          <cell r="AZ14"/>
          <cell r="BA14"/>
          <cell r="BB14"/>
          <cell r="BC14"/>
          <cell r="BD14"/>
          <cell r="BE14"/>
          <cell r="BF14"/>
          <cell r="BG14"/>
          <cell r="BH14"/>
          <cell r="BI14"/>
          <cell r="BJ14"/>
          <cell r="BK14"/>
          <cell r="BL14"/>
          <cell r="BM14"/>
          <cell r="BN14"/>
          <cell r="BO14"/>
          <cell r="BP14"/>
          <cell r="BQ14"/>
          <cell r="BR14"/>
        </row>
        <row r="15">
          <cell r="C15" t="str">
            <v>ΖΗΣΙΜΟΠΟΥΛΟΣ</v>
          </cell>
          <cell r="D15" t="str">
            <v>ΣΤΕΛΙΟΣ</v>
          </cell>
          <cell r="E15">
            <v>35481</v>
          </cell>
          <cell r="F15">
            <v>38221</v>
          </cell>
          <cell r="G15" t="str">
            <v>Μυελοβλάστωμα</v>
          </cell>
          <cell r="H15" t="str">
            <v>IV</v>
          </cell>
          <cell r="I15" t="str">
            <v>M</v>
          </cell>
          <cell r="J15">
            <v>7.506849315068493</v>
          </cell>
          <cell r="K15">
            <v>2</v>
          </cell>
          <cell r="L15">
            <v>38897</v>
          </cell>
          <cell r="M15"/>
          <cell r="N15" t="str">
            <v>όχι</v>
          </cell>
          <cell r="O15"/>
          <cell r="P15"/>
          <cell r="Q15">
            <v>6.14</v>
          </cell>
          <cell r="R15">
            <v>1.78</v>
          </cell>
          <cell r="S15">
            <v>22</v>
          </cell>
          <cell r="T15"/>
          <cell r="U15">
            <v>21</v>
          </cell>
          <cell r="V15">
            <v>0.5</v>
          </cell>
          <cell r="W15">
            <v>86</v>
          </cell>
          <cell r="X15">
            <v>246</v>
          </cell>
          <cell r="Y15">
            <v>51</v>
          </cell>
          <cell r="Z15">
            <v>73</v>
          </cell>
          <cell r="AA15"/>
          <cell r="AB15">
            <v>3.8</v>
          </cell>
          <cell r="AC15">
            <v>140</v>
          </cell>
          <cell r="AD15">
            <v>8.6</v>
          </cell>
          <cell r="AE15">
            <v>98</v>
          </cell>
          <cell r="AF15"/>
          <cell r="AG15">
            <v>2.1</v>
          </cell>
          <cell r="AH15">
            <v>0.4</v>
          </cell>
          <cell r="AI15">
            <v>0.03</v>
          </cell>
          <cell r="AJ15">
            <v>5.9</v>
          </cell>
          <cell r="AK15">
            <v>3.4</v>
          </cell>
          <cell r="AL15"/>
          <cell r="AM15"/>
          <cell r="AN15"/>
          <cell r="AO15"/>
          <cell r="AP15"/>
          <cell r="AQ15"/>
          <cell r="AR15"/>
          <cell r="AS15"/>
          <cell r="AT15"/>
          <cell r="AU15"/>
          <cell r="AV15"/>
          <cell r="AW15"/>
          <cell r="AX15"/>
          <cell r="AY15"/>
          <cell r="AZ15"/>
          <cell r="BA15"/>
          <cell r="BB15"/>
          <cell r="BC15"/>
          <cell r="BD15"/>
          <cell r="BE15"/>
          <cell r="BF15"/>
          <cell r="BG15"/>
          <cell r="BH15"/>
          <cell r="BI15"/>
          <cell r="BJ15"/>
          <cell r="BK15"/>
          <cell r="BL15"/>
          <cell r="BM15"/>
          <cell r="BN15"/>
          <cell r="BO15"/>
          <cell r="BP15"/>
          <cell r="BQ15"/>
          <cell r="BR15"/>
        </row>
        <row r="16">
          <cell r="C16" t="str">
            <v>ΘΕΟΔΩΡΑΚΟΠΟΥΛΟΣ</v>
          </cell>
          <cell r="D16"/>
          <cell r="E16"/>
          <cell r="F16"/>
          <cell r="G16" t="str">
            <v>Μυελοβλαστωμα</v>
          </cell>
          <cell r="H16"/>
          <cell r="I16" t="str">
            <v>F</v>
          </cell>
          <cell r="J16">
            <v>0</v>
          </cell>
          <cell r="K16"/>
          <cell r="L16"/>
          <cell r="M16"/>
          <cell r="N16"/>
          <cell r="O16"/>
          <cell r="P16"/>
          <cell r="Q16"/>
          <cell r="R16"/>
          <cell r="S16"/>
          <cell r="T16"/>
          <cell r="U16"/>
          <cell r="V16"/>
          <cell r="W16"/>
          <cell r="X16"/>
          <cell r="Y16"/>
          <cell r="Z16"/>
          <cell r="AA16"/>
          <cell r="AB16"/>
          <cell r="AC16"/>
          <cell r="AD16"/>
          <cell r="AE16"/>
          <cell r="AF16"/>
          <cell r="AG16"/>
          <cell r="AH16"/>
          <cell r="AI16"/>
          <cell r="AJ16"/>
          <cell r="AK16"/>
          <cell r="AL16"/>
          <cell r="AM16"/>
          <cell r="AN16"/>
          <cell r="AO16"/>
          <cell r="AP16"/>
          <cell r="AQ16"/>
          <cell r="AR16"/>
          <cell r="AS16"/>
          <cell r="AT16"/>
          <cell r="AU16"/>
          <cell r="AV16"/>
          <cell r="AW16"/>
          <cell r="AX16"/>
          <cell r="AY16"/>
          <cell r="AZ16"/>
          <cell r="BA16"/>
          <cell r="BB16"/>
          <cell r="BC16"/>
          <cell r="BD16"/>
          <cell r="BE16"/>
          <cell r="BF16"/>
          <cell r="BG16"/>
          <cell r="BH16"/>
          <cell r="BI16"/>
          <cell r="BJ16"/>
          <cell r="BK16"/>
          <cell r="BL16"/>
          <cell r="BM16"/>
          <cell r="BN16"/>
          <cell r="BO16"/>
          <cell r="BP16"/>
          <cell r="BQ16"/>
          <cell r="BR16"/>
        </row>
        <row r="17">
          <cell r="C17" t="str">
            <v>ΘΕΟΔΩΡΟΥ</v>
          </cell>
          <cell r="D17" t="str">
            <v>ΦΑΝΗ</v>
          </cell>
          <cell r="E17">
            <v>35695</v>
          </cell>
          <cell r="F17">
            <v>38079</v>
          </cell>
          <cell r="G17" t="str">
            <v>Αστροκύττωμα Grade II</v>
          </cell>
          <cell r="H17" t="str">
            <v>ΙΙ</v>
          </cell>
          <cell r="I17" t="str">
            <v>F</v>
          </cell>
          <cell r="J17">
            <v>6.5315068493150683</v>
          </cell>
          <cell r="K17" t="str">
            <v>1?</v>
          </cell>
          <cell r="L17">
            <v>40129</v>
          </cell>
          <cell r="M17"/>
          <cell r="N17" t="str">
            <v>όχι</v>
          </cell>
          <cell r="O17"/>
          <cell r="P17"/>
          <cell r="Q17">
            <v>9.5</v>
          </cell>
          <cell r="R17"/>
          <cell r="S17"/>
          <cell r="T17">
            <v>96</v>
          </cell>
          <cell r="U17">
            <v>11</v>
          </cell>
          <cell r="V17">
            <v>0.4</v>
          </cell>
          <cell r="W17">
            <v>24</v>
          </cell>
          <cell r="X17">
            <v>15</v>
          </cell>
          <cell r="Y17">
            <v>13</v>
          </cell>
          <cell r="Z17">
            <v>108</v>
          </cell>
          <cell r="AA17"/>
          <cell r="AB17">
            <v>3.2</v>
          </cell>
          <cell r="AC17">
            <v>138</v>
          </cell>
          <cell r="AD17">
            <v>8.4</v>
          </cell>
          <cell r="AE17">
            <v>103</v>
          </cell>
          <cell r="AF17">
            <v>1.6</v>
          </cell>
          <cell r="AG17">
            <v>3.5</v>
          </cell>
          <cell r="AH17">
            <v>1</v>
          </cell>
          <cell r="AI17">
            <v>0.42</v>
          </cell>
          <cell r="AJ17">
            <v>5.2</v>
          </cell>
          <cell r="AK17">
            <v>3.1</v>
          </cell>
          <cell r="AL17"/>
          <cell r="AM17"/>
          <cell r="AN17"/>
          <cell r="AO17"/>
          <cell r="AP17"/>
          <cell r="AQ17"/>
          <cell r="AR17"/>
          <cell r="AS17"/>
          <cell r="AT17"/>
          <cell r="AU17"/>
          <cell r="AV17"/>
          <cell r="AW17"/>
          <cell r="AX17"/>
          <cell r="AY17"/>
          <cell r="AZ17"/>
          <cell r="BA17"/>
          <cell r="BB17"/>
          <cell r="BC17"/>
          <cell r="BD17"/>
          <cell r="BE17"/>
          <cell r="BF17"/>
          <cell r="BG17"/>
          <cell r="BH17"/>
          <cell r="BI17"/>
          <cell r="BJ17"/>
          <cell r="BK17"/>
          <cell r="BL17"/>
          <cell r="BM17"/>
          <cell r="BN17"/>
          <cell r="BO17"/>
          <cell r="BP17"/>
          <cell r="BQ17"/>
          <cell r="BR17"/>
        </row>
        <row r="18">
          <cell r="C18" t="str">
            <v>ΚΑΛΟΓΕΡΟΠΟΥΛΟΥ</v>
          </cell>
          <cell r="D18" t="str">
            <v>ΕΛΕΝΗ</v>
          </cell>
          <cell r="E18">
            <v>36350</v>
          </cell>
          <cell r="F18">
            <v>37645</v>
          </cell>
          <cell r="G18" t="str">
            <v xml:space="preserve">Γλοιονευρωνικό νεόπλασμα, όγκος μετωποκροταφικός  </v>
          </cell>
          <cell r="H18" t="str">
            <v>ΙΙ</v>
          </cell>
          <cell r="I18" t="str">
            <v>F</v>
          </cell>
          <cell r="J18">
            <v>3.547945205479452</v>
          </cell>
          <cell r="K18">
            <v>2</v>
          </cell>
          <cell r="L18">
            <v>40033</v>
          </cell>
          <cell r="M18"/>
          <cell r="N18" t="str">
            <v>ναι</v>
          </cell>
          <cell r="O18">
            <v>39149</v>
          </cell>
          <cell r="P18"/>
          <cell r="Q18">
            <v>6.23</v>
          </cell>
          <cell r="R18"/>
          <cell r="S18"/>
          <cell r="T18">
            <v>270</v>
          </cell>
          <cell r="U18">
            <v>30</v>
          </cell>
          <cell r="V18">
            <v>0.7</v>
          </cell>
          <cell r="W18">
            <v>31</v>
          </cell>
          <cell r="X18">
            <v>15</v>
          </cell>
          <cell r="Y18">
            <v>8</v>
          </cell>
          <cell r="Z18">
            <v>168</v>
          </cell>
          <cell r="AA18">
            <v>5.3</v>
          </cell>
          <cell r="AB18">
            <v>3.6</v>
          </cell>
          <cell r="AC18">
            <v>141</v>
          </cell>
          <cell r="AD18">
            <v>8.6999999999999993</v>
          </cell>
          <cell r="AE18">
            <v>101</v>
          </cell>
          <cell r="AF18">
            <v>1.9</v>
          </cell>
          <cell r="AG18">
            <v>5.0999999999999996</v>
          </cell>
          <cell r="AH18">
            <v>1.3</v>
          </cell>
          <cell r="AI18">
            <v>0.64</v>
          </cell>
          <cell r="AJ18">
            <v>5.5</v>
          </cell>
          <cell r="AK18">
            <v>3.8</v>
          </cell>
          <cell r="AL18"/>
          <cell r="AM18"/>
          <cell r="AN18"/>
          <cell r="AO18"/>
          <cell r="AP18"/>
          <cell r="AQ18"/>
          <cell r="AR18">
            <v>234</v>
          </cell>
          <cell r="AS18"/>
          <cell r="AT18"/>
          <cell r="AU18"/>
          <cell r="AV18"/>
          <cell r="AW18"/>
          <cell r="AX18"/>
          <cell r="AY18"/>
          <cell r="AZ18"/>
          <cell r="BA18"/>
          <cell r="BB18"/>
          <cell r="BC18"/>
          <cell r="BD18"/>
          <cell r="BE18"/>
          <cell r="BF18"/>
          <cell r="BG18"/>
          <cell r="BH18"/>
          <cell r="BI18"/>
          <cell r="BJ18"/>
          <cell r="BK18"/>
          <cell r="BL18"/>
          <cell r="BM18"/>
          <cell r="BN18"/>
          <cell r="BO18"/>
          <cell r="BP18"/>
          <cell r="BQ18"/>
          <cell r="BR18"/>
        </row>
        <row r="19">
          <cell r="C19" t="str">
            <v>ΚΑΛΥΒΑΣ</v>
          </cell>
          <cell r="D19" t="str">
            <v>ΟΡΕΣΤΗΣ</v>
          </cell>
          <cell r="E19">
            <v>34074</v>
          </cell>
          <cell r="F19">
            <v>36980</v>
          </cell>
          <cell r="G19" t="str">
            <v>Πιλοκυτταρικό αστροκύττωμα παρεγκεφαλίδας</v>
          </cell>
          <cell r="H19" t="str">
            <v>Ι-ΙΙ</v>
          </cell>
          <cell r="I19" t="str">
            <v>M</v>
          </cell>
          <cell r="J19">
            <v>7.9616438356164387</v>
          </cell>
          <cell r="K19" t="str">
            <v>1?</v>
          </cell>
          <cell r="L19">
            <v>38261</v>
          </cell>
          <cell r="M19"/>
          <cell r="N19" t="str">
            <v>όχι</v>
          </cell>
          <cell r="O19"/>
          <cell r="P19"/>
          <cell r="Q19">
            <v>13.69</v>
          </cell>
          <cell r="R19">
            <v>15</v>
          </cell>
          <cell r="S19"/>
          <cell r="T19">
            <v>101</v>
          </cell>
          <cell r="U19">
            <v>35</v>
          </cell>
          <cell r="V19">
            <v>0.6</v>
          </cell>
          <cell r="W19">
            <v>21</v>
          </cell>
          <cell r="X19">
            <v>19</v>
          </cell>
          <cell r="Y19"/>
          <cell r="Z19"/>
          <cell r="AA19"/>
          <cell r="AB19">
            <v>4.2</v>
          </cell>
          <cell r="AC19">
            <v>134</v>
          </cell>
          <cell r="AD19">
            <v>8.8000000000000007</v>
          </cell>
          <cell r="AE19">
            <v>96</v>
          </cell>
          <cell r="AF19"/>
          <cell r="AG19"/>
          <cell r="AH19"/>
          <cell r="AI19"/>
          <cell r="AJ19">
            <v>6.1</v>
          </cell>
          <cell r="AK19">
            <v>3.8</v>
          </cell>
          <cell r="AL19"/>
          <cell r="AM19"/>
          <cell r="AN19"/>
          <cell r="AO19"/>
          <cell r="AP19"/>
          <cell r="AQ19"/>
          <cell r="AR19"/>
          <cell r="AS19"/>
          <cell r="AT19"/>
          <cell r="AU19"/>
          <cell r="AV19"/>
          <cell r="AW19"/>
          <cell r="AX19"/>
          <cell r="AY19"/>
          <cell r="AZ19"/>
          <cell r="BA19"/>
          <cell r="BB19"/>
          <cell r="BC19"/>
          <cell r="BD19"/>
          <cell r="BE19"/>
          <cell r="BF19"/>
          <cell r="BG19"/>
          <cell r="BH19"/>
          <cell r="BI19"/>
          <cell r="BJ19"/>
          <cell r="BK19"/>
          <cell r="BL19"/>
          <cell r="BM19"/>
          <cell r="BN19"/>
          <cell r="BO19"/>
          <cell r="BP19"/>
          <cell r="BQ19"/>
          <cell r="BR19"/>
        </row>
        <row r="20">
          <cell r="C20" t="str">
            <v>ΚΑΡΑΚΑΠΟΣ</v>
          </cell>
          <cell r="D20"/>
          <cell r="E20"/>
          <cell r="F20">
            <v>37747</v>
          </cell>
          <cell r="G20" t="str">
            <v>Γλοιοβλάστωμα</v>
          </cell>
          <cell r="H20"/>
          <cell r="I20" t="str">
            <v>M</v>
          </cell>
          <cell r="J20">
            <v>103.41643835616438</v>
          </cell>
          <cell r="K20"/>
          <cell r="L20"/>
          <cell r="M20"/>
          <cell r="N20"/>
          <cell r="O20"/>
          <cell r="P20"/>
          <cell r="Q20"/>
          <cell r="R20"/>
          <cell r="S20"/>
          <cell r="T20"/>
          <cell r="U20"/>
          <cell r="V20"/>
          <cell r="W20"/>
          <cell r="X20"/>
          <cell r="Y20"/>
          <cell r="Z20"/>
          <cell r="AA20"/>
          <cell r="AB20"/>
          <cell r="AC20"/>
          <cell r="AD20"/>
          <cell r="AE20"/>
          <cell r="AF20"/>
          <cell r="AG20"/>
          <cell r="AH20"/>
          <cell r="AI20"/>
          <cell r="AJ20"/>
          <cell r="AK20"/>
          <cell r="AL20"/>
          <cell r="AM20"/>
          <cell r="AN20"/>
          <cell r="AO20"/>
          <cell r="AP20"/>
          <cell r="AQ20"/>
          <cell r="AR20"/>
          <cell r="AS20"/>
          <cell r="AT20"/>
          <cell r="AU20"/>
          <cell r="AV20"/>
          <cell r="AW20"/>
          <cell r="AX20"/>
          <cell r="AY20"/>
          <cell r="AZ20"/>
          <cell r="BA20"/>
          <cell r="BB20"/>
          <cell r="BC20"/>
          <cell r="BD20"/>
          <cell r="BE20"/>
          <cell r="BF20"/>
          <cell r="BG20"/>
          <cell r="BH20"/>
          <cell r="BI20"/>
          <cell r="BJ20"/>
          <cell r="BK20"/>
          <cell r="BL20"/>
          <cell r="BM20"/>
          <cell r="BN20"/>
          <cell r="BO20"/>
          <cell r="BP20"/>
          <cell r="BQ20"/>
          <cell r="BR20"/>
        </row>
        <row r="21">
          <cell r="C21" t="str">
            <v>ΚΑΡΑΜΟΥΤΣΟΣ</v>
          </cell>
          <cell r="D21"/>
          <cell r="E21"/>
          <cell r="F21">
            <v>37372</v>
          </cell>
          <cell r="G21"/>
          <cell r="H21"/>
          <cell r="I21" t="str">
            <v>M</v>
          </cell>
          <cell r="J21">
            <v>102.38904109589041</v>
          </cell>
          <cell r="K21"/>
          <cell r="L21"/>
          <cell r="M21"/>
          <cell r="N21"/>
          <cell r="O21"/>
          <cell r="P21"/>
          <cell r="Q21"/>
          <cell r="R21"/>
          <cell r="S21"/>
          <cell r="T21"/>
          <cell r="U21"/>
          <cell r="V21"/>
          <cell r="W21"/>
          <cell r="X21"/>
          <cell r="Y21"/>
          <cell r="Z21"/>
          <cell r="AA21"/>
          <cell r="AB21"/>
          <cell r="AC21"/>
          <cell r="AD21"/>
          <cell r="AE21"/>
          <cell r="AF21"/>
          <cell r="AG21"/>
          <cell r="AH21"/>
          <cell r="AI21"/>
          <cell r="AJ21"/>
          <cell r="AK21"/>
          <cell r="AL21"/>
          <cell r="AM21"/>
          <cell r="AN21"/>
          <cell r="AO21"/>
          <cell r="AP21"/>
          <cell r="AQ21"/>
          <cell r="AR21"/>
          <cell r="AS21"/>
          <cell r="AT21"/>
          <cell r="AU21"/>
          <cell r="AV21"/>
          <cell r="AW21"/>
          <cell r="AX21"/>
          <cell r="AY21"/>
          <cell r="AZ21"/>
          <cell r="BA21"/>
          <cell r="BB21"/>
          <cell r="BC21"/>
          <cell r="BD21"/>
          <cell r="BE21"/>
          <cell r="BF21"/>
          <cell r="BG21"/>
          <cell r="BH21"/>
          <cell r="BI21"/>
          <cell r="BJ21"/>
          <cell r="BK21"/>
          <cell r="BL21"/>
          <cell r="BM21"/>
          <cell r="BN21"/>
          <cell r="BO21"/>
          <cell r="BP21"/>
          <cell r="BQ21"/>
          <cell r="BR21"/>
        </row>
        <row r="22">
          <cell r="C22" t="str">
            <v>ΚΑΡΑΧΑΛΙΟΣ</v>
          </cell>
          <cell r="D22"/>
          <cell r="E22">
            <v>34055</v>
          </cell>
          <cell r="F22">
            <v>37747</v>
          </cell>
          <cell r="G22" t="str">
            <v>Γλοιοβλάστωμα</v>
          </cell>
          <cell r="H22" t="str">
            <v>IV</v>
          </cell>
          <cell r="I22" t="str">
            <v>M</v>
          </cell>
          <cell r="J22">
            <v>10.115068493150686</v>
          </cell>
          <cell r="K22" t="str">
            <v>1?</v>
          </cell>
          <cell r="L22">
            <v>37874</v>
          </cell>
          <cell r="M22"/>
          <cell r="N22" t="str">
            <v>όχι</v>
          </cell>
          <cell r="O22"/>
          <cell r="P22"/>
          <cell r="Q22">
            <v>9.1999999999999993</v>
          </cell>
          <cell r="R22">
            <v>3.2</v>
          </cell>
          <cell r="S22">
            <v>10</v>
          </cell>
          <cell r="T22">
            <v>84</v>
          </cell>
          <cell r="U22">
            <v>28</v>
          </cell>
          <cell r="V22">
            <v>0.6</v>
          </cell>
          <cell r="W22">
            <v>41</v>
          </cell>
          <cell r="X22">
            <v>78</v>
          </cell>
          <cell r="Y22">
            <v>13</v>
          </cell>
          <cell r="Z22">
            <v>187</v>
          </cell>
          <cell r="AA22">
            <v>4.8</v>
          </cell>
          <cell r="AB22">
            <v>3.6</v>
          </cell>
          <cell r="AC22">
            <v>137</v>
          </cell>
          <cell r="AD22">
            <v>9.4</v>
          </cell>
          <cell r="AE22">
            <v>95</v>
          </cell>
          <cell r="AF22">
            <v>2</v>
          </cell>
          <cell r="AG22">
            <v>4.8</v>
          </cell>
          <cell r="AH22"/>
          <cell r="AI22"/>
          <cell r="AJ22">
            <v>6.7</v>
          </cell>
          <cell r="AK22">
            <v>4.3</v>
          </cell>
          <cell r="AL22">
            <v>169</v>
          </cell>
          <cell r="AM22"/>
          <cell r="AN22"/>
          <cell r="AO22"/>
          <cell r="AP22"/>
          <cell r="AQ22"/>
          <cell r="AR22"/>
          <cell r="AS22"/>
          <cell r="AT22"/>
          <cell r="AU22"/>
          <cell r="AV22"/>
          <cell r="AW22"/>
          <cell r="AX22"/>
          <cell r="AY22"/>
          <cell r="AZ22"/>
          <cell r="BA22"/>
          <cell r="BB22"/>
          <cell r="BC22"/>
          <cell r="BD22"/>
          <cell r="BE22"/>
          <cell r="BF22"/>
          <cell r="BG22"/>
          <cell r="BH22"/>
          <cell r="BI22"/>
          <cell r="BJ22"/>
          <cell r="BK22"/>
          <cell r="BL22"/>
          <cell r="BM22"/>
          <cell r="BN22"/>
          <cell r="BO22"/>
          <cell r="BP22"/>
          <cell r="BQ22"/>
          <cell r="BR22"/>
        </row>
        <row r="23">
          <cell r="C23" t="str">
            <v>ΚΙΟΣΚ</v>
          </cell>
          <cell r="D23" t="str">
            <v>ΔΗΜΗΤΡΑ</v>
          </cell>
          <cell r="E23">
            <v>35049</v>
          </cell>
          <cell r="F23">
            <v>37330</v>
          </cell>
          <cell r="G23" t="str">
            <v>Μυελοβλάστωμα παρεγκεφαλίδας</v>
          </cell>
          <cell r="H23" t="str">
            <v>IV</v>
          </cell>
          <cell r="I23" t="str">
            <v>F</v>
          </cell>
          <cell r="J23">
            <v>6.2493150684931509</v>
          </cell>
          <cell r="K23" t="str">
            <v>1?</v>
          </cell>
          <cell r="L23"/>
          <cell r="M23"/>
          <cell r="N23" t="str">
            <v>όχι</v>
          </cell>
          <cell r="O23"/>
          <cell r="P23"/>
          <cell r="Q23">
            <v>10.29</v>
          </cell>
          <cell r="R23">
            <v>38</v>
          </cell>
          <cell r="S23"/>
          <cell r="T23">
            <v>106</v>
          </cell>
          <cell r="U23">
            <v>14</v>
          </cell>
          <cell r="V23">
            <v>0.4</v>
          </cell>
          <cell r="W23">
            <v>29</v>
          </cell>
          <cell r="X23">
            <v>17</v>
          </cell>
          <cell r="Y23">
            <v>12</v>
          </cell>
          <cell r="Z23">
            <v>120</v>
          </cell>
          <cell r="AA23"/>
          <cell r="AB23">
            <v>3.9</v>
          </cell>
          <cell r="AC23">
            <v>138</v>
          </cell>
          <cell r="AD23">
            <v>8.5</v>
          </cell>
          <cell r="AE23">
            <v>100</v>
          </cell>
          <cell r="AF23"/>
          <cell r="AG23">
            <v>5.2</v>
          </cell>
          <cell r="AH23"/>
          <cell r="AI23"/>
          <cell r="AJ23">
            <v>5.7</v>
          </cell>
          <cell r="AK23">
            <v>3.1</v>
          </cell>
          <cell r="AL23"/>
          <cell r="AM23"/>
          <cell r="AN23"/>
          <cell r="AO23"/>
          <cell r="AP23"/>
          <cell r="AQ23"/>
          <cell r="AR23"/>
          <cell r="AS23"/>
          <cell r="AT23"/>
          <cell r="AU23"/>
          <cell r="AV23"/>
          <cell r="AW23"/>
          <cell r="AX23"/>
          <cell r="AY23"/>
          <cell r="AZ23"/>
          <cell r="BA23"/>
          <cell r="BB23"/>
          <cell r="BC23"/>
          <cell r="BD23"/>
          <cell r="BE23"/>
          <cell r="BF23"/>
          <cell r="BG23"/>
          <cell r="BH23"/>
          <cell r="BI23"/>
          <cell r="BJ23"/>
          <cell r="BK23"/>
          <cell r="BL23"/>
          <cell r="BM23"/>
          <cell r="BN23"/>
          <cell r="BO23"/>
          <cell r="BP23"/>
          <cell r="BQ23"/>
          <cell r="BR23"/>
        </row>
        <row r="24">
          <cell r="C24" t="str">
            <v>ΚΥΡΙΑΚΟΠΟΥΛΟΣ</v>
          </cell>
          <cell r="D24" t="str">
            <v>ΧΡΗΣΤΟΣ</v>
          </cell>
          <cell r="E24">
            <v>37382</v>
          </cell>
          <cell r="F24">
            <v>37967</v>
          </cell>
          <cell r="G24" t="str">
            <v>Νευροβλάστωμα</v>
          </cell>
          <cell r="H24" t="str">
            <v>IV</v>
          </cell>
          <cell r="I24" t="str">
            <v>M</v>
          </cell>
          <cell r="J24">
            <v>1.6027397260273972</v>
          </cell>
          <cell r="K24">
            <v>2</v>
          </cell>
          <cell r="L24">
            <v>38665</v>
          </cell>
          <cell r="M24"/>
          <cell r="N24" t="str">
            <v>ναι</v>
          </cell>
          <cell r="O24">
            <v>38295</v>
          </cell>
          <cell r="P24"/>
          <cell r="Q24">
            <v>6.8</v>
          </cell>
          <cell r="R24"/>
          <cell r="S24">
            <v>40</v>
          </cell>
          <cell r="T24">
            <v>105</v>
          </cell>
          <cell r="U24">
            <v>29</v>
          </cell>
          <cell r="V24">
            <v>0.4</v>
          </cell>
          <cell r="W24">
            <v>116</v>
          </cell>
          <cell r="X24">
            <v>18</v>
          </cell>
          <cell r="Y24">
            <v>10</v>
          </cell>
          <cell r="Z24">
            <v>203</v>
          </cell>
          <cell r="AA24">
            <v>4.4000000000000004</v>
          </cell>
          <cell r="AB24">
            <v>4.0999999999999996</v>
          </cell>
          <cell r="AC24">
            <v>134</v>
          </cell>
          <cell r="AD24">
            <v>9</v>
          </cell>
          <cell r="AE24">
            <v>99</v>
          </cell>
          <cell r="AF24">
            <v>2.1</v>
          </cell>
          <cell r="AG24">
            <v>4.7</v>
          </cell>
          <cell r="AH24">
            <v>0.6</v>
          </cell>
          <cell r="AI24">
            <v>0.01</v>
          </cell>
          <cell r="AJ24">
            <v>6.6</v>
          </cell>
          <cell r="AK24">
            <v>4.4000000000000004</v>
          </cell>
          <cell r="AL24">
            <v>4461</v>
          </cell>
          <cell r="AM24">
            <v>68</v>
          </cell>
          <cell r="AN24">
            <v>221</v>
          </cell>
          <cell r="AO24">
            <v>96</v>
          </cell>
          <cell r="AP24">
            <v>45</v>
          </cell>
          <cell r="AQ24">
            <v>157</v>
          </cell>
          <cell r="AR24">
            <v>233</v>
          </cell>
          <cell r="AS24"/>
          <cell r="AT24"/>
          <cell r="AU24"/>
          <cell r="AV24"/>
          <cell r="AW24"/>
          <cell r="AX24"/>
          <cell r="AY24"/>
          <cell r="AZ24"/>
          <cell r="BA24"/>
          <cell r="BB24"/>
          <cell r="BC24"/>
          <cell r="BD24"/>
          <cell r="BE24"/>
          <cell r="BF24"/>
          <cell r="BG24"/>
          <cell r="BH24"/>
          <cell r="BI24"/>
          <cell r="BJ24"/>
          <cell r="BK24"/>
          <cell r="BL24"/>
          <cell r="BM24"/>
          <cell r="BN24"/>
          <cell r="BO24"/>
          <cell r="BP24"/>
          <cell r="BQ24"/>
          <cell r="BR24"/>
        </row>
        <row r="25">
          <cell r="C25" t="str">
            <v>ΜΕΡΕΝΤΙΤΗ</v>
          </cell>
          <cell r="D25" t="str">
            <v>ΔΗΜΗΤΡΑ</v>
          </cell>
          <cell r="E25">
            <v>34731</v>
          </cell>
          <cell r="F25">
            <v>37176</v>
          </cell>
          <cell r="G25" t="str">
            <v>Πιλοκυτταρικό αστροκύττωμα παρεγκεφαλίδας</v>
          </cell>
          <cell r="H25" t="str">
            <v>I</v>
          </cell>
          <cell r="I25" t="str">
            <v>F</v>
          </cell>
          <cell r="J25">
            <v>6.6986301369863011</v>
          </cell>
          <cell r="K25" t="str">
            <v>1?</v>
          </cell>
          <cell r="L25">
            <v>40669</v>
          </cell>
          <cell r="M25"/>
          <cell r="N25" t="str">
            <v>όχι</v>
          </cell>
          <cell r="O25"/>
          <cell r="P25"/>
          <cell r="Q25">
            <v>14.3</v>
          </cell>
          <cell r="R25">
            <v>5</v>
          </cell>
          <cell r="S25"/>
          <cell r="T25">
            <v>103</v>
          </cell>
          <cell r="U25">
            <v>32</v>
          </cell>
          <cell r="V25">
            <v>0.5</v>
          </cell>
          <cell r="W25">
            <v>22</v>
          </cell>
          <cell r="X25">
            <v>12</v>
          </cell>
          <cell r="Y25"/>
          <cell r="Z25"/>
          <cell r="AA25"/>
          <cell r="AB25">
            <v>4.4000000000000004</v>
          </cell>
          <cell r="AC25">
            <v>141</v>
          </cell>
          <cell r="AD25">
            <v>9.1999999999999993</v>
          </cell>
          <cell r="AE25">
            <v>96</v>
          </cell>
          <cell r="AF25"/>
          <cell r="AG25"/>
          <cell r="AH25">
            <v>0.3</v>
          </cell>
          <cell r="AI25">
            <v>0.18</v>
          </cell>
          <cell r="AJ25">
            <v>6.2</v>
          </cell>
          <cell r="AK25">
            <v>3.6</v>
          </cell>
          <cell r="AL25"/>
          <cell r="AM25"/>
          <cell r="AN25"/>
          <cell r="AO25"/>
          <cell r="AP25"/>
          <cell r="AQ25"/>
          <cell r="AR25"/>
          <cell r="AS25"/>
          <cell r="AT25"/>
          <cell r="AU25"/>
          <cell r="AV25"/>
          <cell r="AW25"/>
          <cell r="AX25"/>
          <cell r="AY25"/>
          <cell r="AZ25"/>
          <cell r="BA25"/>
          <cell r="BB25"/>
          <cell r="BC25"/>
          <cell r="BD25"/>
          <cell r="BE25"/>
          <cell r="BF25"/>
          <cell r="BG25"/>
          <cell r="BH25"/>
          <cell r="BI25"/>
          <cell r="BJ25"/>
          <cell r="BK25"/>
          <cell r="BL25"/>
          <cell r="BM25"/>
          <cell r="BN25"/>
          <cell r="BO25"/>
          <cell r="BP25"/>
          <cell r="BQ25"/>
          <cell r="BR25"/>
        </row>
        <row r="26">
          <cell r="C26" t="str">
            <v>ΜΕΤΑΛΛΗΝΟΣ</v>
          </cell>
          <cell r="D26" t="str">
            <v>ΚΩΝΣΤΑΝΤΙΝΟΣ</v>
          </cell>
          <cell r="E26">
            <v>33749</v>
          </cell>
          <cell r="F26">
            <v>38203</v>
          </cell>
          <cell r="G26" t="str">
            <v>Μυελοβλάστωμα παρεγκεφαλίδας</v>
          </cell>
          <cell r="H26" t="str">
            <v>IV</v>
          </cell>
          <cell r="I26" t="str">
            <v>M</v>
          </cell>
          <cell r="J26">
            <v>12.202739726027398</v>
          </cell>
          <cell r="K26">
            <v>1</v>
          </cell>
          <cell r="L26">
            <v>40920</v>
          </cell>
          <cell r="M26"/>
          <cell r="N26" t="str">
            <v>όχι</v>
          </cell>
          <cell r="O26"/>
          <cell r="P26"/>
          <cell r="Q26">
            <v>6.8</v>
          </cell>
          <cell r="R26"/>
          <cell r="S26"/>
          <cell r="T26"/>
          <cell r="U26">
            <v>24</v>
          </cell>
          <cell r="V26">
            <v>0.6</v>
          </cell>
          <cell r="W26">
            <v>41</v>
          </cell>
          <cell r="X26">
            <v>93</v>
          </cell>
          <cell r="Y26">
            <v>78</v>
          </cell>
          <cell r="Z26">
            <v>185</v>
          </cell>
          <cell r="AA26">
            <v>1.6</v>
          </cell>
          <cell r="AB26">
            <v>4</v>
          </cell>
          <cell r="AC26">
            <v>134</v>
          </cell>
          <cell r="AD26">
            <v>8.3000000000000007</v>
          </cell>
          <cell r="AE26">
            <v>99</v>
          </cell>
          <cell r="AF26">
            <v>2.7</v>
          </cell>
          <cell r="AG26">
            <v>3</v>
          </cell>
          <cell r="AH26">
            <v>0.9</v>
          </cell>
          <cell r="AI26">
            <v>0.3</v>
          </cell>
          <cell r="AJ26">
            <v>6.7</v>
          </cell>
          <cell r="AK26">
            <v>4.0999999999999996</v>
          </cell>
          <cell r="AL26"/>
          <cell r="AM26"/>
          <cell r="AN26"/>
          <cell r="AO26"/>
          <cell r="AP26"/>
          <cell r="AQ26"/>
          <cell r="AR26"/>
          <cell r="AS26"/>
          <cell r="AT26"/>
          <cell r="AU26"/>
          <cell r="AV26"/>
          <cell r="AW26"/>
          <cell r="AX26"/>
          <cell r="AY26"/>
          <cell r="AZ26"/>
          <cell r="BA26"/>
          <cell r="BB26"/>
          <cell r="BC26"/>
          <cell r="BD26"/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/>
          <cell r="BR26"/>
        </row>
        <row r="27">
          <cell r="C27" t="str">
            <v>ΜΙΑΡΗ</v>
          </cell>
          <cell r="D27" t="str">
            <v>ΕΛΕΥΘΕΡΙΑ</v>
          </cell>
          <cell r="E27">
            <v>34894</v>
          </cell>
          <cell r="F27">
            <v>37795</v>
          </cell>
          <cell r="G27" t="str">
            <v>Μυελοβλάστωμα</v>
          </cell>
          <cell r="H27" t="str">
            <v>IV</v>
          </cell>
          <cell r="I27" t="str">
            <v>M</v>
          </cell>
          <cell r="J27">
            <v>7.9479452054794519</v>
          </cell>
          <cell r="K27" t="str">
            <v>1?</v>
          </cell>
          <cell r="L27">
            <v>40834</v>
          </cell>
          <cell r="M27"/>
          <cell r="N27" t="str">
            <v>όχι</v>
          </cell>
          <cell r="O27"/>
          <cell r="P27"/>
          <cell r="Q27">
            <v>11.8</v>
          </cell>
          <cell r="R27">
            <v>5.0999999999999996</v>
          </cell>
          <cell r="S27"/>
          <cell r="T27">
            <v>130</v>
          </cell>
          <cell r="U27">
            <v>10</v>
          </cell>
          <cell r="V27">
            <v>0.5</v>
          </cell>
          <cell r="W27">
            <v>18</v>
          </cell>
          <cell r="X27">
            <v>12</v>
          </cell>
          <cell r="Y27">
            <v>13</v>
          </cell>
          <cell r="Z27">
            <v>99</v>
          </cell>
          <cell r="AA27"/>
          <cell r="AB27">
            <v>3.8</v>
          </cell>
          <cell r="AC27">
            <v>138</v>
          </cell>
          <cell r="AD27">
            <v>8.6999999999999993</v>
          </cell>
          <cell r="AE27">
            <v>101</v>
          </cell>
          <cell r="AF27"/>
          <cell r="AG27"/>
          <cell r="AH27"/>
          <cell r="AI27"/>
          <cell r="AJ27">
            <v>5.7</v>
          </cell>
          <cell r="AK27">
            <v>3.5</v>
          </cell>
          <cell r="AL27"/>
          <cell r="AM27"/>
          <cell r="AN27"/>
          <cell r="AO27"/>
          <cell r="AP27"/>
          <cell r="AQ27"/>
          <cell r="AR27"/>
          <cell r="AS27"/>
          <cell r="AT27"/>
          <cell r="AU27"/>
          <cell r="AV27"/>
          <cell r="AW27"/>
          <cell r="AX27"/>
          <cell r="AY27"/>
          <cell r="AZ27"/>
          <cell r="BA27"/>
          <cell r="BB27"/>
          <cell r="BC27"/>
          <cell r="BD27"/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/>
          <cell r="BR27"/>
        </row>
        <row r="28">
          <cell r="C28" t="str">
            <v>ΜΙΧΑΛΑΡΟΣ</v>
          </cell>
          <cell r="D28" t="str">
            <v>ΠΑΝΑΓΙΩΤΗΣ</v>
          </cell>
          <cell r="E28">
            <v>35767</v>
          </cell>
          <cell r="F28">
            <v>37246</v>
          </cell>
          <cell r="G28" t="str">
            <v>Μυελοβλάστωμα, οπισθίου βόθρου</v>
          </cell>
          <cell r="H28"/>
          <cell r="I28" t="str">
            <v>M</v>
          </cell>
          <cell r="J28">
            <v>4.0520547945205481</v>
          </cell>
          <cell r="K28" t="str">
            <v>1?</v>
          </cell>
          <cell r="L28">
            <v>40858</v>
          </cell>
          <cell r="M28"/>
          <cell r="N28" t="str">
            <v>όχι</v>
          </cell>
          <cell r="O28"/>
          <cell r="P28"/>
          <cell r="Q28">
            <v>11.6</v>
          </cell>
          <cell r="R28">
            <v>3.1</v>
          </cell>
          <cell r="S28"/>
          <cell r="T28"/>
          <cell r="U28">
            <v>15</v>
          </cell>
          <cell r="V28">
            <v>0.5</v>
          </cell>
          <cell r="W28">
            <v>28</v>
          </cell>
          <cell r="X28">
            <v>30</v>
          </cell>
          <cell r="Y28">
            <v>15</v>
          </cell>
          <cell r="Z28">
            <v>107</v>
          </cell>
          <cell r="AA28"/>
          <cell r="AB28">
            <v>4.4000000000000004</v>
          </cell>
          <cell r="AC28">
            <v>133</v>
          </cell>
          <cell r="AD28">
            <v>8</v>
          </cell>
          <cell r="AE28">
            <v>98</v>
          </cell>
          <cell r="AF28"/>
          <cell r="AG28">
            <v>3.7</v>
          </cell>
          <cell r="AH28">
            <v>0.3</v>
          </cell>
          <cell r="AI28">
            <v>0.05</v>
          </cell>
          <cell r="AJ28">
            <v>5.4</v>
          </cell>
          <cell r="AK28">
            <v>3.4</v>
          </cell>
          <cell r="AL28"/>
          <cell r="AM28"/>
          <cell r="AN28"/>
          <cell r="AO28"/>
          <cell r="AP28"/>
          <cell r="AQ28"/>
          <cell r="AR28"/>
          <cell r="AS28"/>
          <cell r="AT28"/>
          <cell r="AU28"/>
          <cell r="AV28"/>
          <cell r="AW28"/>
          <cell r="AX28"/>
          <cell r="AY28"/>
          <cell r="AZ28"/>
          <cell r="BA28"/>
          <cell r="BB28"/>
          <cell r="BC28"/>
          <cell r="BD28"/>
          <cell r="BE28"/>
          <cell r="BF28"/>
          <cell r="BG28"/>
          <cell r="BH28"/>
          <cell r="BI28"/>
          <cell r="BJ28"/>
          <cell r="BK28"/>
          <cell r="BL28"/>
          <cell r="BM28"/>
          <cell r="BN28"/>
          <cell r="BO28"/>
          <cell r="BP28"/>
          <cell r="BQ28"/>
          <cell r="BR28"/>
        </row>
        <row r="29">
          <cell r="C29" t="str">
            <v>ΜΥΛΩΝΑΣ</v>
          </cell>
          <cell r="D29" t="str">
            <v>ΑΡΧΑΓΓΕΛΟΣ</v>
          </cell>
          <cell r="E29">
            <v>35650</v>
          </cell>
          <cell r="F29">
            <v>37281</v>
          </cell>
          <cell r="G29" t="str">
            <v>Επενδύμωμα</v>
          </cell>
          <cell r="H29" t="str">
            <v>ΙΙ</v>
          </cell>
          <cell r="I29" t="str">
            <v>M</v>
          </cell>
          <cell r="J29">
            <v>4.4684931506849317</v>
          </cell>
          <cell r="K29" t="str">
            <v>1?</v>
          </cell>
          <cell r="L29">
            <v>40928</v>
          </cell>
          <cell r="M29"/>
          <cell r="N29" t="str">
            <v>ναι</v>
          </cell>
          <cell r="O29">
            <v>38804</v>
          </cell>
          <cell r="P29"/>
          <cell r="Q29">
            <v>9.5</v>
          </cell>
          <cell r="R29"/>
          <cell r="S29"/>
          <cell r="T29">
            <v>96</v>
          </cell>
          <cell r="U29">
            <v>12</v>
          </cell>
          <cell r="V29">
            <v>0.6</v>
          </cell>
          <cell r="W29">
            <v>27</v>
          </cell>
          <cell r="X29">
            <v>19</v>
          </cell>
          <cell r="Y29">
            <v>12</v>
          </cell>
          <cell r="Z29">
            <v>291</v>
          </cell>
          <cell r="AA29"/>
          <cell r="AB29">
            <v>4.0999999999999996</v>
          </cell>
          <cell r="AC29">
            <v>139</v>
          </cell>
          <cell r="AD29">
            <v>8.6999999999999993</v>
          </cell>
          <cell r="AE29">
            <v>103</v>
          </cell>
          <cell r="AF29">
            <v>1.5</v>
          </cell>
          <cell r="AG29">
            <v>5.7</v>
          </cell>
          <cell r="AH29">
            <v>0.4</v>
          </cell>
          <cell r="AI29">
            <v>0.18</v>
          </cell>
          <cell r="AJ29">
            <v>5.8</v>
          </cell>
          <cell r="AK29">
            <v>3.9</v>
          </cell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/>
          <cell r="BA29"/>
          <cell r="BB29"/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</row>
        <row r="30">
          <cell r="C30" t="str">
            <v>ΝΙΚΟΛΟΠΟΥΛΟΣ</v>
          </cell>
          <cell r="D30" t="str">
            <v>ΧΡΗΣΤΟΣ</v>
          </cell>
          <cell r="E30">
            <v>33382</v>
          </cell>
          <cell r="F30">
            <v>37364</v>
          </cell>
          <cell r="G30" t="str">
            <v>Μυελοβλάστωμα</v>
          </cell>
          <cell r="H30"/>
          <cell r="I30" t="str">
            <v>M</v>
          </cell>
          <cell r="J30">
            <v>10.90958904109589</v>
          </cell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/>
          <cell r="BA30"/>
          <cell r="BB30"/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</row>
        <row r="31">
          <cell r="C31" t="str">
            <v>ΠΑΠΟΥΤΣΗΣ</v>
          </cell>
          <cell r="D31" t="str">
            <v>ΓΙΩΡΓΟΣ</v>
          </cell>
          <cell r="E31">
            <v>36069</v>
          </cell>
          <cell r="F31">
            <v>37915</v>
          </cell>
          <cell r="G31" t="str">
            <v>Νευροβλάστωμα</v>
          </cell>
          <cell r="H31"/>
          <cell r="I31" t="str">
            <v>M</v>
          </cell>
          <cell r="J31">
            <v>5.0575342465753428</v>
          </cell>
          <cell r="K31" t="str">
            <v>1?</v>
          </cell>
          <cell r="L31">
            <v>40619</v>
          </cell>
          <cell r="M31"/>
          <cell r="N31" t="str">
            <v>όχι</v>
          </cell>
          <cell r="O31"/>
          <cell r="P31"/>
          <cell r="Q31">
            <v>8.6</v>
          </cell>
          <cell r="R31">
            <v>54.1</v>
          </cell>
          <cell r="S31">
            <v>87</v>
          </cell>
          <cell r="T31">
            <v>86</v>
          </cell>
          <cell r="U31">
            <v>28</v>
          </cell>
          <cell r="V31">
            <v>0.6</v>
          </cell>
          <cell r="W31">
            <v>50</v>
          </cell>
          <cell r="X31">
            <v>30</v>
          </cell>
          <cell r="Y31">
            <v>22</v>
          </cell>
          <cell r="Z31">
            <v>185</v>
          </cell>
          <cell r="AA31"/>
          <cell r="AB31">
            <v>4</v>
          </cell>
          <cell r="AC31">
            <v>139</v>
          </cell>
          <cell r="AD31">
            <v>9</v>
          </cell>
          <cell r="AE31">
            <v>98</v>
          </cell>
          <cell r="AF31"/>
          <cell r="AG31">
            <v>4.2</v>
          </cell>
          <cell r="AH31">
            <v>0.4</v>
          </cell>
          <cell r="AI31">
            <v>0.02</v>
          </cell>
          <cell r="AJ31">
            <v>7.1</v>
          </cell>
          <cell r="AK31">
            <v>4.0999999999999996</v>
          </cell>
          <cell r="AL31">
            <v>880</v>
          </cell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/>
          <cell r="BA31"/>
          <cell r="BB31"/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</row>
        <row r="32">
          <cell r="C32" t="str">
            <v>ΠΑΡΟΥΤΗΣ</v>
          </cell>
          <cell r="D32" t="str">
            <v>ΓΙΩΡΓΟΣ</v>
          </cell>
          <cell r="E32">
            <v>36280</v>
          </cell>
          <cell r="F32">
            <v>37679</v>
          </cell>
          <cell r="G32" t="str">
            <v>Αναπλαστικό Επενδύμωμα</v>
          </cell>
          <cell r="H32" t="str">
            <v>ΙΙΙ</v>
          </cell>
          <cell r="I32" t="str">
            <v>M</v>
          </cell>
          <cell r="J32">
            <v>3.8328767123287673</v>
          </cell>
          <cell r="K32">
            <v>2</v>
          </cell>
          <cell r="L32">
            <v>39048</v>
          </cell>
          <cell r="M32"/>
          <cell r="N32" t="str">
            <v>ναι</v>
          </cell>
          <cell r="O32">
            <v>38695</v>
          </cell>
          <cell r="P32"/>
          <cell r="Q32">
            <v>8.1999999999999993</v>
          </cell>
          <cell r="R32">
            <v>13.4</v>
          </cell>
          <cell r="S32"/>
          <cell r="T32"/>
          <cell r="U32">
            <v>14</v>
          </cell>
          <cell r="V32">
            <v>0.5</v>
          </cell>
          <cell r="W32">
            <v>27</v>
          </cell>
          <cell r="X32">
            <v>18</v>
          </cell>
          <cell r="Y32">
            <v>6</v>
          </cell>
          <cell r="Z32">
            <v>166</v>
          </cell>
          <cell r="AA32"/>
          <cell r="AB32">
            <v>3.9</v>
          </cell>
          <cell r="AC32">
            <v>137</v>
          </cell>
          <cell r="AD32">
            <v>9.1999999999999993</v>
          </cell>
          <cell r="AE32">
            <v>96</v>
          </cell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/>
          <cell r="BA32"/>
          <cell r="BB32"/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</row>
        <row r="33">
          <cell r="C33" t="str">
            <v>ΠΑΥΛΗΣ</v>
          </cell>
          <cell r="D33" t="str">
            <v>ΙΩΑΝΝΗΣ</v>
          </cell>
          <cell r="E33">
            <v>32736</v>
          </cell>
          <cell r="F33">
            <v>37146</v>
          </cell>
          <cell r="G33" t="str">
            <v>Μυελοβλάστωμα οπισθίου βόθρου</v>
          </cell>
          <cell r="H33" t="str">
            <v>IV</v>
          </cell>
          <cell r="I33" t="str">
            <v>M</v>
          </cell>
          <cell r="J33">
            <v>12.082191780821917</v>
          </cell>
          <cell r="K33" t="str">
            <v>1?</v>
          </cell>
          <cell r="L33">
            <v>37655</v>
          </cell>
          <cell r="M33"/>
          <cell r="N33" t="str">
            <v>όχι</v>
          </cell>
          <cell r="O33"/>
          <cell r="P33"/>
          <cell r="Q33">
            <v>10.5</v>
          </cell>
          <cell r="R33">
            <v>3.4</v>
          </cell>
          <cell r="S33"/>
          <cell r="T33">
            <v>124</v>
          </cell>
          <cell r="U33">
            <v>21</v>
          </cell>
          <cell r="V33">
            <v>0.8</v>
          </cell>
          <cell r="W33">
            <v>13</v>
          </cell>
          <cell r="X33">
            <v>15</v>
          </cell>
          <cell r="Y33">
            <v>12</v>
          </cell>
          <cell r="Z33">
            <v>198</v>
          </cell>
          <cell r="AA33"/>
          <cell r="AB33">
            <v>4.4000000000000004</v>
          </cell>
          <cell r="AC33">
            <v>136</v>
          </cell>
          <cell r="AD33">
            <v>9.4</v>
          </cell>
          <cell r="AE33">
            <v>96</v>
          </cell>
          <cell r="AF33"/>
          <cell r="AG33">
            <v>4.2</v>
          </cell>
          <cell r="AH33">
            <v>0.3</v>
          </cell>
          <cell r="AI33">
            <v>0.1</v>
          </cell>
          <cell r="AJ33">
            <v>7.1</v>
          </cell>
          <cell r="AK33">
            <v>4.0999999999999996</v>
          </cell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/>
          <cell r="BA33"/>
          <cell r="BB33"/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</row>
        <row r="34">
          <cell r="C34" t="str">
            <v>ΠΛΙΑΚΑ</v>
          </cell>
          <cell r="D34"/>
          <cell r="E34">
            <v>35276</v>
          </cell>
          <cell r="F34">
            <v>38240</v>
          </cell>
          <cell r="G34" t="str">
            <v xml:space="preserve">Μυελοβλάστωμα </v>
          </cell>
          <cell r="H34" t="str">
            <v>IV</v>
          </cell>
          <cell r="I34" t="str">
            <v>F</v>
          </cell>
          <cell r="J34">
            <v>8.1205479452054803</v>
          </cell>
          <cell r="K34">
            <v>2</v>
          </cell>
          <cell r="L34">
            <v>38481</v>
          </cell>
          <cell r="M34"/>
          <cell r="N34" t="str">
            <v>όχι</v>
          </cell>
          <cell r="O34"/>
          <cell r="P34"/>
          <cell r="Q34">
            <v>13.6</v>
          </cell>
          <cell r="R34">
            <v>5</v>
          </cell>
          <cell r="S34"/>
          <cell r="T34">
            <v>126</v>
          </cell>
          <cell r="U34">
            <v>18</v>
          </cell>
          <cell r="V34"/>
          <cell r="W34">
            <v>20</v>
          </cell>
          <cell r="X34">
            <v>14</v>
          </cell>
          <cell r="Y34">
            <v>11</v>
          </cell>
          <cell r="Z34">
            <v>145</v>
          </cell>
          <cell r="AA34"/>
          <cell r="AB34">
            <v>3.7</v>
          </cell>
          <cell r="AC34">
            <v>138</v>
          </cell>
          <cell r="AD34">
            <v>10.1</v>
          </cell>
          <cell r="AE34">
            <v>103</v>
          </cell>
          <cell r="AF34">
            <v>2.1</v>
          </cell>
          <cell r="AG34">
            <v>4.7</v>
          </cell>
          <cell r="AH34"/>
          <cell r="AI34"/>
          <cell r="AJ34">
            <v>6.8</v>
          </cell>
          <cell r="AK34">
            <v>4.4000000000000004</v>
          </cell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/>
          <cell r="BA34"/>
          <cell r="BB34"/>
          <cell r="BC34"/>
          <cell r="BD34"/>
          <cell r="BE34"/>
          <cell r="BF34">
            <v>12.9</v>
          </cell>
          <cell r="BG34"/>
          <cell r="BH34">
            <v>26</v>
          </cell>
          <cell r="BI34">
            <v>3.5</v>
          </cell>
          <cell r="BJ34"/>
          <cell r="BK34"/>
          <cell r="BL34"/>
          <cell r="BM34"/>
          <cell r="BN34"/>
          <cell r="BO34"/>
          <cell r="BP34"/>
          <cell r="BQ34"/>
          <cell r="BR34"/>
        </row>
        <row r="35">
          <cell r="C35" t="str">
            <v>ΠΡΟΚΟΠΙΟΥ</v>
          </cell>
          <cell r="D35"/>
          <cell r="E35"/>
          <cell r="F35">
            <v>37929</v>
          </cell>
          <cell r="G35" t="str">
            <v>Γαγγλιονευροβλάστωμα</v>
          </cell>
          <cell r="H35"/>
          <cell r="I35" t="str">
            <v>F</v>
          </cell>
          <cell r="J35">
            <v>103.91506849315068</v>
          </cell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</row>
        <row r="36">
          <cell r="C36" t="str">
            <v>ΡΙΖΟΥ</v>
          </cell>
          <cell r="D36" t="str">
            <v>ΣΤΕΛΛΑ</v>
          </cell>
          <cell r="E36">
            <v>36392</v>
          </cell>
          <cell r="F36">
            <v>37243</v>
          </cell>
          <cell r="G36" t="str">
            <v>Μυελοβλάστωμα</v>
          </cell>
          <cell r="H36" t="str">
            <v>IV</v>
          </cell>
          <cell r="I36" t="str">
            <v>F</v>
          </cell>
          <cell r="J36">
            <v>2.3315068493150686</v>
          </cell>
          <cell r="K36">
            <v>2</v>
          </cell>
          <cell r="L36">
            <v>37704</v>
          </cell>
          <cell r="M36"/>
          <cell r="N36" t="str">
            <v>ναι</v>
          </cell>
          <cell r="O36">
            <v>37662</v>
          </cell>
          <cell r="P36"/>
          <cell r="Q36">
            <v>22.21</v>
          </cell>
          <cell r="R36">
            <v>8.5</v>
          </cell>
          <cell r="S36"/>
          <cell r="T36">
            <v>163</v>
          </cell>
          <cell r="U36">
            <v>13</v>
          </cell>
          <cell r="V36">
            <v>0.4</v>
          </cell>
          <cell r="W36">
            <v>35</v>
          </cell>
          <cell r="X36">
            <v>21</v>
          </cell>
          <cell r="Y36">
            <v>12</v>
          </cell>
          <cell r="Z36">
            <v>117</v>
          </cell>
          <cell r="AA36"/>
          <cell r="AB36">
            <v>3.9</v>
          </cell>
          <cell r="AC36">
            <v>138</v>
          </cell>
          <cell r="AD36">
            <v>9.4</v>
          </cell>
          <cell r="AE36">
            <v>100</v>
          </cell>
          <cell r="AF36"/>
          <cell r="AG36"/>
          <cell r="AH36">
            <v>0.9</v>
          </cell>
          <cell r="AI36">
            <v>0.16</v>
          </cell>
          <cell r="AJ36">
            <v>5.7</v>
          </cell>
          <cell r="AK36">
            <v>3.9</v>
          </cell>
          <cell r="AL36"/>
          <cell r="AM36"/>
          <cell r="AN36"/>
          <cell r="AO36"/>
          <cell r="AP36"/>
          <cell r="AQ36"/>
          <cell r="AR36"/>
          <cell r="AS36"/>
          <cell r="AT36"/>
          <cell r="AU36"/>
          <cell r="AV36"/>
          <cell r="AW36"/>
          <cell r="AX36"/>
          <cell r="AY36"/>
          <cell r="AZ36"/>
          <cell r="BA36"/>
          <cell r="BB36"/>
          <cell r="BC36"/>
          <cell r="BD36"/>
          <cell r="BE36"/>
          <cell r="BF36"/>
          <cell r="BG36"/>
          <cell r="BH36"/>
          <cell r="BI36"/>
          <cell r="BJ36"/>
          <cell r="BK36"/>
          <cell r="BL36"/>
          <cell r="BM36"/>
          <cell r="BN36"/>
          <cell r="BO36"/>
          <cell r="BP36"/>
          <cell r="BQ36"/>
          <cell r="BR36"/>
        </row>
        <row r="37">
          <cell r="C37" t="str">
            <v>ΤΖΕΚΟΥ</v>
          </cell>
          <cell r="D37" t="str">
            <v>ΙΩΑΝΝΑ</v>
          </cell>
          <cell r="E37">
            <v>33990</v>
          </cell>
          <cell r="F37">
            <v>38230</v>
          </cell>
          <cell r="G37" t="str">
            <v>Πιλοκυτταρικό αστροκύττωμα παρεγκεφαλίδας</v>
          </cell>
          <cell r="H37"/>
          <cell r="I37" t="str">
            <v>F</v>
          </cell>
          <cell r="J37">
            <v>11.616438356164384</v>
          </cell>
          <cell r="K37"/>
          <cell r="L37"/>
          <cell r="M37"/>
          <cell r="N37"/>
          <cell r="O37"/>
          <cell r="P37"/>
          <cell r="Q37"/>
          <cell r="R37"/>
          <cell r="S37"/>
          <cell r="T37"/>
          <cell r="U37"/>
          <cell r="V37"/>
          <cell r="W37"/>
          <cell r="X37"/>
          <cell r="Y37"/>
          <cell r="Z37"/>
          <cell r="AA37"/>
          <cell r="AB37"/>
          <cell r="AC37"/>
          <cell r="AD37"/>
          <cell r="AE37"/>
          <cell r="AF37"/>
          <cell r="AG37"/>
          <cell r="AH37"/>
          <cell r="AI37"/>
          <cell r="AJ37"/>
          <cell r="AK37"/>
          <cell r="AL37"/>
          <cell r="AM37"/>
          <cell r="AN37"/>
          <cell r="AO37"/>
          <cell r="AP37"/>
          <cell r="AQ37"/>
          <cell r="AR37"/>
          <cell r="AS37"/>
          <cell r="AT37"/>
          <cell r="AU37"/>
          <cell r="AV37"/>
          <cell r="AW37"/>
          <cell r="AX37"/>
          <cell r="AY37"/>
          <cell r="AZ37"/>
          <cell r="BA37"/>
          <cell r="BB37"/>
          <cell r="BC37"/>
          <cell r="BD37"/>
          <cell r="BE37"/>
          <cell r="BF37"/>
          <cell r="BG37"/>
          <cell r="BH37"/>
          <cell r="BI37"/>
          <cell r="BJ37"/>
          <cell r="BK37"/>
          <cell r="BL37"/>
          <cell r="BM37"/>
          <cell r="BN37"/>
          <cell r="BO37"/>
          <cell r="BP37"/>
          <cell r="BQ37"/>
          <cell r="BR37"/>
        </row>
        <row r="38">
          <cell r="C38" t="str">
            <v>ΤΣΙΡΩΝΗΣ</v>
          </cell>
          <cell r="D38" t="str">
            <v>ΧΑΡΑΛΑΜΠΟΣ</v>
          </cell>
          <cell r="E38">
            <v>33449</v>
          </cell>
          <cell r="F38">
            <v>38047</v>
          </cell>
          <cell r="G38" t="str">
            <v>Υπερσκηνίδιο Μυελοβλάστωμα</v>
          </cell>
          <cell r="H38"/>
          <cell r="I38" t="str">
            <v>M</v>
          </cell>
          <cell r="J38">
            <v>12.597260273972603</v>
          </cell>
          <cell r="K38" t="str">
            <v>1?</v>
          </cell>
          <cell r="L38">
            <v>39846</v>
          </cell>
          <cell r="M38"/>
          <cell r="N38" t="str">
            <v>όχι</v>
          </cell>
          <cell r="O38"/>
          <cell r="P38"/>
          <cell r="Q38">
            <v>6.5</v>
          </cell>
          <cell r="R38"/>
          <cell r="S38"/>
          <cell r="T38">
            <v>89</v>
          </cell>
          <cell r="U38">
            <v>29</v>
          </cell>
          <cell r="V38">
            <v>0.7</v>
          </cell>
          <cell r="W38">
            <v>20</v>
          </cell>
          <cell r="X38">
            <v>12</v>
          </cell>
          <cell r="Y38">
            <v>6</v>
          </cell>
          <cell r="Z38">
            <v>484</v>
          </cell>
          <cell r="AA38">
            <v>4.5999999999999996</v>
          </cell>
          <cell r="AB38">
            <v>4.0999999999999996</v>
          </cell>
          <cell r="AC38">
            <v>140</v>
          </cell>
          <cell r="AD38">
            <v>9.6</v>
          </cell>
          <cell r="AE38">
            <v>9.6</v>
          </cell>
          <cell r="AF38">
            <v>1.9</v>
          </cell>
          <cell r="AG38">
            <v>5.0999999999999996</v>
          </cell>
          <cell r="AH38">
            <v>0.5</v>
          </cell>
          <cell r="AI38">
            <v>0.02</v>
          </cell>
          <cell r="AJ38">
            <v>7.3</v>
          </cell>
          <cell r="AK38">
            <v>4.8</v>
          </cell>
          <cell r="AL38">
            <v>270</v>
          </cell>
          <cell r="AM38"/>
          <cell r="AN38">
            <v>180</v>
          </cell>
          <cell r="AO38">
            <v>65</v>
          </cell>
          <cell r="AP38">
            <v>60</v>
          </cell>
          <cell r="AQ38">
            <v>107</v>
          </cell>
          <cell r="AR38">
            <v>117</v>
          </cell>
          <cell r="AS38"/>
          <cell r="AT38"/>
          <cell r="AU38"/>
          <cell r="AV38"/>
          <cell r="AW38"/>
          <cell r="AX38"/>
          <cell r="AY38"/>
          <cell r="AZ38"/>
          <cell r="BA38"/>
          <cell r="BB38"/>
          <cell r="BC38"/>
          <cell r="BD38"/>
          <cell r="BE38"/>
          <cell r="BF38"/>
          <cell r="BG38"/>
          <cell r="BH38"/>
          <cell r="BI38"/>
          <cell r="BJ38"/>
          <cell r="BK38"/>
          <cell r="BL38"/>
          <cell r="BM38"/>
          <cell r="BN38"/>
          <cell r="BO38"/>
          <cell r="BP38"/>
          <cell r="BQ38"/>
          <cell r="BR38"/>
        </row>
        <row r="39">
          <cell r="C39" t="str">
            <v>ΤΣΧΑΝΤΙΑΣΒΙΛΙ</v>
          </cell>
          <cell r="D39" t="str">
            <v>ΑΛΕΞΑΝΔΡΟΣ</v>
          </cell>
          <cell r="E39">
            <v>33000</v>
          </cell>
          <cell r="F39">
            <v>38018</v>
          </cell>
          <cell r="G39" t="str">
            <v>Μηνιγγίωμα</v>
          </cell>
          <cell r="H39" t="str">
            <v>ΙΙ</v>
          </cell>
          <cell r="I39" t="str">
            <v>M</v>
          </cell>
          <cell r="J39">
            <v>13.747945205479452</v>
          </cell>
          <cell r="K39" t="str">
            <v>1?</v>
          </cell>
          <cell r="L39">
            <v>38348</v>
          </cell>
          <cell r="M39"/>
          <cell r="N39" t="str">
            <v>όχι</v>
          </cell>
          <cell r="O39"/>
          <cell r="P39"/>
          <cell r="Q39">
            <v>4.92</v>
          </cell>
          <cell r="R39">
            <v>21.8</v>
          </cell>
          <cell r="S39"/>
          <cell r="T39">
            <v>97</v>
          </cell>
          <cell r="U39">
            <v>20</v>
          </cell>
          <cell r="V39">
            <v>0.7</v>
          </cell>
          <cell r="W39">
            <v>18</v>
          </cell>
          <cell r="X39">
            <v>15</v>
          </cell>
          <cell r="Y39">
            <v>12</v>
          </cell>
          <cell r="Z39">
            <v>229</v>
          </cell>
          <cell r="AA39"/>
          <cell r="AB39">
            <v>4.0999999999999996</v>
          </cell>
          <cell r="AC39">
            <v>132</v>
          </cell>
          <cell r="AD39">
            <v>9</v>
          </cell>
          <cell r="AE39">
            <v>94</v>
          </cell>
          <cell r="AF39">
            <v>1.5</v>
          </cell>
          <cell r="AG39">
            <v>5.4</v>
          </cell>
          <cell r="AH39">
            <v>0.2</v>
          </cell>
          <cell r="AI39">
            <v>0.02</v>
          </cell>
          <cell r="AJ39">
            <v>5.9</v>
          </cell>
          <cell r="AK39">
            <v>4</v>
          </cell>
          <cell r="AL39"/>
          <cell r="AM39"/>
          <cell r="AN39"/>
          <cell r="AO39"/>
          <cell r="AP39"/>
          <cell r="AQ39"/>
          <cell r="AR39"/>
          <cell r="AS39"/>
          <cell r="AT39"/>
          <cell r="AU39"/>
          <cell r="AV39"/>
          <cell r="AW39"/>
          <cell r="AX39"/>
          <cell r="AY39"/>
          <cell r="AZ39"/>
          <cell r="BA39"/>
          <cell r="BB39"/>
          <cell r="BC39"/>
          <cell r="BD39"/>
          <cell r="BE39"/>
          <cell r="BF39"/>
          <cell r="BG39"/>
          <cell r="BH39"/>
          <cell r="BI39"/>
          <cell r="BJ39"/>
          <cell r="BK39"/>
          <cell r="BL39"/>
          <cell r="BM39"/>
          <cell r="BN39"/>
          <cell r="BO39"/>
          <cell r="BP39"/>
          <cell r="BQ39"/>
          <cell r="BR39"/>
        </row>
        <row r="40">
          <cell r="C40" t="str">
            <v>ΦΡΑΓΚΟΥΛΗΣ</v>
          </cell>
          <cell r="D40" t="str">
            <v>ΜΙΧΑΛΗΣ</v>
          </cell>
          <cell r="E40">
            <v>33363</v>
          </cell>
          <cell r="F40">
            <v>37242</v>
          </cell>
          <cell r="G40" t="str">
            <v>Μυελοβλάστωμα παρεγκεφαλίδας</v>
          </cell>
          <cell r="H40" t="str">
            <v>IV</v>
          </cell>
          <cell r="I40" t="str">
            <v>M</v>
          </cell>
          <cell r="J40">
            <v>10.627397260273973</v>
          </cell>
          <cell r="K40" t="str">
            <v>1?</v>
          </cell>
          <cell r="L40">
            <v>39847</v>
          </cell>
          <cell r="M40"/>
          <cell r="N40" t="str">
            <v>όχι</v>
          </cell>
          <cell r="O40"/>
          <cell r="P40"/>
          <cell r="Q40">
            <v>9.6</v>
          </cell>
          <cell r="R40">
            <v>28</v>
          </cell>
          <cell r="S40"/>
          <cell r="T40"/>
          <cell r="U40">
            <v>14</v>
          </cell>
          <cell r="V40">
            <v>0.8</v>
          </cell>
          <cell r="W40">
            <v>19</v>
          </cell>
          <cell r="X40">
            <v>14</v>
          </cell>
          <cell r="Y40">
            <v>16</v>
          </cell>
          <cell r="Z40">
            <v>177</v>
          </cell>
          <cell r="AA40"/>
          <cell r="AB40">
            <v>3.9</v>
          </cell>
          <cell r="AC40">
            <v>136</v>
          </cell>
          <cell r="AD40">
            <v>9</v>
          </cell>
          <cell r="AE40">
            <v>96</v>
          </cell>
          <cell r="AF40"/>
          <cell r="AG40">
            <v>5</v>
          </cell>
          <cell r="AH40">
            <v>0.8</v>
          </cell>
          <cell r="AI40">
            <v>0.13</v>
          </cell>
          <cell r="AJ40">
            <v>6.9</v>
          </cell>
          <cell r="AK40">
            <v>4.2</v>
          </cell>
          <cell r="AL40"/>
          <cell r="AM40"/>
          <cell r="AN40"/>
          <cell r="AO40"/>
          <cell r="AP40"/>
          <cell r="AQ40"/>
          <cell r="AR40"/>
          <cell r="AS40"/>
          <cell r="AT40"/>
          <cell r="AU40"/>
          <cell r="AV40"/>
          <cell r="AW40"/>
          <cell r="AX40"/>
          <cell r="AY40"/>
          <cell r="AZ40"/>
          <cell r="BA40"/>
          <cell r="BB40"/>
          <cell r="BC40"/>
          <cell r="BD40"/>
          <cell r="BE40"/>
          <cell r="BF40"/>
          <cell r="BG40"/>
          <cell r="BH40"/>
          <cell r="BI40"/>
          <cell r="BJ40"/>
          <cell r="BK40"/>
          <cell r="BL40"/>
          <cell r="BM40"/>
          <cell r="BN40"/>
          <cell r="BO40"/>
          <cell r="BP40"/>
          <cell r="BQ40"/>
          <cell r="BR40"/>
        </row>
        <row r="41">
          <cell r="C41" t="str">
            <v>ΧΕΙΜΩΝΑΣ</v>
          </cell>
          <cell r="D41"/>
          <cell r="E41">
            <v>36683</v>
          </cell>
          <cell r="F41">
            <v>37076</v>
          </cell>
          <cell r="G41" t="str">
            <v>Ιστιοκύττωση</v>
          </cell>
          <cell r="H41"/>
          <cell r="I41" t="str">
            <v>M</v>
          </cell>
          <cell r="J41">
            <v>1.0767123287671232</v>
          </cell>
          <cell r="K41" t="str">
            <v>1?</v>
          </cell>
          <cell r="L41">
            <v>37711</v>
          </cell>
          <cell r="M41"/>
          <cell r="N41" t="str">
            <v>όχι</v>
          </cell>
          <cell r="O41"/>
          <cell r="P41"/>
          <cell r="Q41">
            <v>11.8</v>
          </cell>
          <cell r="R41"/>
          <cell r="S41">
            <v>60</v>
          </cell>
          <cell r="T41">
            <v>211</v>
          </cell>
          <cell r="U41">
            <v>23</v>
          </cell>
          <cell r="V41">
            <v>0.6</v>
          </cell>
          <cell r="W41">
            <v>35</v>
          </cell>
          <cell r="X41">
            <v>21</v>
          </cell>
          <cell r="Y41">
            <v>10</v>
          </cell>
          <cell r="Z41">
            <v>164</v>
          </cell>
          <cell r="AA41"/>
          <cell r="AB41">
            <v>4.3</v>
          </cell>
          <cell r="AC41">
            <v>136</v>
          </cell>
          <cell r="AD41">
            <v>9.1999999999999993</v>
          </cell>
          <cell r="AE41">
            <v>100</v>
          </cell>
          <cell r="AF41"/>
          <cell r="AG41">
            <v>4.3</v>
          </cell>
          <cell r="AH41"/>
          <cell r="AI41"/>
          <cell r="AJ41">
            <v>6.3</v>
          </cell>
          <cell r="AK41">
            <v>3.8</v>
          </cell>
          <cell r="AL41"/>
          <cell r="AM41"/>
          <cell r="AN41">
            <v>140</v>
          </cell>
          <cell r="AO41">
            <v>79</v>
          </cell>
          <cell r="AP41">
            <v>48</v>
          </cell>
          <cell r="AQ41">
            <v>76</v>
          </cell>
          <cell r="AR41"/>
          <cell r="AS41"/>
          <cell r="AT41"/>
          <cell r="AU41"/>
          <cell r="AV41"/>
          <cell r="AW41"/>
          <cell r="AX41"/>
          <cell r="AY41"/>
          <cell r="AZ41"/>
          <cell r="BA41"/>
          <cell r="BB41"/>
          <cell r="BC41"/>
          <cell r="BD41"/>
          <cell r="BE41"/>
          <cell r="BF41">
            <v>11.2</v>
          </cell>
          <cell r="BG41">
            <v>10</v>
          </cell>
          <cell r="BH41">
            <v>35.5</v>
          </cell>
          <cell r="BI41">
            <v>456</v>
          </cell>
          <cell r="BJ41"/>
          <cell r="BK41"/>
          <cell r="BL41"/>
          <cell r="BM41"/>
          <cell r="BN41"/>
          <cell r="BO41"/>
          <cell r="BP41"/>
          <cell r="BQ41"/>
          <cell r="BR41"/>
        </row>
        <row r="42">
          <cell r="C42" t="str">
            <v>ΧΙΩΤΗ</v>
          </cell>
          <cell r="D42" t="str">
            <v>ΑΝΝΑ</v>
          </cell>
          <cell r="E42">
            <v>36818</v>
          </cell>
          <cell r="F42">
            <v>37920</v>
          </cell>
          <cell r="G42" t="str">
            <v>Μορφωμα Ρινοφαρυγγα Εμβρυικο Ραβδομυοσαρκομα</v>
          </cell>
          <cell r="H42"/>
          <cell r="I42" t="str">
            <v>F</v>
          </cell>
          <cell r="J42">
            <v>3.0191780821917806</v>
          </cell>
          <cell r="K42">
            <v>1</v>
          </cell>
          <cell r="L42"/>
          <cell r="M42"/>
          <cell r="N42" t="str">
            <v>όχι</v>
          </cell>
          <cell r="O42"/>
          <cell r="P42"/>
          <cell r="Q42">
            <v>13.8</v>
          </cell>
          <cell r="R42">
            <v>0.215</v>
          </cell>
          <cell r="S42">
            <v>30</v>
          </cell>
          <cell r="T42">
            <v>119</v>
          </cell>
          <cell r="U42">
            <v>14</v>
          </cell>
          <cell r="V42">
            <v>0.5</v>
          </cell>
          <cell r="W42">
            <v>30</v>
          </cell>
          <cell r="X42">
            <v>14</v>
          </cell>
          <cell r="Y42">
            <v>12</v>
          </cell>
          <cell r="Z42">
            <v>277</v>
          </cell>
          <cell r="AA42"/>
          <cell r="AB42">
            <v>3.9</v>
          </cell>
          <cell r="AC42">
            <v>138</v>
          </cell>
          <cell r="AD42">
            <v>9.5</v>
          </cell>
          <cell r="AE42">
            <v>99</v>
          </cell>
          <cell r="AF42">
            <v>2.1</v>
          </cell>
          <cell r="AG42">
            <v>3.7</v>
          </cell>
          <cell r="AH42">
            <v>0.8</v>
          </cell>
          <cell r="AI42">
            <v>0.25</v>
          </cell>
          <cell r="AJ42"/>
          <cell r="AK42"/>
          <cell r="AL42">
            <v>400</v>
          </cell>
          <cell r="AM42"/>
          <cell r="AN42"/>
          <cell r="AO42"/>
          <cell r="AP42"/>
          <cell r="AQ42"/>
          <cell r="AR42"/>
          <cell r="AS42"/>
          <cell r="AT42"/>
          <cell r="AU42"/>
          <cell r="AV42"/>
          <cell r="AW42"/>
          <cell r="AX42"/>
          <cell r="AY42"/>
          <cell r="AZ42"/>
          <cell r="BA42"/>
          <cell r="BB42"/>
          <cell r="BC42"/>
          <cell r="BD42"/>
          <cell r="BE42"/>
          <cell r="BF42"/>
          <cell r="BG42"/>
          <cell r="BH42"/>
          <cell r="BI42"/>
          <cell r="BJ42">
            <v>109</v>
          </cell>
          <cell r="BK42"/>
          <cell r="BL42"/>
          <cell r="BM42"/>
          <cell r="BN42"/>
          <cell r="BO42"/>
          <cell r="BP42"/>
          <cell r="BQ42"/>
          <cell r="BR42"/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Q302"/>
  <sheetViews>
    <sheetView tabSelected="1" workbookViewId="0">
      <pane xSplit="5" ySplit="2" topLeftCell="F195" activePane="bottomRight" state="frozen"/>
      <selection pane="topRight" activeCell="D1" sqref="D1"/>
      <selection pane="bottomLeft" activeCell="A3" sqref="A3"/>
      <selection pane="bottomRight" activeCell="F198" sqref="F198"/>
    </sheetView>
  </sheetViews>
  <sheetFormatPr defaultRowHeight="12.75" x14ac:dyDescent="0.2"/>
  <cols>
    <col min="1" max="1" width="4.7109375" style="8" bestFit="1" customWidth="1"/>
    <col min="2" max="2" width="4" style="8" bestFit="1" customWidth="1"/>
    <col min="3" max="3" width="7" style="8" bestFit="1" customWidth="1"/>
    <col min="4" max="4" width="20" style="8" bestFit="1" customWidth="1"/>
    <col min="5" max="5" width="22.28515625" style="8" customWidth="1"/>
    <col min="6" max="6" width="11.85546875" style="8" bestFit="1" customWidth="1"/>
    <col min="7" max="7" width="7.140625" style="9" bestFit="1" customWidth="1"/>
    <col min="8" max="8" width="9.140625" style="9" bestFit="1" customWidth="1"/>
    <col min="9" max="10" width="20.28515625" style="9" bestFit="1" customWidth="1"/>
    <col min="11" max="11" width="12.28515625" style="9" bestFit="1" customWidth="1"/>
    <col min="12" max="12" width="16.7109375" style="9" bestFit="1" customWidth="1"/>
    <col min="13" max="13" width="11.140625" style="9" bestFit="1" customWidth="1"/>
    <col min="14" max="14" width="19.28515625" style="9" bestFit="1" customWidth="1"/>
    <col min="15" max="15" width="20.28515625" style="9" bestFit="1" customWidth="1"/>
    <col min="16" max="16" width="21.140625" style="9" bestFit="1" customWidth="1"/>
    <col min="17" max="17" width="28.5703125" style="9" bestFit="1" customWidth="1"/>
    <col min="18" max="18" width="15.7109375" style="9" bestFit="1" customWidth="1"/>
    <col min="19" max="19" width="18.28515625" style="9" bestFit="1" customWidth="1"/>
    <col min="20" max="20" width="20" style="9" bestFit="1" customWidth="1"/>
    <col min="21" max="21" width="18.28515625" style="9" bestFit="1" customWidth="1"/>
    <col min="22" max="22" width="16.85546875" style="9" bestFit="1" customWidth="1"/>
    <col min="23" max="24" width="9.140625" style="9" bestFit="1"/>
    <col min="25" max="25" width="11.85546875" style="9" bestFit="1" customWidth="1"/>
    <col min="26" max="26" width="13.42578125" style="9" bestFit="1" customWidth="1"/>
    <col min="27" max="27" width="8" style="9" bestFit="1" customWidth="1"/>
    <col min="28" max="28" width="9.28515625" style="9" bestFit="1" customWidth="1"/>
    <col min="29" max="29" width="16.85546875" style="9" bestFit="1" customWidth="1"/>
    <col min="30" max="30" width="18" style="9" bestFit="1" customWidth="1"/>
    <col min="31" max="31" width="18.42578125" style="9" customWidth="1"/>
    <col min="32" max="32" width="10.5703125" style="9" bestFit="1" customWidth="1"/>
    <col min="33" max="33" width="10.140625" style="7" bestFit="1" customWidth="1"/>
    <col min="34" max="34" width="7.42578125" style="9" bestFit="1" customWidth="1"/>
    <col min="35" max="35" width="8.7109375" style="9" bestFit="1" customWidth="1"/>
    <col min="36" max="36" width="7.42578125" style="9" bestFit="1" customWidth="1"/>
    <col min="37" max="37" width="10.5703125" style="9" bestFit="1" customWidth="1"/>
    <col min="38" max="38" width="19.5703125" style="9" bestFit="1" customWidth="1"/>
    <col min="39" max="39" width="5.7109375" style="9" bestFit="1" customWidth="1"/>
    <col min="40" max="40" width="15.7109375" style="9" bestFit="1" customWidth="1"/>
    <col min="41" max="41" width="9.28515625" style="9" bestFit="1" customWidth="1"/>
    <col min="42" max="42" width="6.85546875" style="9" bestFit="1" customWidth="1"/>
    <col min="43" max="43" width="6.5703125" style="9" bestFit="1" customWidth="1"/>
    <col min="44" max="44" width="7.140625" style="9" bestFit="1" customWidth="1"/>
    <col min="45" max="45" width="12.140625" style="9" bestFit="1" customWidth="1"/>
    <col min="46" max="46" width="9.28515625" style="9" bestFit="1" customWidth="1"/>
    <col min="47" max="47" width="8.42578125" style="9" bestFit="1" customWidth="1"/>
    <col min="48" max="48" width="7.28515625" style="9" bestFit="1" customWidth="1"/>
    <col min="49" max="49" width="11.28515625" style="9" bestFit="1" customWidth="1"/>
    <col min="50" max="50" width="9.42578125" style="9" bestFit="1" customWidth="1"/>
    <col min="51" max="51" width="11.85546875" style="9" bestFit="1" customWidth="1"/>
    <col min="52" max="52" width="11.5703125" style="9" bestFit="1" customWidth="1"/>
    <col min="53" max="53" width="10.7109375" style="9" bestFit="1" customWidth="1"/>
    <col min="54" max="54" width="10.42578125" style="9" bestFit="1" customWidth="1"/>
    <col min="55" max="55" width="8.42578125" style="9" bestFit="1" customWidth="1"/>
    <col min="56" max="56" width="10.85546875" style="9" bestFit="1" customWidth="1"/>
    <col min="57" max="57" width="11.7109375" style="9" bestFit="1" customWidth="1"/>
    <col min="58" max="58" width="9.85546875" style="9" bestFit="1" customWidth="1"/>
    <col min="59" max="59" width="11" style="9" bestFit="1" customWidth="1"/>
    <col min="60" max="60" width="10.28515625" style="9" bestFit="1" customWidth="1"/>
    <col min="61" max="61" width="9.7109375" style="9" bestFit="1" customWidth="1"/>
    <col min="62" max="62" width="11.5703125" style="9" bestFit="1" customWidth="1"/>
    <col min="63" max="63" width="12.140625" style="9" bestFit="1" customWidth="1"/>
    <col min="64" max="64" width="11.28515625" style="9" bestFit="1" customWidth="1"/>
    <col min="65" max="65" width="7.7109375" style="9" bestFit="1" customWidth="1"/>
    <col min="66" max="66" width="9.7109375" style="9" bestFit="1" customWidth="1"/>
    <col min="67" max="67" width="7.7109375" style="9" bestFit="1" customWidth="1"/>
    <col min="68" max="68" width="10.140625" style="9" bestFit="1" customWidth="1"/>
    <col min="69" max="69" width="11.7109375" style="9" bestFit="1" customWidth="1"/>
    <col min="70" max="70" width="10.7109375" style="9" bestFit="1" customWidth="1"/>
    <col min="71" max="71" width="10.5703125" style="9" bestFit="1" customWidth="1"/>
    <col min="72" max="72" width="9.7109375" style="9" bestFit="1" customWidth="1"/>
    <col min="73" max="73" width="10.140625" style="9" bestFit="1" customWidth="1"/>
    <col min="74" max="74" width="9.42578125" style="9" bestFit="1" customWidth="1"/>
    <col min="75" max="76" width="12.28515625" style="9" bestFit="1" customWidth="1"/>
    <col min="77" max="78" width="12.85546875" style="9" bestFit="1" customWidth="1"/>
    <col min="79" max="79" width="9.7109375" style="9" bestFit="1" customWidth="1"/>
    <col min="80" max="80" width="7.85546875" style="9" bestFit="1" customWidth="1"/>
    <col min="81" max="81" width="9.7109375" style="9" bestFit="1" customWidth="1"/>
    <col min="82" max="82" width="9.42578125" style="9" bestFit="1" customWidth="1"/>
    <col min="83" max="83" width="10.7109375" style="9" bestFit="1" customWidth="1"/>
    <col min="84" max="84" width="14.5703125" style="9" bestFit="1" customWidth="1"/>
    <col min="85" max="85" width="9.7109375" style="9" bestFit="1" customWidth="1"/>
    <col min="86" max="86" width="6.42578125" style="9" bestFit="1" customWidth="1"/>
    <col min="87" max="87" width="9.7109375" style="9" bestFit="1" customWidth="1"/>
    <col min="88" max="88" width="8.5703125" style="9" bestFit="1" customWidth="1"/>
    <col min="89" max="89" width="9.28515625" style="9" bestFit="1" customWidth="1"/>
    <col min="90" max="90" width="8.7109375" style="9" bestFit="1" customWidth="1"/>
    <col min="91" max="91" width="9.7109375" style="9" bestFit="1" customWidth="1"/>
    <col min="92" max="92" width="8.85546875" style="9" bestFit="1" customWidth="1"/>
    <col min="93" max="93" width="9.7109375" style="9" bestFit="1" customWidth="1"/>
    <col min="94" max="94" width="7" style="9" bestFit="1" customWidth="1"/>
    <col min="95" max="95" width="9.7109375" style="9" bestFit="1" customWidth="1"/>
    <col min="96" max="96" width="6.42578125" style="9" bestFit="1" customWidth="1"/>
    <col min="97" max="97" width="9.7109375" style="9" bestFit="1" customWidth="1"/>
    <col min="98" max="98" width="6.42578125" style="9" bestFit="1" customWidth="1"/>
    <col min="99" max="99" width="9.28515625" style="9" bestFit="1" customWidth="1"/>
    <col min="100" max="100" width="6.42578125" style="9" bestFit="1" customWidth="1"/>
    <col min="101" max="101" width="9.7109375" style="9" bestFit="1" customWidth="1"/>
    <col min="102" max="102" width="8.85546875" style="9" bestFit="1" customWidth="1"/>
    <col min="103" max="103" width="9.7109375" style="9" bestFit="1" customWidth="1"/>
    <col min="104" max="104" width="9" style="9" bestFit="1" customWidth="1"/>
    <col min="105" max="105" width="9.7109375" style="9" bestFit="1" customWidth="1"/>
    <col min="106" max="106" width="10.7109375" style="9" bestFit="1" customWidth="1"/>
    <col min="107" max="108" width="10.140625" style="9" bestFit="1" customWidth="1"/>
    <col min="109" max="109" width="14.5703125" style="9" bestFit="1" customWidth="1"/>
    <col min="110" max="110" width="16.5703125" style="9" bestFit="1" customWidth="1"/>
    <col min="111" max="111" width="23.28515625" style="9" customWidth="1"/>
    <col min="112" max="113" width="9.140625" style="9"/>
    <col min="114" max="16384" width="9.140625" style="8"/>
  </cols>
  <sheetData>
    <row r="1" spans="1:113" x14ac:dyDescent="0.2">
      <c r="BU1" s="159" t="s">
        <v>16</v>
      </c>
      <c r="BV1" s="159"/>
      <c r="BW1" s="159"/>
      <c r="BX1" s="159"/>
      <c r="BY1" s="159"/>
      <c r="BZ1" s="159"/>
      <c r="CA1" s="159"/>
      <c r="CB1" s="159"/>
      <c r="CC1" s="159"/>
      <c r="CD1" s="159"/>
      <c r="CE1" s="159"/>
      <c r="CF1" s="159"/>
      <c r="CG1" s="159"/>
      <c r="CH1" s="159"/>
      <c r="CI1" s="159"/>
      <c r="CJ1" s="159"/>
      <c r="CK1" s="159"/>
      <c r="CL1" s="159"/>
      <c r="CM1" s="159"/>
      <c r="CN1" s="159"/>
      <c r="CO1" s="159"/>
      <c r="CP1" s="159"/>
      <c r="CQ1" s="159"/>
      <c r="CR1" s="159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</row>
    <row r="2" spans="1:113" s="10" customFormat="1" ht="51" x14ac:dyDescent="0.2">
      <c r="B2" s="4" t="s">
        <v>107</v>
      </c>
      <c r="C2" s="4" t="s">
        <v>69</v>
      </c>
      <c r="D2" s="4" t="s">
        <v>70</v>
      </c>
      <c r="E2" s="4" t="s">
        <v>166</v>
      </c>
      <c r="F2" s="4" t="s">
        <v>64</v>
      </c>
      <c r="H2" s="4" t="s">
        <v>20</v>
      </c>
      <c r="I2" s="4" t="s">
        <v>19</v>
      </c>
      <c r="J2" s="128" t="s">
        <v>22</v>
      </c>
      <c r="K2" s="4" t="s">
        <v>23</v>
      </c>
      <c r="L2" s="128" t="s">
        <v>299</v>
      </c>
      <c r="M2" s="4" t="s">
        <v>17</v>
      </c>
      <c r="N2" s="138" t="s">
        <v>18</v>
      </c>
      <c r="O2" s="4" t="s">
        <v>313</v>
      </c>
      <c r="P2" s="138" t="s">
        <v>315</v>
      </c>
      <c r="Q2" s="138" t="s">
        <v>317</v>
      </c>
      <c r="R2" s="4" t="s">
        <v>82</v>
      </c>
      <c r="S2" s="4" t="s">
        <v>83</v>
      </c>
      <c r="T2" s="4" t="s">
        <v>84</v>
      </c>
      <c r="U2" s="4" t="s">
        <v>14</v>
      </c>
      <c r="V2" s="4" t="s">
        <v>170</v>
      </c>
      <c r="W2" s="4"/>
      <c r="X2" s="4"/>
      <c r="Y2" s="4" t="s">
        <v>15</v>
      </c>
      <c r="Z2" s="4" t="s">
        <v>173</v>
      </c>
      <c r="AA2" s="4" t="s">
        <v>75</v>
      </c>
      <c r="AB2" s="4"/>
      <c r="AC2" s="4"/>
      <c r="AD2" s="4" t="s">
        <v>65</v>
      </c>
      <c r="AE2" s="4" t="s">
        <v>66</v>
      </c>
      <c r="AF2" s="4" t="s">
        <v>67</v>
      </c>
      <c r="AG2" s="4" t="s">
        <v>21</v>
      </c>
      <c r="AH2" s="4" t="s">
        <v>77</v>
      </c>
      <c r="AI2" s="4" t="s">
        <v>76</v>
      </c>
      <c r="AJ2" s="4" t="s">
        <v>79</v>
      </c>
      <c r="AK2" s="4" t="s">
        <v>78</v>
      </c>
      <c r="AL2" s="4" t="s">
        <v>45</v>
      </c>
      <c r="AM2" s="4" t="s">
        <v>14</v>
      </c>
      <c r="AN2" s="4" t="s">
        <v>13</v>
      </c>
      <c r="AO2" s="4" t="s">
        <v>29</v>
      </c>
      <c r="AP2" s="4" t="s">
        <v>30</v>
      </c>
      <c r="AQ2" s="4" t="s">
        <v>31</v>
      </c>
      <c r="AR2" s="11" t="s">
        <v>120</v>
      </c>
      <c r="AS2" s="11" t="s">
        <v>121</v>
      </c>
      <c r="AT2" s="4" t="s">
        <v>32</v>
      </c>
      <c r="AU2" s="4" t="s">
        <v>33</v>
      </c>
      <c r="AV2" s="12" t="s">
        <v>122</v>
      </c>
      <c r="AW2" s="12" t="s">
        <v>123</v>
      </c>
      <c r="AX2" s="12" t="s">
        <v>124</v>
      </c>
      <c r="AY2" s="12" t="s">
        <v>125</v>
      </c>
      <c r="AZ2" s="12" t="s">
        <v>126</v>
      </c>
      <c r="BA2" s="12" t="s">
        <v>127</v>
      </c>
      <c r="BB2" s="12" t="s">
        <v>128</v>
      </c>
      <c r="BC2" s="12" t="s">
        <v>129</v>
      </c>
      <c r="BD2" s="13" t="s">
        <v>130</v>
      </c>
      <c r="BE2" s="13" t="s">
        <v>131</v>
      </c>
      <c r="BF2" s="13" t="s">
        <v>132</v>
      </c>
      <c r="BG2" s="12" t="s">
        <v>133</v>
      </c>
      <c r="BH2" s="12" t="s">
        <v>134</v>
      </c>
      <c r="BI2" s="12" t="s">
        <v>135</v>
      </c>
      <c r="BJ2" s="12" t="s">
        <v>136</v>
      </c>
      <c r="BK2" s="12" t="s">
        <v>137</v>
      </c>
      <c r="BL2" s="12" t="s">
        <v>138</v>
      </c>
      <c r="BM2" s="12" t="s">
        <v>139</v>
      </c>
      <c r="BN2" s="12" t="s">
        <v>140</v>
      </c>
      <c r="BO2" s="11" t="s">
        <v>141</v>
      </c>
      <c r="BP2" s="12" t="s">
        <v>142</v>
      </c>
      <c r="BQ2" s="12" t="s">
        <v>143</v>
      </c>
      <c r="BR2" s="12" t="s">
        <v>144</v>
      </c>
      <c r="BS2" s="12" t="s">
        <v>145</v>
      </c>
      <c r="BT2" s="11" t="s">
        <v>146</v>
      </c>
      <c r="BU2" s="4" t="s">
        <v>34</v>
      </c>
      <c r="BV2" s="4" t="str">
        <f>CONCATENATE(BU2," ","(%)")</f>
        <v>GFAP (%)</v>
      </c>
      <c r="BW2" s="4" t="s">
        <v>35</v>
      </c>
      <c r="BX2" s="4" t="str">
        <f>CONCATENATE(BW2," ","(%)")</f>
        <v>Synaptophysin (p38) (%)</v>
      </c>
      <c r="BY2" s="4" t="s">
        <v>44</v>
      </c>
      <c r="BZ2" s="4" t="str">
        <f>CONCATENATE(BY2," ","(%)")</f>
        <v>Neuro-microfilaments (%)</v>
      </c>
      <c r="CA2" s="4" t="s">
        <v>50</v>
      </c>
      <c r="CB2" s="4" t="str">
        <f>CONCATENATE(CA2," ","(%)")</f>
        <v>P53 (%)</v>
      </c>
      <c r="CC2" s="4" t="s">
        <v>36</v>
      </c>
      <c r="CD2" s="4" t="str">
        <f>CONCATENATE(CC2," ","(%)")</f>
        <v>BCL2 (%)</v>
      </c>
      <c r="CE2" s="4" t="s">
        <v>37</v>
      </c>
      <c r="CF2" s="4" t="str">
        <f>CONCATENATE(CE2," ","(%)")</f>
        <v>b-Tubulin III (%)</v>
      </c>
      <c r="CG2" s="4" t="s">
        <v>38</v>
      </c>
      <c r="CH2" s="4" t="str">
        <f>CONCATENATE(CG2," ","(%)")</f>
        <v>Neu-N (%)</v>
      </c>
      <c r="CI2" s="4" t="s">
        <v>39</v>
      </c>
      <c r="CJ2" s="4" t="str">
        <f>CONCATENATE(CI2," ","(%)")</f>
        <v>b-Catenin (%)</v>
      </c>
      <c r="CK2" s="4" t="s">
        <v>40</v>
      </c>
      <c r="CL2" s="4" t="str">
        <f>CONCATENATE(CK2," ","(%)")</f>
        <v>INI-1 (%)</v>
      </c>
      <c r="CM2" s="4" t="s">
        <v>41</v>
      </c>
      <c r="CN2" s="4" t="str">
        <f>CONCATENATE(CM2," ","(%)")</f>
        <v>Ki67/MIB (%)</v>
      </c>
      <c r="CO2" s="4" t="s">
        <v>42</v>
      </c>
      <c r="CP2" s="4" t="str">
        <f>CONCATENATE(CO2," ","(%)")</f>
        <v>Keratin (%)</v>
      </c>
      <c r="CQ2" s="4" t="s">
        <v>43</v>
      </c>
      <c r="CR2" s="4" t="str">
        <f>CONCATENATE(CQ2," ","(%)")</f>
        <v>EMA (%)</v>
      </c>
      <c r="CS2" s="4" t="s">
        <v>54</v>
      </c>
      <c r="CT2" s="4" t="str">
        <f>CONCATENATE(CS2," ","(%)")</f>
        <v>EGFR (%)</v>
      </c>
      <c r="CU2" s="4" t="s">
        <v>49</v>
      </c>
      <c r="CV2" s="4" t="str">
        <f>CONCATENATE(CU2," ","(%)")</f>
        <v>P27 (%)</v>
      </c>
      <c r="CW2" s="4" t="s">
        <v>52</v>
      </c>
      <c r="CX2" s="4" t="str">
        <f>CONCATENATE(CW2," ","(%)")</f>
        <v>S100 (%)</v>
      </c>
      <c r="CY2" s="4" t="s">
        <v>53</v>
      </c>
      <c r="CZ2" s="4" t="str">
        <f>CONCATENATE(CY2," ","(%)")</f>
        <v>Actin (%)</v>
      </c>
      <c r="DA2" s="4" t="s">
        <v>55</v>
      </c>
      <c r="DB2" s="4" t="str">
        <f>CONCATENATE(DA2," ","(%)")</f>
        <v>Desmin (%)</v>
      </c>
      <c r="DC2" s="4" t="s">
        <v>56</v>
      </c>
      <c r="DD2" s="4" t="str">
        <f>CONCATENATE(DC2," ","(%)")</f>
        <v>Myelin (%)</v>
      </c>
      <c r="DE2" s="136" t="s">
        <v>307</v>
      </c>
      <c r="DF2" s="1" t="s">
        <v>308</v>
      </c>
    </row>
    <row r="3" spans="1:113" x14ac:dyDescent="0.2">
      <c r="A3" s="160" t="s">
        <v>318</v>
      </c>
      <c r="B3" s="5">
        <v>1</v>
      </c>
      <c r="C3" s="14" t="str">
        <f>CONCATENATE("CNS",G3)</f>
        <v>CNS3</v>
      </c>
      <c r="D3" s="14"/>
      <c r="E3" s="14" t="str">
        <f t="shared" ref="E3:E32" si="0">CONCATENATE(C3,"_",M3)</f>
        <v>CNS3_NEOPLASM</v>
      </c>
      <c r="F3" s="14" t="s">
        <v>0</v>
      </c>
      <c r="G3" s="15">
        <v>3</v>
      </c>
      <c r="H3" s="16"/>
      <c r="I3" s="16"/>
      <c r="J3" s="17" t="s">
        <v>24</v>
      </c>
      <c r="K3" s="17" t="s">
        <v>57</v>
      </c>
      <c r="L3" s="17" t="s">
        <v>300</v>
      </c>
      <c r="M3" s="18" t="s">
        <v>316</v>
      </c>
      <c r="N3" s="18" t="s">
        <v>314</v>
      </c>
      <c r="O3" s="18" t="s">
        <v>147</v>
      </c>
      <c r="P3" s="18" t="s">
        <v>147</v>
      </c>
      <c r="Q3" s="18" t="s">
        <v>60</v>
      </c>
      <c r="R3" s="19" t="s">
        <v>80</v>
      </c>
      <c r="S3" s="19" t="s">
        <v>85</v>
      </c>
      <c r="T3" s="19"/>
      <c r="U3" s="17" t="s">
        <v>28</v>
      </c>
      <c r="V3" s="17" t="s">
        <v>174</v>
      </c>
      <c r="W3" s="20"/>
      <c r="X3" s="20"/>
      <c r="Y3" s="21">
        <v>2.0027397260273974</v>
      </c>
      <c r="Z3" s="21">
        <f>IF(ISERROR((Y3*12*4)+36),"NaN",(Y3*12*4)+36)</f>
        <v>132.13150684931509</v>
      </c>
      <c r="AA3" s="21">
        <f ca="1">IF(ISERROR((TODAY()-X3)/12),"NaN",(TODAY()-X3)/12)</f>
        <v>3498.4166666666665</v>
      </c>
      <c r="AB3" s="20"/>
      <c r="AC3" s="20"/>
      <c r="AD3" s="21" t="str">
        <f>IF(ISERROR(IF(OR(ISERROR((AB3-X3)),(AB3-X3)/365=0),"NaN",(AB3-X3))),"NaN",IF(OR(ISERROR((AB3-X3)),(AB3-X3)/365=0),"NaN",(AB3-X3)))</f>
        <v>NaN</v>
      </c>
      <c r="AE3" s="21" t="str">
        <f>IF(OR(ISERROR(AC3-X3),AC3=""),"NaN",AC3-X3)</f>
        <v>NaN</v>
      </c>
      <c r="AF3" s="21" t="s">
        <v>68</v>
      </c>
      <c r="AG3" s="17" t="s">
        <v>48</v>
      </c>
      <c r="AH3" s="17">
        <v>0</v>
      </c>
      <c r="AI3" s="17" t="s">
        <v>60</v>
      </c>
      <c r="AJ3" s="22">
        <f ca="1">IF(ISERROR(IF(AG3="ALIVE",((TODAY()-X3)/365),((AI3-X3)/365))),"NaN",IF(AG3="ALIVE",((TODAY()-X3)/365),((AI3-X3)/365)))</f>
        <v>115.01643835616439</v>
      </c>
      <c r="AK3" s="17" t="s">
        <v>63</v>
      </c>
      <c r="AL3" s="17" t="s">
        <v>60</v>
      </c>
      <c r="AM3" s="17" t="s">
        <v>60</v>
      </c>
      <c r="AN3" s="17" t="s">
        <v>60</v>
      </c>
      <c r="AO3" s="23">
        <v>18.96</v>
      </c>
      <c r="AP3" s="23">
        <v>15.9</v>
      </c>
      <c r="AQ3" s="24">
        <v>0.47</v>
      </c>
      <c r="AR3" s="25" t="str">
        <f>IF(ISERROR(VLOOKUP(H3,[1]Tabelle1!$C$3:$BR$42,16,0)),"NaN",VLOOKUP(H3,[1]Tabelle1!$C$3:$BR$42,16,0))</f>
        <v>NaN</v>
      </c>
      <c r="AS3" s="23" t="s">
        <v>71</v>
      </c>
      <c r="AT3" s="23">
        <v>260</v>
      </c>
      <c r="AU3" s="23" t="s">
        <v>71</v>
      </c>
      <c r="AV3" s="23" t="s">
        <v>71</v>
      </c>
      <c r="AW3" s="23" t="s">
        <v>71</v>
      </c>
      <c r="AX3" s="23" t="s">
        <v>71</v>
      </c>
      <c r="AY3" s="23" t="s">
        <v>71</v>
      </c>
      <c r="AZ3" s="23" t="s">
        <v>71</v>
      </c>
      <c r="BA3" s="23" t="s">
        <v>71</v>
      </c>
      <c r="BB3" s="23" t="s">
        <v>71</v>
      </c>
      <c r="BC3" s="23" t="s">
        <v>71</v>
      </c>
      <c r="BD3" s="23" t="s">
        <v>71</v>
      </c>
      <c r="BE3" s="23" t="s">
        <v>71</v>
      </c>
      <c r="BF3" s="23" t="s">
        <v>71</v>
      </c>
      <c r="BG3" s="23" t="s">
        <v>71</v>
      </c>
      <c r="BH3" s="23" t="s">
        <v>71</v>
      </c>
      <c r="BI3" s="23" t="s">
        <v>71</v>
      </c>
      <c r="BJ3" s="23" t="s">
        <v>71</v>
      </c>
      <c r="BK3" s="23" t="s">
        <v>71</v>
      </c>
      <c r="BL3" s="23" t="s">
        <v>71</v>
      </c>
      <c r="BM3" s="23" t="s">
        <v>71</v>
      </c>
      <c r="BN3" s="23" t="s">
        <v>71</v>
      </c>
      <c r="BO3" s="23" t="s">
        <v>71</v>
      </c>
      <c r="BP3" s="23" t="s">
        <v>71</v>
      </c>
      <c r="BQ3" s="23" t="s">
        <v>71</v>
      </c>
      <c r="BR3" s="23" t="s">
        <v>71</v>
      </c>
      <c r="BS3" s="23" t="s">
        <v>71</v>
      </c>
      <c r="BT3" s="23" t="s">
        <v>71</v>
      </c>
      <c r="BU3" s="17" t="s">
        <v>74</v>
      </c>
      <c r="BV3" s="24">
        <v>0</v>
      </c>
      <c r="BW3" s="17" t="s">
        <v>72</v>
      </c>
      <c r="BX3" s="24">
        <v>0.8</v>
      </c>
      <c r="BY3" s="26" t="s">
        <v>74</v>
      </c>
      <c r="BZ3" s="24">
        <v>0</v>
      </c>
      <c r="CA3" s="17" t="s">
        <v>72</v>
      </c>
      <c r="CB3" s="24">
        <v>0.2</v>
      </c>
      <c r="CC3" s="17" t="s">
        <v>74</v>
      </c>
      <c r="CD3" s="24">
        <v>0</v>
      </c>
      <c r="CE3" s="17" t="s">
        <v>74</v>
      </c>
      <c r="CF3" s="24">
        <v>0</v>
      </c>
      <c r="CG3" s="17" t="s">
        <v>72</v>
      </c>
      <c r="CH3" s="24">
        <v>0.1</v>
      </c>
      <c r="CI3" s="17" t="s">
        <v>60</v>
      </c>
      <c r="CJ3" s="24">
        <v>0</v>
      </c>
      <c r="CK3" s="17" t="s">
        <v>60</v>
      </c>
      <c r="CL3" s="24">
        <v>0</v>
      </c>
      <c r="CM3" s="17" t="s">
        <v>72</v>
      </c>
      <c r="CN3" s="24">
        <v>0.5</v>
      </c>
      <c r="CO3" s="17" t="s">
        <v>74</v>
      </c>
      <c r="CP3" s="24">
        <v>0</v>
      </c>
      <c r="CQ3" s="17" t="s">
        <v>74</v>
      </c>
      <c r="CR3" s="24">
        <v>0</v>
      </c>
      <c r="CS3" s="24" t="s">
        <v>60</v>
      </c>
      <c r="CT3" s="24">
        <v>0</v>
      </c>
      <c r="CU3" s="24" t="s">
        <v>60</v>
      </c>
      <c r="CV3" s="24">
        <v>0</v>
      </c>
      <c r="CW3" s="24" t="s">
        <v>60</v>
      </c>
      <c r="CX3" s="24">
        <v>0</v>
      </c>
      <c r="CY3" s="24" t="s">
        <v>60</v>
      </c>
      <c r="CZ3" s="24">
        <v>0</v>
      </c>
      <c r="DA3" s="24" t="s">
        <v>60</v>
      </c>
      <c r="DB3" s="24">
        <v>0</v>
      </c>
      <c r="DC3" s="24" t="s">
        <v>60</v>
      </c>
      <c r="DD3" s="24">
        <v>0</v>
      </c>
      <c r="DE3" s="137" t="str">
        <f>IF(ISERROR(IF(AND(Y3&lt;3,Y3&gt;0),"3&gt; YEARS OLD",IF(AND(Y3&gt;3,Y3&lt;9),"3&lt;YEARS OLD&lt;9",IF(Y3&gt;9,"9&lt; YEARS OLD",IF(Y3=0,"FETAL","N/A"))))),"N/A",(IF(AND(Y3&lt;3,Y3&gt;0),"3&gt; YEARS OLD",IF(AND(Y3&gt;3,Y3&lt;9),"3&lt;YEARS OLD&lt;9",IF(Y3&gt;9,"9&lt; YEARS OLD",IF(Y3=0,"FETAL","N/A"))))))</f>
        <v>3&gt; YEARS OLD</v>
      </c>
      <c r="DF3" s="137">
        <f t="shared" ref="DF3:DF20" si="1">IF(M3="CONTROL",0,1)</f>
        <v>1</v>
      </c>
      <c r="DI3" s="8"/>
    </row>
    <row r="4" spans="1:113" x14ac:dyDescent="0.2">
      <c r="A4" s="160"/>
      <c r="B4" s="5">
        <f>B3+1</f>
        <v>2</v>
      </c>
      <c r="C4" s="14" t="str">
        <f t="shared" ref="C4:C27" si="2">CONCATENATE("CNS",G4)</f>
        <v>CNS4</v>
      </c>
      <c r="D4" s="14"/>
      <c r="E4" s="14" t="str">
        <f t="shared" si="0"/>
        <v>CNS4_NEOPLASM</v>
      </c>
      <c r="F4" s="14" t="s">
        <v>1</v>
      </c>
      <c r="G4" s="15">
        <v>4</v>
      </c>
      <c r="H4" s="16"/>
      <c r="I4" s="16"/>
      <c r="J4" s="17" t="s">
        <v>24</v>
      </c>
      <c r="K4" s="17" t="s">
        <v>57</v>
      </c>
      <c r="L4" s="17" t="s">
        <v>300</v>
      </c>
      <c r="M4" s="18" t="s">
        <v>316</v>
      </c>
      <c r="N4" s="18" t="s">
        <v>314</v>
      </c>
      <c r="O4" s="18" t="s">
        <v>147</v>
      </c>
      <c r="P4" s="18" t="s">
        <v>147</v>
      </c>
      <c r="Q4" s="18" t="s">
        <v>60</v>
      </c>
      <c r="R4" s="19" t="s">
        <v>80</v>
      </c>
      <c r="S4" s="19" t="s">
        <v>85</v>
      </c>
      <c r="T4" s="19" t="s">
        <v>298</v>
      </c>
      <c r="U4" s="17" t="s">
        <v>28</v>
      </c>
      <c r="V4" s="17" t="s">
        <v>175</v>
      </c>
      <c r="W4" s="20"/>
      <c r="X4" s="20"/>
      <c r="Y4" s="21">
        <v>0.73972602739726023</v>
      </c>
      <c r="Z4" s="21">
        <f t="shared" ref="Z4:Z5" si="3">IF(ISERROR((Y4*12*4)+36),"NaN",(Y4*12*4)+36)</f>
        <v>71.506849315068493</v>
      </c>
      <c r="AA4" s="21">
        <f t="shared" ref="AA4:AA28" ca="1" si="4">IF(ISERROR((TODAY()-X4)/12),"NaN",(TODAY()-X4)/12)</f>
        <v>3498.4166666666665</v>
      </c>
      <c r="AB4" s="20"/>
      <c r="AC4" s="20"/>
      <c r="AD4" s="21" t="str">
        <f t="shared" ref="AD4:AD5" si="5">IF(ISERROR(IF(OR(ISERROR((AB4-X4)),(AB4-X4)/365=0),"NaN",(AB4-X4))),"NaN",IF(OR(ISERROR((AB4-X4)),(AB4-X4)/365=0),"NaN",(AB4-X4)))</f>
        <v>NaN</v>
      </c>
      <c r="AE4" s="21" t="str">
        <f t="shared" ref="AE4:AE19" si="6">IF(OR(ISERROR(AC4-X4),AC4=""),"NaN",AC4-X4)</f>
        <v>NaN</v>
      </c>
      <c r="AF4" s="21" t="s">
        <v>68</v>
      </c>
      <c r="AG4" s="17" t="s">
        <v>61</v>
      </c>
      <c r="AH4" s="17">
        <v>1</v>
      </c>
      <c r="AI4" s="17" t="s">
        <v>60</v>
      </c>
      <c r="AJ4" s="22" t="str">
        <f t="shared" ref="AJ4:AJ28" ca="1" si="7">IF(ISERROR(IF(AG4="ALIVE",((TODAY()-X4)/365),((AI4-X4)/365))),"NaN",IF(AG4="ALIVE",((TODAY()-X4)/365),((AI4-X4)/365)))</f>
        <v>NaN</v>
      </c>
      <c r="AK4" s="17" t="s">
        <v>62</v>
      </c>
      <c r="AL4" s="17" t="s">
        <v>46</v>
      </c>
      <c r="AM4" s="17" t="s">
        <v>60</v>
      </c>
      <c r="AN4" s="17" t="s">
        <v>47</v>
      </c>
      <c r="AO4" s="23" t="s">
        <v>71</v>
      </c>
      <c r="AP4" s="23" t="s">
        <v>71</v>
      </c>
      <c r="AQ4" s="23" t="s">
        <v>71</v>
      </c>
      <c r="AR4" s="23" t="s">
        <v>71</v>
      </c>
      <c r="AS4" s="23" t="s">
        <v>71</v>
      </c>
      <c r="AT4" s="23" t="s">
        <v>71</v>
      </c>
      <c r="AU4" s="23" t="s">
        <v>71</v>
      </c>
      <c r="AV4" s="23" t="s">
        <v>71</v>
      </c>
      <c r="AW4" s="23" t="s">
        <v>71</v>
      </c>
      <c r="AX4" s="23" t="s">
        <v>71</v>
      </c>
      <c r="AY4" s="23" t="s">
        <v>71</v>
      </c>
      <c r="AZ4" s="23" t="s">
        <v>71</v>
      </c>
      <c r="BA4" s="23" t="s">
        <v>71</v>
      </c>
      <c r="BB4" s="23" t="s">
        <v>71</v>
      </c>
      <c r="BC4" s="23" t="s">
        <v>71</v>
      </c>
      <c r="BD4" s="23" t="s">
        <v>71</v>
      </c>
      <c r="BE4" s="23" t="s">
        <v>71</v>
      </c>
      <c r="BF4" s="23" t="s">
        <v>71</v>
      </c>
      <c r="BG4" s="23" t="s">
        <v>71</v>
      </c>
      <c r="BH4" s="23" t="s">
        <v>71</v>
      </c>
      <c r="BI4" s="23" t="s">
        <v>71</v>
      </c>
      <c r="BJ4" s="23" t="s">
        <v>71</v>
      </c>
      <c r="BK4" s="23" t="s">
        <v>71</v>
      </c>
      <c r="BL4" s="23" t="s">
        <v>71</v>
      </c>
      <c r="BM4" s="23" t="s">
        <v>71</v>
      </c>
      <c r="BN4" s="23" t="s">
        <v>71</v>
      </c>
      <c r="BO4" s="23" t="s">
        <v>71</v>
      </c>
      <c r="BP4" s="23" t="s">
        <v>71</v>
      </c>
      <c r="BQ4" s="23" t="s">
        <v>71</v>
      </c>
      <c r="BR4" s="23" t="s">
        <v>71</v>
      </c>
      <c r="BS4" s="23" t="s">
        <v>71</v>
      </c>
      <c r="BT4" s="23" t="s">
        <v>71</v>
      </c>
      <c r="BU4" s="17" t="s">
        <v>74</v>
      </c>
      <c r="BV4" s="24">
        <v>0</v>
      </c>
      <c r="BW4" s="17" t="s">
        <v>60</v>
      </c>
      <c r="BX4" s="17" t="s">
        <v>71</v>
      </c>
      <c r="BY4" s="17" t="s">
        <v>72</v>
      </c>
      <c r="BZ4" s="24">
        <v>0.1</v>
      </c>
      <c r="CA4" s="17" t="s">
        <v>72</v>
      </c>
      <c r="CB4" s="24">
        <v>0.15</v>
      </c>
      <c r="CC4" s="17" t="s">
        <v>74</v>
      </c>
      <c r="CD4" s="24" t="s">
        <v>71</v>
      </c>
      <c r="CE4" s="17" t="s">
        <v>72</v>
      </c>
      <c r="CF4" s="24">
        <v>0.1</v>
      </c>
      <c r="CG4" s="17" t="s">
        <v>60</v>
      </c>
      <c r="CH4" s="24" t="s">
        <v>71</v>
      </c>
      <c r="CI4" s="17" t="s">
        <v>72</v>
      </c>
      <c r="CJ4" s="24">
        <v>0.95</v>
      </c>
      <c r="CK4" s="17" t="s">
        <v>72</v>
      </c>
      <c r="CL4" s="24">
        <v>1</v>
      </c>
      <c r="CM4" s="17" t="s">
        <v>72</v>
      </c>
      <c r="CN4" s="24">
        <v>0.5</v>
      </c>
      <c r="CO4" s="17" t="s">
        <v>74</v>
      </c>
      <c r="CP4" s="24" t="s">
        <v>71</v>
      </c>
      <c r="CQ4" s="17" t="s">
        <v>74</v>
      </c>
      <c r="CR4" s="24">
        <v>0</v>
      </c>
      <c r="CS4" s="24" t="s">
        <v>60</v>
      </c>
      <c r="CT4" s="24" t="s">
        <v>71</v>
      </c>
      <c r="CU4" s="24" t="s">
        <v>60</v>
      </c>
      <c r="CV4" s="24" t="s">
        <v>71</v>
      </c>
      <c r="CW4" s="24" t="s">
        <v>60</v>
      </c>
      <c r="CX4" s="24" t="s">
        <v>71</v>
      </c>
      <c r="CY4" s="24" t="s">
        <v>60</v>
      </c>
      <c r="CZ4" s="24" t="s">
        <v>71</v>
      </c>
      <c r="DA4" s="24" t="s">
        <v>60</v>
      </c>
      <c r="DB4" s="24" t="s">
        <v>71</v>
      </c>
      <c r="DC4" s="24" t="s">
        <v>60</v>
      </c>
      <c r="DD4" s="24" t="s">
        <v>71</v>
      </c>
      <c r="DE4" s="137" t="str">
        <f t="shared" ref="DE4:DE65" si="8">IF(ISERROR(IF(AND(Y4&lt;3,Y4&gt;0),"3&gt; YEARS OLD",IF(AND(Y4&gt;3,Y4&lt;9),"3&lt;YEARS OLD&lt;9",IF(Y4&gt;9,"9&lt; YEARS OLD",IF(Y4=0,"FETAL","N/A"))))),"N/A",(IF(AND(Y4&lt;3,Y4&gt;0),"3&gt; YEARS OLD",IF(AND(Y4&gt;3,Y4&lt;9),"3&lt;YEARS OLD&lt;9",IF(Y4&gt;9,"9&lt; YEARS OLD",IF(Y4=0,"FETAL","N/A"))))))</f>
        <v>3&gt; YEARS OLD</v>
      </c>
      <c r="DF4" s="137">
        <f t="shared" si="1"/>
        <v>1</v>
      </c>
      <c r="DI4" s="8"/>
    </row>
    <row r="5" spans="1:113" x14ac:dyDescent="0.2">
      <c r="A5" s="160"/>
      <c r="B5" s="5">
        <f>B4+1</f>
        <v>3</v>
      </c>
      <c r="C5" s="14" t="str">
        <f t="shared" si="2"/>
        <v>CNS13</v>
      </c>
      <c r="D5" s="14"/>
      <c r="E5" s="14" t="str">
        <f t="shared" si="0"/>
        <v>CNS13_NEOPLASM</v>
      </c>
      <c r="F5" s="14" t="s">
        <v>2</v>
      </c>
      <c r="G5" s="15">
        <v>13</v>
      </c>
      <c r="H5" s="16"/>
      <c r="I5" s="16"/>
      <c r="J5" s="17" t="s">
        <v>24</v>
      </c>
      <c r="K5" s="17" t="s">
        <v>26</v>
      </c>
      <c r="L5" s="17" t="s">
        <v>300</v>
      </c>
      <c r="M5" s="18" t="s">
        <v>316</v>
      </c>
      <c r="N5" s="18" t="s">
        <v>314</v>
      </c>
      <c r="O5" s="18" t="s">
        <v>147</v>
      </c>
      <c r="P5" s="18" t="s">
        <v>147</v>
      </c>
      <c r="Q5" s="18" t="s">
        <v>60</v>
      </c>
      <c r="R5" s="19" t="s">
        <v>80</v>
      </c>
      <c r="S5" s="19" t="s">
        <v>85</v>
      </c>
      <c r="T5" s="19"/>
      <c r="U5" s="17" t="s">
        <v>28</v>
      </c>
      <c r="V5" s="17" t="s">
        <v>174</v>
      </c>
      <c r="W5" s="20"/>
      <c r="X5" s="20"/>
      <c r="Y5" s="21">
        <v>1.2712328767123289</v>
      </c>
      <c r="Z5" s="21">
        <f t="shared" si="3"/>
        <v>97.019178082191786</v>
      </c>
      <c r="AA5" s="21">
        <f t="shared" ca="1" si="4"/>
        <v>3498.4166666666665</v>
      </c>
      <c r="AB5" s="20"/>
      <c r="AC5" s="20"/>
      <c r="AD5" s="21" t="str">
        <f t="shared" si="5"/>
        <v>NaN</v>
      </c>
      <c r="AE5" s="21" t="str">
        <f t="shared" si="6"/>
        <v>NaN</v>
      </c>
      <c r="AF5" s="21" t="s">
        <v>68</v>
      </c>
      <c r="AG5" s="17" t="s">
        <v>61</v>
      </c>
      <c r="AH5" s="17">
        <v>1</v>
      </c>
      <c r="AI5" s="17" t="s">
        <v>60</v>
      </c>
      <c r="AJ5" s="22" t="str">
        <f t="shared" ca="1" si="7"/>
        <v>NaN</v>
      </c>
      <c r="AK5" s="17" t="s">
        <v>60</v>
      </c>
      <c r="AL5" s="17" t="s">
        <v>60</v>
      </c>
      <c r="AM5" s="17" t="s">
        <v>60</v>
      </c>
      <c r="AN5" s="17" t="s">
        <v>60</v>
      </c>
      <c r="AO5" s="23" t="s">
        <v>71</v>
      </c>
      <c r="AP5" s="23" t="s">
        <v>71</v>
      </c>
      <c r="AQ5" s="23" t="s">
        <v>71</v>
      </c>
      <c r="AR5" s="23" t="s">
        <v>71</v>
      </c>
      <c r="AS5" s="23" t="s">
        <v>71</v>
      </c>
      <c r="AT5" s="23" t="s">
        <v>71</v>
      </c>
      <c r="AU5" s="23" t="s">
        <v>71</v>
      </c>
      <c r="AV5" s="23" t="s">
        <v>71</v>
      </c>
      <c r="AW5" s="23" t="s">
        <v>71</v>
      </c>
      <c r="AX5" s="23" t="s">
        <v>71</v>
      </c>
      <c r="AY5" s="23" t="s">
        <v>71</v>
      </c>
      <c r="AZ5" s="23" t="s">
        <v>71</v>
      </c>
      <c r="BA5" s="23" t="s">
        <v>71</v>
      </c>
      <c r="BB5" s="23" t="s">
        <v>71</v>
      </c>
      <c r="BC5" s="23" t="s">
        <v>71</v>
      </c>
      <c r="BD5" s="23" t="s">
        <v>71</v>
      </c>
      <c r="BE5" s="23" t="s">
        <v>71</v>
      </c>
      <c r="BF5" s="23" t="s">
        <v>71</v>
      </c>
      <c r="BG5" s="23" t="s">
        <v>71</v>
      </c>
      <c r="BH5" s="23" t="s">
        <v>71</v>
      </c>
      <c r="BI5" s="23" t="s">
        <v>71</v>
      </c>
      <c r="BJ5" s="23" t="s">
        <v>71</v>
      </c>
      <c r="BK5" s="23" t="s">
        <v>71</v>
      </c>
      <c r="BL5" s="23" t="s">
        <v>71</v>
      </c>
      <c r="BM5" s="23" t="s">
        <v>71</v>
      </c>
      <c r="BN5" s="23" t="s">
        <v>71</v>
      </c>
      <c r="BO5" s="23" t="s">
        <v>71</v>
      </c>
      <c r="BP5" s="23" t="s">
        <v>71</v>
      </c>
      <c r="BQ5" s="23" t="s">
        <v>71</v>
      </c>
      <c r="BR5" s="23" t="s">
        <v>71</v>
      </c>
      <c r="BS5" s="23" t="s">
        <v>71</v>
      </c>
      <c r="BT5" s="23" t="s">
        <v>71</v>
      </c>
      <c r="BU5" s="17" t="s">
        <v>74</v>
      </c>
      <c r="BV5" s="24">
        <v>0</v>
      </c>
      <c r="BW5" s="17" t="s">
        <v>72</v>
      </c>
      <c r="BX5" s="24">
        <v>0.8</v>
      </c>
      <c r="BY5" s="17" t="s">
        <v>72</v>
      </c>
      <c r="BZ5" s="24">
        <v>0.15</v>
      </c>
      <c r="CA5" s="17" t="s">
        <v>72</v>
      </c>
      <c r="CB5" s="24">
        <v>0.3</v>
      </c>
      <c r="CC5" s="17" t="s">
        <v>72</v>
      </c>
      <c r="CD5" s="24">
        <v>0.8</v>
      </c>
      <c r="CE5" s="17" t="s">
        <v>74</v>
      </c>
      <c r="CF5" s="24">
        <v>0</v>
      </c>
      <c r="CG5" s="17" t="s">
        <v>60</v>
      </c>
      <c r="CH5" s="24" t="s">
        <v>71</v>
      </c>
      <c r="CI5" s="17" t="s">
        <v>60</v>
      </c>
      <c r="CJ5" s="24" t="s">
        <v>71</v>
      </c>
      <c r="CK5" s="17" t="s">
        <v>72</v>
      </c>
      <c r="CL5" s="24">
        <v>1</v>
      </c>
      <c r="CM5" s="17" t="s">
        <v>72</v>
      </c>
      <c r="CN5" s="24">
        <v>0.7</v>
      </c>
      <c r="CO5" s="17" t="s">
        <v>74</v>
      </c>
      <c r="CP5" s="24">
        <v>0</v>
      </c>
      <c r="CQ5" s="17" t="s">
        <v>74</v>
      </c>
      <c r="CR5" s="24">
        <v>0</v>
      </c>
      <c r="CS5" s="24" t="s">
        <v>60</v>
      </c>
      <c r="CT5" s="24" t="s">
        <v>71</v>
      </c>
      <c r="CU5" s="24" t="s">
        <v>60</v>
      </c>
      <c r="CV5" s="24" t="s">
        <v>71</v>
      </c>
      <c r="CW5" s="24" t="s">
        <v>60</v>
      </c>
      <c r="CX5" s="24" t="s">
        <v>71</v>
      </c>
      <c r="CY5" s="24" t="s">
        <v>60</v>
      </c>
      <c r="CZ5" s="24" t="s">
        <v>71</v>
      </c>
      <c r="DA5" s="24" t="s">
        <v>60</v>
      </c>
      <c r="DB5" s="24" t="s">
        <v>71</v>
      </c>
      <c r="DC5" s="24" t="s">
        <v>60</v>
      </c>
      <c r="DD5" s="24" t="s">
        <v>71</v>
      </c>
      <c r="DE5" s="137" t="str">
        <f t="shared" si="8"/>
        <v>3&gt; YEARS OLD</v>
      </c>
      <c r="DF5" s="137">
        <f t="shared" si="1"/>
        <v>1</v>
      </c>
      <c r="DI5" s="8"/>
    </row>
    <row r="6" spans="1:113" x14ac:dyDescent="0.2">
      <c r="A6" s="160"/>
      <c r="B6" s="5">
        <f>B5+1</f>
        <v>4</v>
      </c>
      <c r="C6" s="27" t="str">
        <f t="shared" si="2"/>
        <v>CNS15</v>
      </c>
      <c r="D6" s="27"/>
      <c r="E6" s="27" t="str">
        <f t="shared" si="0"/>
        <v>CNS15_NEOPLASM</v>
      </c>
      <c r="F6" s="27" t="s">
        <v>3</v>
      </c>
      <c r="G6" s="28">
        <v>15</v>
      </c>
      <c r="H6" s="29"/>
      <c r="I6" s="29"/>
      <c r="J6" s="30" t="s">
        <v>25</v>
      </c>
      <c r="K6" s="30" t="s">
        <v>26</v>
      </c>
      <c r="L6" s="30" t="s">
        <v>300</v>
      </c>
      <c r="M6" s="31" t="s">
        <v>316</v>
      </c>
      <c r="N6" s="31" t="s">
        <v>314</v>
      </c>
      <c r="O6" s="31" t="s">
        <v>178</v>
      </c>
      <c r="P6" s="31" t="s">
        <v>178</v>
      </c>
      <c r="Q6" s="31" t="s">
        <v>148</v>
      </c>
      <c r="R6" s="32" t="s">
        <v>86</v>
      </c>
      <c r="S6" s="32" t="s">
        <v>87</v>
      </c>
      <c r="T6" s="32"/>
      <c r="U6" s="30" t="s">
        <v>28</v>
      </c>
      <c r="V6" s="30" t="s">
        <v>175</v>
      </c>
      <c r="W6" s="33"/>
      <c r="X6" s="33"/>
      <c r="Y6" s="34">
        <v>3.0136986301369864E-2</v>
      </c>
      <c r="Z6" s="34">
        <f t="shared" ref="Z6:Z9" si="9">IF(ISERROR((Y6*12*4)+36),"NaN",(Y6*12*4)+36)</f>
        <v>37.446575342465756</v>
      </c>
      <c r="AA6" s="34">
        <f t="shared" ca="1" si="4"/>
        <v>3498.4166666666665</v>
      </c>
      <c r="AB6" s="33"/>
      <c r="AC6" s="33"/>
      <c r="AD6" s="34" t="str">
        <f t="shared" ref="AD6:AD9" si="10">IF(ISERROR(IF(OR(ISERROR((AB6-X6)),(AB6-X6)/365=0),"NaN",(AB6-X6))),"NaN",IF(OR(ISERROR((AB6-X6)),(AB6-X6)/365=0),"NaN",(AB6-X6)))</f>
        <v>NaN</v>
      </c>
      <c r="AE6" s="34" t="str">
        <f t="shared" si="6"/>
        <v>NaN</v>
      </c>
      <c r="AF6" s="34" t="s">
        <v>68</v>
      </c>
      <c r="AG6" s="30" t="s">
        <v>48</v>
      </c>
      <c r="AH6" s="30">
        <v>0</v>
      </c>
      <c r="AI6" s="30" t="s">
        <v>60</v>
      </c>
      <c r="AJ6" s="35">
        <f t="shared" ca="1" si="7"/>
        <v>115.01643835616439</v>
      </c>
      <c r="AK6" s="30" t="s">
        <v>63</v>
      </c>
      <c r="AL6" s="30" t="s">
        <v>60</v>
      </c>
      <c r="AM6" s="30" t="s">
        <v>60</v>
      </c>
      <c r="AN6" s="30" t="s">
        <v>60</v>
      </c>
      <c r="AO6" s="36" t="s">
        <v>71</v>
      </c>
      <c r="AP6" s="36" t="s">
        <v>71</v>
      </c>
      <c r="AQ6" s="36" t="s">
        <v>71</v>
      </c>
      <c r="AR6" s="37" t="str">
        <f>IF(ISERROR(VLOOKUP(H6,[1]Tabelle1!$C$3:$BR$42,16,0)),"N/A",VLOOKUP(H6,[1]Tabelle1!$C$3:$BR$42,16,0))</f>
        <v>N/A</v>
      </c>
      <c r="AS6" s="37" t="str">
        <f>IF(ISERROR(VLOOKUP(H6,[1]Tabelle1!$C$3:$BR$42,17,0)),"N/A",VLOOKUP(H6,[1]Tabelle1!$C$3:$BR$42,17,0))</f>
        <v>N/A</v>
      </c>
      <c r="AT6" s="36" t="s">
        <v>71</v>
      </c>
      <c r="AU6" s="36" t="s">
        <v>71</v>
      </c>
      <c r="AV6" s="36" t="s">
        <v>71</v>
      </c>
      <c r="AW6" s="36" t="s">
        <v>71</v>
      </c>
      <c r="AX6" s="36" t="s">
        <v>71</v>
      </c>
      <c r="AY6" s="36" t="s">
        <v>71</v>
      </c>
      <c r="AZ6" s="36" t="s">
        <v>71</v>
      </c>
      <c r="BA6" s="36" t="s">
        <v>71</v>
      </c>
      <c r="BB6" s="36" t="s">
        <v>71</v>
      </c>
      <c r="BC6" s="36" t="s">
        <v>71</v>
      </c>
      <c r="BD6" s="36" t="s">
        <v>71</v>
      </c>
      <c r="BE6" s="36" t="s">
        <v>71</v>
      </c>
      <c r="BF6" s="36" t="s">
        <v>71</v>
      </c>
      <c r="BG6" s="36" t="s">
        <v>71</v>
      </c>
      <c r="BH6" s="36" t="s">
        <v>71</v>
      </c>
      <c r="BI6" s="36" t="s">
        <v>71</v>
      </c>
      <c r="BJ6" s="36" t="s">
        <v>71</v>
      </c>
      <c r="BK6" s="36" t="s">
        <v>71</v>
      </c>
      <c r="BL6" s="36" t="s">
        <v>71</v>
      </c>
      <c r="BM6" s="36" t="s">
        <v>71</v>
      </c>
      <c r="BN6" s="36" t="s">
        <v>71</v>
      </c>
      <c r="BO6" s="36" t="s">
        <v>71</v>
      </c>
      <c r="BP6" s="36" t="s">
        <v>71</v>
      </c>
      <c r="BQ6" s="36" t="s">
        <v>71</v>
      </c>
      <c r="BR6" s="36" t="s">
        <v>71</v>
      </c>
      <c r="BS6" s="36" t="s">
        <v>71</v>
      </c>
      <c r="BT6" s="36" t="s">
        <v>71</v>
      </c>
      <c r="BU6" s="30" t="s">
        <v>72</v>
      </c>
      <c r="BV6" s="38">
        <v>0.1</v>
      </c>
      <c r="BW6" s="30" t="s">
        <v>72</v>
      </c>
      <c r="BX6" s="38">
        <v>0.25</v>
      </c>
      <c r="BY6" s="30" t="s">
        <v>72</v>
      </c>
      <c r="BZ6" s="38">
        <v>0.04</v>
      </c>
      <c r="CA6" s="30" t="s">
        <v>74</v>
      </c>
      <c r="CB6" s="38" t="s">
        <v>71</v>
      </c>
      <c r="CC6" s="30" t="s">
        <v>72</v>
      </c>
      <c r="CD6" s="38">
        <v>0.8</v>
      </c>
      <c r="CE6" s="30" t="s">
        <v>60</v>
      </c>
      <c r="CF6" s="38" t="s">
        <v>71</v>
      </c>
      <c r="CG6" s="30" t="s">
        <v>60</v>
      </c>
      <c r="CH6" s="38" t="s">
        <v>71</v>
      </c>
      <c r="CI6" s="30" t="s">
        <v>72</v>
      </c>
      <c r="CJ6" s="38">
        <v>0.9</v>
      </c>
      <c r="CK6" s="30" t="s">
        <v>60</v>
      </c>
      <c r="CL6" s="38" t="s">
        <v>71</v>
      </c>
      <c r="CM6" s="30" t="s">
        <v>72</v>
      </c>
      <c r="CN6" s="38">
        <v>0.35</v>
      </c>
      <c r="CO6" s="30" t="s">
        <v>72</v>
      </c>
      <c r="CP6" s="38">
        <v>0.7</v>
      </c>
      <c r="CQ6" s="30" t="s">
        <v>72</v>
      </c>
      <c r="CR6" s="38">
        <v>0.25</v>
      </c>
      <c r="CS6" s="38" t="s">
        <v>60</v>
      </c>
      <c r="CT6" s="38" t="s">
        <v>71</v>
      </c>
      <c r="CU6" s="38" t="s">
        <v>60</v>
      </c>
      <c r="CV6" s="38" t="s">
        <v>71</v>
      </c>
      <c r="CW6" s="38" t="s">
        <v>72</v>
      </c>
      <c r="CX6" s="38">
        <v>0.75</v>
      </c>
      <c r="CY6" s="38" t="s">
        <v>72</v>
      </c>
      <c r="CZ6" s="38">
        <v>0.15</v>
      </c>
      <c r="DA6" s="38" t="s">
        <v>74</v>
      </c>
      <c r="DB6" s="38">
        <v>0</v>
      </c>
      <c r="DC6" s="38" t="s">
        <v>60</v>
      </c>
      <c r="DD6" s="38" t="s">
        <v>71</v>
      </c>
      <c r="DE6" s="137" t="str">
        <f t="shared" si="8"/>
        <v>3&gt; YEARS OLD</v>
      </c>
      <c r="DF6" s="137">
        <f t="shared" si="1"/>
        <v>1</v>
      </c>
      <c r="DI6" s="8"/>
    </row>
    <row r="7" spans="1:113" x14ac:dyDescent="0.2">
      <c r="A7" s="160"/>
      <c r="B7" s="5">
        <f t="shared" ref="B7:B27" si="11">B6+1</f>
        <v>5</v>
      </c>
      <c r="C7" s="27" t="str">
        <f t="shared" si="2"/>
        <v>CNS16</v>
      </c>
      <c r="D7" s="27"/>
      <c r="E7" s="27" t="str">
        <f t="shared" si="0"/>
        <v>CNS16_NEOPLASM</v>
      </c>
      <c r="F7" s="27" t="s">
        <v>4</v>
      </c>
      <c r="G7" s="28">
        <v>16</v>
      </c>
      <c r="H7" s="29"/>
      <c r="I7" s="29"/>
      <c r="J7" s="30" t="s">
        <v>25</v>
      </c>
      <c r="K7" s="30" t="s">
        <v>26</v>
      </c>
      <c r="L7" s="30" t="s">
        <v>300</v>
      </c>
      <c r="M7" s="31" t="s">
        <v>316</v>
      </c>
      <c r="N7" s="31" t="s">
        <v>314</v>
      </c>
      <c r="O7" s="31" t="s">
        <v>147</v>
      </c>
      <c r="P7" s="31" t="s">
        <v>147</v>
      </c>
      <c r="Q7" s="31" t="s">
        <v>60</v>
      </c>
      <c r="R7" s="32" t="s">
        <v>80</v>
      </c>
      <c r="S7" s="32" t="s">
        <v>85</v>
      </c>
      <c r="T7" s="32"/>
      <c r="U7" s="30" t="s">
        <v>28</v>
      </c>
      <c r="V7" s="30" t="s">
        <v>174</v>
      </c>
      <c r="W7" s="33"/>
      <c r="X7" s="33"/>
      <c r="Y7" s="34">
        <v>2.515068493150685</v>
      </c>
      <c r="Z7" s="34">
        <f t="shared" si="9"/>
        <v>156.72328767123287</v>
      </c>
      <c r="AA7" s="34">
        <f t="shared" ca="1" si="4"/>
        <v>3498.4166666666665</v>
      </c>
      <c r="AB7" s="33"/>
      <c r="AC7" s="33"/>
      <c r="AD7" s="34" t="str">
        <f t="shared" si="10"/>
        <v>NaN</v>
      </c>
      <c r="AE7" s="34" t="str">
        <f t="shared" si="6"/>
        <v>NaN</v>
      </c>
      <c r="AF7" s="34" t="s">
        <v>68</v>
      </c>
      <c r="AG7" s="30" t="s">
        <v>48</v>
      </c>
      <c r="AH7" s="30">
        <v>0</v>
      </c>
      <c r="AI7" s="30" t="s">
        <v>60</v>
      </c>
      <c r="AJ7" s="35">
        <f t="shared" ca="1" si="7"/>
        <v>115.01643835616439</v>
      </c>
      <c r="AK7" s="30" t="s">
        <v>63</v>
      </c>
      <c r="AL7" s="30" t="s">
        <v>60</v>
      </c>
      <c r="AM7" s="30" t="s">
        <v>60</v>
      </c>
      <c r="AN7" s="30" t="s">
        <v>60</v>
      </c>
      <c r="AO7" s="36">
        <v>11.39</v>
      </c>
      <c r="AP7" s="36">
        <v>11.1</v>
      </c>
      <c r="AQ7" s="38">
        <v>0.34599999999999997</v>
      </c>
      <c r="AR7" s="37" t="str">
        <f>IF(ISERROR(VLOOKUP(H7,[1]Tabelle1!$C$3:$BR$42,16,0)),"N/A",VLOOKUP(H7,[1]Tabelle1!$C$3:$BR$42,16,0))</f>
        <v>N/A</v>
      </c>
      <c r="AS7" s="37" t="str">
        <f>IF(ISERROR(VLOOKUP(H7,[1]Tabelle1!$C$3:$BR$42,17,0)),"N/A",VLOOKUP(H7,[1]Tabelle1!$C$3:$BR$42,17,0))</f>
        <v>N/A</v>
      </c>
      <c r="AT7" s="36">
        <v>390</v>
      </c>
      <c r="AU7" s="36" t="s">
        <v>71</v>
      </c>
      <c r="AV7" s="36" t="s">
        <v>71</v>
      </c>
      <c r="AW7" s="36" t="s">
        <v>71</v>
      </c>
      <c r="AX7" s="36" t="s">
        <v>71</v>
      </c>
      <c r="AY7" s="36" t="s">
        <v>71</v>
      </c>
      <c r="AZ7" s="36" t="s">
        <v>71</v>
      </c>
      <c r="BA7" s="36" t="s">
        <v>71</v>
      </c>
      <c r="BB7" s="36" t="s">
        <v>71</v>
      </c>
      <c r="BC7" s="36" t="s">
        <v>71</v>
      </c>
      <c r="BD7" s="36" t="s">
        <v>71</v>
      </c>
      <c r="BE7" s="36" t="s">
        <v>71</v>
      </c>
      <c r="BF7" s="36" t="s">
        <v>71</v>
      </c>
      <c r="BG7" s="36" t="s">
        <v>71</v>
      </c>
      <c r="BH7" s="36" t="s">
        <v>71</v>
      </c>
      <c r="BI7" s="36" t="s">
        <v>71</v>
      </c>
      <c r="BJ7" s="36" t="s">
        <v>71</v>
      </c>
      <c r="BK7" s="36" t="s">
        <v>71</v>
      </c>
      <c r="BL7" s="36" t="s">
        <v>71</v>
      </c>
      <c r="BM7" s="36" t="s">
        <v>71</v>
      </c>
      <c r="BN7" s="36" t="s">
        <v>71</v>
      </c>
      <c r="BO7" s="36" t="s">
        <v>71</v>
      </c>
      <c r="BP7" s="36" t="s">
        <v>71</v>
      </c>
      <c r="BQ7" s="36" t="s">
        <v>71</v>
      </c>
      <c r="BR7" s="36" t="s">
        <v>71</v>
      </c>
      <c r="BS7" s="36" t="s">
        <v>71</v>
      </c>
      <c r="BT7" s="36" t="s">
        <v>71</v>
      </c>
      <c r="BU7" s="30" t="s">
        <v>74</v>
      </c>
      <c r="BV7" s="38">
        <v>0</v>
      </c>
      <c r="BW7" s="30" t="s">
        <v>72</v>
      </c>
      <c r="BX7" s="38" t="s">
        <v>71</v>
      </c>
      <c r="BY7" s="30" t="s">
        <v>72</v>
      </c>
      <c r="BZ7" s="38" t="s">
        <v>71</v>
      </c>
      <c r="CA7" s="30" t="s">
        <v>72</v>
      </c>
      <c r="CB7" s="38">
        <v>0.3</v>
      </c>
      <c r="CC7" s="30" t="s">
        <v>72</v>
      </c>
      <c r="CD7" s="38">
        <v>0.5</v>
      </c>
      <c r="CE7" s="30" t="s">
        <v>60</v>
      </c>
      <c r="CF7" s="38" t="s">
        <v>71</v>
      </c>
      <c r="CG7" s="30" t="s">
        <v>72</v>
      </c>
      <c r="CH7" s="38">
        <v>0.3</v>
      </c>
      <c r="CI7" s="30" t="s">
        <v>72</v>
      </c>
      <c r="CJ7" s="38" t="s">
        <v>71</v>
      </c>
      <c r="CK7" s="30" t="s">
        <v>72</v>
      </c>
      <c r="CL7" s="38">
        <v>0.95</v>
      </c>
      <c r="CM7" s="30" t="s">
        <v>72</v>
      </c>
      <c r="CN7" s="38">
        <v>0.45</v>
      </c>
      <c r="CO7" s="30" t="s">
        <v>74</v>
      </c>
      <c r="CP7" s="38">
        <v>0</v>
      </c>
      <c r="CQ7" s="30" t="s">
        <v>74</v>
      </c>
      <c r="CR7" s="38">
        <v>0</v>
      </c>
      <c r="CS7" s="38" t="s">
        <v>60</v>
      </c>
      <c r="CT7" s="38" t="s">
        <v>71</v>
      </c>
      <c r="CU7" s="38" t="s">
        <v>60</v>
      </c>
      <c r="CV7" s="38" t="s">
        <v>71</v>
      </c>
      <c r="CW7" s="38" t="s">
        <v>60</v>
      </c>
      <c r="CX7" s="38" t="s">
        <v>71</v>
      </c>
      <c r="CY7" s="38" t="s">
        <v>60</v>
      </c>
      <c r="CZ7" s="38" t="s">
        <v>71</v>
      </c>
      <c r="DA7" s="38" t="s">
        <v>60</v>
      </c>
      <c r="DB7" s="38" t="s">
        <v>71</v>
      </c>
      <c r="DC7" s="38" t="s">
        <v>60</v>
      </c>
      <c r="DD7" s="38" t="s">
        <v>71</v>
      </c>
      <c r="DE7" s="137" t="str">
        <f t="shared" si="8"/>
        <v>3&gt; YEARS OLD</v>
      </c>
      <c r="DF7" s="137">
        <f t="shared" si="1"/>
        <v>1</v>
      </c>
      <c r="DI7" s="8"/>
    </row>
    <row r="8" spans="1:113" x14ac:dyDescent="0.2">
      <c r="A8" s="160"/>
      <c r="B8" s="5">
        <f t="shared" si="11"/>
        <v>6</v>
      </c>
      <c r="C8" s="27" t="str">
        <f t="shared" si="2"/>
        <v>CNS19</v>
      </c>
      <c r="D8" s="27"/>
      <c r="E8" s="27" t="str">
        <f t="shared" si="0"/>
        <v>CNS19_NEOPLASM</v>
      </c>
      <c r="F8" s="27" t="s">
        <v>5</v>
      </c>
      <c r="G8" s="28">
        <v>19</v>
      </c>
      <c r="H8" s="29"/>
      <c r="I8" s="29"/>
      <c r="J8" s="30" t="s">
        <v>24</v>
      </c>
      <c r="K8" s="30" t="s">
        <v>57</v>
      </c>
      <c r="L8" s="30" t="s">
        <v>300</v>
      </c>
      <c r="M8" s="31" t="s">
        <v>316</v>
      </c>
      <c r="N8" s="31" t="s">
        <v>314</v>
      </c>
      <c r="O8" s="31" t="s">
        <v>147</v>
      </c>
      <c r="P8" s="31" t="s">
        <v>147</v>
      </c>
      <c r="Q8" s="31" t="s">
        <v>60</v>
      </c>
      <c r="R8" s="32" t="s">
        <v>89</v>
      </c>
      <c r="S8" s="32" t="s">
        <v>58</v>
      </c>
      <c r="T8" s="32"/>
      <c r="U8" s="30" t="s">
        <v>28</v>
      </c>
      <c r="V8" s="30" t="s">
        <v>174</v>
      </c>
      <c r="W8" s="33"/>
      <c r="X8" s="33"/>
      <c r="Y8" s="34">
        <v>7.0602739726027401</v>
      </c>
      <c r="Z8" s="34">
        <f t="shared" si="9"/>
        <v>374.89315068493153</v>
      </c>
      <c r="AA8" s="34">
        <f t="shared" ca="1" si="4"/>
        <v>3498.4166666666665</v>
      </c>
      <c r="AB8" s="33"/>
      <c r="AC8" s="33"/>
      <c r="AD8" s="34" t="str">
        <f t="shared" si="10"/>
        <v>NaN</v>
      </c>
      <c r="AE8" s="34" t="str">
        <f t="shared" si="6"/>
        <v>NaN</v>
      </c>
      <c r="AF8" s="34" t="s">
        <v>62</v>
      </c>
      <c r="AG8" s="30" t="s">
        <v>61</v>
      </c>
      <c r="AH8" s="30">
        <v>1</v>
      </c>
      <c r="AI8" s="30" t="s">
        <v>60</v>
      </c>
      <c r="AJ8" s="35" t="str">
        <f t="shared" ca="1" si="7"/>
        <v>NaN</v>
      </c>
      <c r="AK8" s="30" t="s">
        <v>62</v>
      </c>
      <c r="AL8" s="30" t="s">
        <v>27</v>
      </c>
      <c r="AM8" s="30" t="s">
        <v>60</v>
      </c>
      <c r="AN8" s="30" t="s">
        <v>59</v>
      </c>
      <c r="AO8" s="36" t="s">
        <v>71</v>
      </c>
      <c r="AP8" s="36" t="s">
        <v>71</v>
      </c>
      <c r="AQ8" s="36" t="s">
        <v>71</v>
      </c>
      <c r="AR8" s="37" t="str">
        <f>IF(ISERROR(VLOOKUP(H8,[1]Tabelle1!$C$3:$BR$42,16,0)),"N/A",VLOOKUP(H8,[1]Tabelle1!$C$3:$BR$42,16,0))</f>
        <v>N/A</v>
      </c>
      <c r="AS8" s="37" t="str">
        <f>IF(ISERROR(VLOOKUP(H8,[1]Tabelle1!$C$3:$BR$42,17,0)),"N/A",VLOOKUP(H8,[1]Tabelle1!$C$3:$BR$42,17,0))</f>
        <v>N/A</v>
      </c>
      <c r="AT8" s="36" t="s">
        <v>71</v>
      </c>
      <c r="AU8" s="36" t="s">
        <v>71</v>
      </c>
      <c r="AV8" s="36" t="s">
        <v>71</v>
      </c>
      <c r="AW8" s="36" t="s">
        <v>71</v>
      </c>
      <c r="AX8" s="36" t="s">
        <v>71</v>
      </c>
      <c r="AY8" s="36" t="s">
        <v>71</v>
      </c>
      <c r="AZ8" s="36" t="s">
        <v>71</v>
      </c>
      <c r="BA8" s="36" t="s">
        <v>71</v>
      </c>
      <c r="BB8" s="36" t="s">
        <v>71</v>
      </c>
      <c r="BC8" s="36" t="s">
        <v>71</v>
      </c>
      <c r="BD8" s="36" t="s">
        <v>71</v>
      </c>
      <c r="BE8" s="36" t="s">
        <v>71</v>
      </c>
      <c r="BF8" s="36" t="s">
        <v>71</v>
      </c>
      <c r="BG8" s="36" t="s">
        <v>71</v>
      </c>
      <c r="BH8" s="36" t="s">
        <v>71</v>
      </c>
      <c r="BI8" s="36" t="s">
        <v>71</v>
      </c>
      <c r="BJ8" s="36" t="s">
        <v>71</v>
      </c>
      <c r="BK8" s="36" t="s">
        <v>71</v>
      </c>
      <c r="BL8" s="36" t="s">
        <v>71</v>
      </c>
      <c r="BM8" s="36" t="s">
        <v>71</v>
      </c>
      <c r="BN8" s="36" t="s">
        <v>71</v>
      </c>
      <c r="BO8" s="36" t="s">
        <v>71</v>
      </c>
      <c r="BP8" s="36" t="s">
        <v>71</v>
      </c>
      <c r="BQ8" s="36" t="s">
        <v>71</v>
      </c>
      <c r="BR8" s="36" t="s">
        <v>71</v>
      </c>
      <c r="BS8" s="36" t="s">
        <v>71</v>
      </c>
      <c r="BT8" s="36" t="s">
        <v>71</v>
      </c>
      <c r="BU8" s="30" t="s">
        <v>74</v>
      </c>
      <c r="BV8" s="38">
        <v>0</v>
      </c>
      <c r="BW8" s="30" t="s">
        <v>72</v>
      </c>
      <c r="BX8" s="38" t="s">
        <v>71</v>
      </c>
      <c r="BY8" s="30" t="s">
        <v>74</v>
      </c>
      <c r="BZ8" s="38">
        <v>0</v>
      </c>
      <c r="CA8" s="30" t="s">
        <v>72</v>
      </c>
      <c r="CB8" s="38">
        <v>0.2</v>
      </c>
      <c r="CC8" s="30" t="s">
        <v>72</v>
      </c>
      <c r="CD8" s="38">
        <v>0.2</v>
      </c>
      <c r="CE8" s="30" t="s">
        <v>60</v>
      </c>
      <c r="CF8" s="38" t="s">
        <v>71</v>
      </c>
      <c r="CG8" s="30" t="s">
        <v>72</v>
      </c>
      <c r="CH8" s="38">
        <v>0.5</v>
      </c>
      <c r="CI8" s="30" t="s">
        <v>60</v>
      </c>
      <c r="CJ8" s="38" t="s">
        <v>71</v>
      </c>
      <c r="CK8" s="30" t="s">
        <v>60</v>
      </c>
      <c r="CL8" s="38" t="s">
        <v>71</v>
      </c>
      <c r="CM8" s="30" t="s">
        <v>72</v>
      </c>
      <c r="CN8" s="38">
        <v>0.25</v>
      </c>
      <c r="CO8" s="30" t="s">
        <v>74</v>
      </c>
      <c r="CP8" s="38">
        <v>0</v>
      </c>
      <c r="CQ8" s="30" t="s">
        <v>74</v>
      </c>
      <c r="CR8" s="38">
        <v>0</v>
      </c>
      <c r="CS8" s="38" t="s">
        <v>60</v>
      </c>
      <c r="CT8" s="38" t="s">
        <v>71</v>
      </c>
      <c r="CU8" s="38" t="s">
        <v>60</v>
      </c>
      <c r="CV8" s="38" t="s">
        <v>71</v>
      </c>
      <c r="CW8" s="38" t="s">
        <v>60</v>
      </c>
      <c r="CX8" s="38" t="s">
        <v>71</v>
      </c>
      <c r="CY8" s="38" t="s">
        <v>60</v>
      </c>
      <c r="CZ8" s="38" t="s">
        <v>71</v>
      </c>
      <c r="DA8" s="38" t="s">
        <v>60</v>
      </c>
      <c r="DB8" s="38" t="s">
        <v>71</v>
      </c>
      <c r="DC8" s="38" t="s">
        <v>60</v>
      </c>
      <c r="DD8" s="38" t="s">
        <v>71</v>
      </c>
      <c r="DE8" s="137" t="str">
        <f t="shared" si="8"/>
        <v>3&lt;YEARS OLD&lt;9</v>
      </c>
      <c r="DF8" s="137">
        <f t="shared" si="1"/>
        <v>1</v>
      </c>
      <c r="DI8" s="8"/>
    </row>
    <row r="9" spans="1:113" x14ac:dyDescent="0.2">
      <c r="A9" s="160"/>
      <c r="B9" s="5">
        <f t="shared" si="11"/>
        <v>7</v>
      </c>
      <c r="C9" s="27" t="str">
        <f t="shared" si="2"/>
        <v>CNS20</v>
      </c>
      <c r="D9" s="27"/>
      <c r="E9" s="27" t="str">
        <f t="shared" si="0"/>
        <v>CNS20_NEOPLASM</v>
      </c>
      <c r="F9" s="27" t="s">
        <v>6</v>
      </c>
      <c r="G9" s="28">
        <v>20</v>
      </c>
      <c r="H9" s="29"/>
      <c r="I9" s="29"/>
      <c r="J9" s="30" t="s">
        <v>24</v>
      </c>
      <c r="K9" s="30" t="s">
        <v>26</v>
      </c>
      <c r="L9" s="30" t="s">
        <v>300</v>
      </c>
      <c r="M9" s="31" t="s">
        <v>316</v>
      </c>
      <c r="N9" s="31" t="s">
        <v>314</v>
      </c>
      <c r="O9" s="31" t="s">
        <v>147</v>
      </c>
      <c r="P9" s="31" t="s">
        <v>147</v>
      </c>
      <c r="Q9" s="31" t="s">
        <v>60</v>
      </c>
      <c r="R9" s="32" t="s">
        <v>80</v>
      </c>
      <c r="S9" s="32" t="s">
        <v>85</v>
      </c>
      <c r="T9" s="32"/>
      <c r="U9" s="30" t="s">
        <v>28</v>
      </c>
      <c r="V9" s="30" t="s">
        <v>174</v>
      </c>
      <c r="W9" s="33"/>
      <c r="X9" s="33"/>
      <c r="Y9" s="34">
        <v>10.03013698630137</v>
      </c>
      <c r="Z9" s="34">
        <f t="shared" si="9"/>
        <v>517.44657534246574</v>
      </c>
      <c r="AA9" s="34">
        <f t="shared" ca="1" si="4"/>
        <v>3498.4166666666665</v>
      </c>
      <c r="AB9" s="33"/>
      <c r="AC9" s="33"/>
      <c r="AD9" s="34" t="str">
        <f t="shared" si="10"/>
        <v>NaN</v>
      </c>
      <c r="AE9" s="34" t="str">
        <f t="shared" si="6"/>
        <v>NaN</v>
      </c>
      <c r="AF9" s="34" t="s">
        <v>68</v>
      </c>
      <c r="AG9" s="30" t="s">
        <v>61</v>
      </c>
      <c r="AH9" s="30">
        <v>1</v>
      </c>
      <c r="AI9" s="30" t="s">
        <v>60</v>
      </c>
      <c r="AJ9" s="35" t="str">
        <f t="shared" ca="1" si="7"/>
        <v>NaN</v>
      </c>
      <c r="AK9" s="30" t="s">
        <v>60</v>
      </c>
      <c r="AL9" s="30" t="s">
        <v>60</v>
      </c>
      <c r="AM9" s="30" t="s">
        <v>60</v>
      </c>
      <c r="AN9" s="30" t="s">
        <v>60</v>
      </c>
      <c r="AO9" s="36" t="s">
        <v>71</v>
      </c>
      <c r="AP9" s="36" t="s">
        <v>71</v>
      </c>
      <c r="AQ9" s="36" t="s">
        <v>71</v>
      </c>
      <c r="AR9" s="37" t="str">
        <f>IF(ISERROR(VLOOKUP(H9,[1]Tabelle1!$C$3:$BR$42,16,0)),"N/A",VLOOKUP(H9,[1]Tabelle1!$C$3:$BR$42,16,0))</f>
        <v>N/A</v>
      </c>
      <c r="AS9" s="37" t="str">
        <f>IF(ISERROR(VLOOKUP(H9,[1]Tabelle1!$C$3:$BR$42,17,0)),"N/A",VLOOKUP(H9,[1]Tabelle1!$C$3:$BR$42,17,0))</f>
        <v>N/A</v>
      </c>
      <c r="AT9" s="36" t="s">
        <v>71</v>
      </c>
      <c r="AU9" s="36" t="s">
        <v>71</v>
      </c>
      <c r="AV9" s="36" t="s">
        <v>71</v>
      </c>
      <c r="AW9" s="36" t="s">
        <v>71</v>
      </c>
      <c r="AX9" s="36" t="s">
        <v>71</v>
      </c>
      <c r="AY9" s="36" t="s">
        <v>71</v>
      </c>
      <c r="AZ9" s="36" t="s">
        <v>71</v>
      </c>
      <c r="BA9" s="36" t="s">
        <v>71</v>
      </c>
      <c r="BB9" s="36" t="s">
        <v>71</v>
      </c>
      <c r="BC9" s="36" t="s">
        <v>71</v>
      </c>
      <c r="BD9" s="36" t="s">
        <v>71</v>
      </c>
      <c r="BE9" s="36" t="s">
        <v>71</v>
      </c>
      <c r="BF9" s="36" t="s">
        <v>71</v>
      </c>
      <c r="BG9" s="36" t="s">
        <v>71</v>
      </c>
      <c r="BH9" s="36" t="s">
        <v>71</v>
      </c>
      <c r="BI9" s="36" t="s">
        <v>71</v>
      </c>
      <c r="BJ9" s="36" t="s">
        <v>71</v>
      </c>
      <c r="BK9" s="36" t="s">
        <v>71</v>
      </c>
      <c r="BL9" s="36" t="s">
        <v>71</v>
      </c>
      <c r="BM9" s="36" t="s">
        <v>71</v>
      </c>
      <c r="BN9" s="36" t="s">
        <v>71</v>
      </c>
      <c r="BO9" s="36" t="s">
        <v>71</v>
      </c>
      <c r="BP9" s="36" t="s">
        <v>71</v>
      </c>
      <c r="BQ9" s="36" t="s">
        <v>71</v>
      </c>
      <c r="BR9" s="36" t="s">
        <v>71</v>
      </c>
      <c r="BS9" s="36" t="s">
        <v>71</v>
      </c>
      <c r="BT9" s="36" t="s">
        <v>71</v>
      </c>
      <c r="BU9" s="30" t="s">
        <v>72</v>
      </c>
      <c r="BV9" s="38" t="s">
        <v>71</v>
      </c>
      <c r="BW9" s="30" t="s">
        <v>72</v>
      </c>
      <c r="BX9" s="38">
        <v>0.2</v>
      </c>
      <c r="BY9" s="30" t="s">
        <v>74</v>
      </c>
      <c r="BZ9" s="38">
        <v>0</v>
      </c>
      <c r="CA9" s="30" t="s">
        <v>72</v>
      </c>
      <c r="CB9" s="38">
        <v>0.18</v>
      </c>
      <c r="CC9" s="30" t="s">
        <v>74</v>
      </c>
      <c r="CD9" s="38">
        <v>0</v>
      </c>
      <c r="CE9" s="30" t="s">
        <v>72</v>
      </c>
      <c r="CF9" s="38">
        <v>0.5</v>
      </c>
      <c r="CG9" s="30" t="s">
        <v>72</v>
      </c>
      <c r="CH9" s="38">
        <v>0.35</v>
      </c>
      <c r="CI9" s="30" t="s">
        <v>60</v>
      </c>
      <c r="CJ9" s="38" t="s">
        <v>71</v>
      </c>
      <c r="CK9" s="30" t="s">
        <v>72</v>
      </c>
      <c r="CL9" s="38">
        <v>0.97</v>
      </c>
      <c r="CM9" s="30" t="s">
        <v>72</v>
      </c>
      <c r="CN9" s="38">
        <v>0.3</v>
      </c>
      <c r="CO9" s="30" t="s">
        <v>74</v>
      </c>
      <c r="CP9" s="38">
        <v>0</v>
      </c>
      <c r="CQ9" s="30" t="s">
        <v>74</v>
      </c>
      <c r="CR9" s="38">
        <v>0</v>
      </c>
      <c r="CS9" s="38" t="s">
        <v>60</v>
      </c>
      <c r="CT9" s="38" t="s">
        <v>71</v>
      </c>
      <c r="CU9" s="38" t="s">
        <v>60</v>
      </c>
      <c r="CV9" s="38" t="s">
        <v>71</v>
      </c>
      <c r="CW9" s="38" t="s">
        <v>60</v>
      </c>
      <c r="CX9" s="38" t="s">
        <v>71</v>
      </c>
      <c r="CY9" s="38" t="s">
        <v>60</v>
      </c>
      <c r="CZ9" s="38" t="s">
        <v>71</v>
      </c>
      <c r="DA9" s="38" t="s">
        <v>60</v>
      </c>
      <c r="DB9" s="38" t="s">
        <v>71</v>
      </c>
      <c r="DC9" s="38" t="s">
        <v>60</v>
      </c>
      <c r="DD9" s="38" t="s">
        <v>71</v>
      </c>
      <c r="DE9" s="137" t="str">
        <f t="shared" si="8"/>
        <v>9&lt; YEARS OLD</v>
      </c>
      <c r="DF9" s="137">
        <f t="shared" si="1"/>
        <v>1</v>
      </c>
    </row>
    <row r="10" spans="1:113" x14ac:dyDescent="0.2">
      <c r="A10" s="160"/>
      <c r="B10" s="5">
        <f t="shared" si="11"/>
        <v>8</v>
      </c>
      <c r="C10" s="39" t="str">
        <f t="shared" si="2"/>
        <v>CNS22</v>
      </c>
      <c r="D10" s="39"/>
      <c r="E10" s="40" t="str">
        <f t="shared" si="0"/>
        <v>CNS22_CONTROL</v>
      </c>
      <c r="F10" s="39" t="s">
        <v>7</v>
      </c>
      <c r="G10" s="41">
        <v>22</v>
      </c>
      <c r="H10" s="42"/>
      <c r="I10" s="42"/>
      <c r="J10" s="43" t="s">
        <v>25</v>
      </c>
      <c r="K10" s="43" t="s">
        <v>26</v>
      </c>
      <c r="L10" s="43" t="s">
        <v>301</v>
      </c>
      <c r="M10" s="44" t="s">
        <v>81</v>
      </c>
      <c r="N10" s="44" t="s">
        <v>81</v>
      </c>
      <c r="O10" s="44" t="s">
        <v>81</v>
      </c>
      <c r="P10" s="44" t="s">
        <v>309</v>
      </c>
      <c r="Q10" s="44" t="s">
        <v>81</v>
      </c>
      <c r="R10" s="45" t="s">
        <v>89</v>
      </c>
      <c r="S10" s="45" t="s">
        <v>90</v>
      </c>
      <c r="T10" s="45"/>
      <c r="U10" s="43" t="s">
        <v>81</v>
      </c>
      <c r="V10" s="43" t="s">
        <v>60</v>
      </c>
      <c r="W10" s="46"/>
      <c r="X10" s="46"/>
      <c r="Y10" s="47" t="s">
        <v>71</v>
      </c>
      <c r="Z10" s="47" t="str">
        <f>IF(ISERROR((Y10*12*4)+36),"NaN",(Y10*12*4)+36)</f>
        <v>NaN</v>
      </c>
      <c r="AA10" s="47">
        <f t="shared" ca="1" si="4"/>
        <v>3498.4166666666665</v>
      </c>
      <c r="AB10" s="46"/>
      <c r="AC10" s="46"/>
      <c r="AD10" s="47" t="str">
        <f>IF(ISERROR(IF(OR(ISERROR((AB10-X10)),(AB10-X10)/365=0),"NaN",(AB10-X10))),"NaN",IF(OR(ISERROR((AB10-X10)),(AB10-X10)/365=0),"NaN",(AB10-X10)))</f>
        <v>NaN</v>
      </c>
      <c r="AE10" s="47" t="str">
        <f t="shared" si="6"/>
        <v>NaN</v>
      </c>
      <c r="AF10" s="47" t="s">
        <v>68</v>
      </c>
      <c r="AG10" s="43" t="s">
        <v>81</v>
      </c>
      <c r="AH10" s="43" t="s">
        <v>71</v>
      </c>
      <c r="AI10" s="43" t="s">
        <v>60</v>
      </c>
      <c r="AJ10" s="48" t="str">
        <f t="shared" ca="1" si="7"/>
        <v>NaN</v>
      </c>
      <c r="AK10" s="43" t="s">
        <v>81</v>
      </c>
      <c r="AL10" s="43" t="s">
        <v>60</v>
      </c>
      <c r="AM10" s="43" t="s">
        <v>60</v>
      </c>
      <c r="AN10" s="43" t="s">
        <v>60</v>
      </c>
      <c r="AO10" s="49" t="s">
        <v>71</v>
      </c>
      <c r="AP10" s="49" t="s">
        <v>71</v>
      </c>
      <c r="AQ10" s="49" t="s">
        <v>71</v>
      </c>
      <c r="AR10" s="49" t="s">
        <v>71</v>
      </c>
      <c r="AS10" s="49" t="s">
        <v>71</v>
      </c>
      <c r="AT10" s="49" t="s">
        <v>71</v>
      </c>
      <c r="AU10" s="49" t="s">
        <v>71</v>
      </c>
      <c r="AV10" s="49" t="s">
        <v>71</v>
      </c>
      <c r="AW10" s="49" t="s">
        <v>71</v>
      </c>
      <c r="AX10" s="49" t="s">
        <v>71</v>
      </c>
      <c r="AY10" s="49" t="s">
        <v>71</v>
      </c>
      <c r="AZ10" s="49" t="s">
        <v>71</v>
      </c>
      <c r="BA10" s="49" t="s">
        <v>71</v>
      </c>
      <c r="BB10" s="49" t="s">
        <v>71</v>
      </c>
      <c r="BC10" s="49" t="s">
        <v>71</v>
      </c>
      <c r="BD10" s="49" t="s">
        <v>71</v>
      </c>
      <c r="BE10" s="49" t="s">
        <v>71</v>
      </c>
      <c r="BF10" s="49" t="s">
        <v>71</v>
      </c>
      <c r="BG10" s="49" t="s">
        <v>71</v>
      </c>
      <c r="BH10" s="49" t="s">
        <v>71</v>
      </c>
      <c r="BI10" s="49" t="s">
        <v>71</v>
      </c>
      <c r="BJ10" s="49" t="s">
        <v>71</v>
      </c>
      <c r="BK10" s="49" t="s">
        <v>71</v>
      </c>
      <c r="BL10" s="49" t="s">
        <v>71</v>
      </c>
      <c r="BM10" s="49" t="s">
        <v>71</v>
      </c>
      <c r="BN10" s="49" t="s">
        <v>71</v>
      </c>
      <c r="BO10" s="49" t="s">
        <v>71</v>
      </c>
      <c r="BP10" s="49" t="s">
        <v>71</v>
      </c>
      <c r="BQ10" s="49" t="s">
        <v>71</v>
      </c>
      <c r="BR10" s="49" t="s">
        <v>71</v>
      </c>
      <c r="BS10" s="49" t="s">
        <v>71</v>
      </c>
      <c r="BT10" s="49" t="s">
        <v>71</v>
      </c>
      <c r="BU10" s="43" t="s">
        <v>81</v>
      </c>
      <c r="BV10" s="50" t="s">
        <v>71</v>
      </c>
      <c r="BW10" s="43" t="s">
        <v>81</v>
      </c>
      <c r="BX10" s="50" t="s">
        <v>71</v>
      </c>
      <c r="BY10" s="43" t="s">
        <v>81</v>
      </c>
      <c r="BZ10" s="50" t="s">
        <v>71</v>
      </c>
      <c r="CA10" s="43" t="s">
        <v>81</v>
      </c>
      <c r="CB10" s="50" t="s">
        <v>71</v>
      </c>
      <c r="CC10" s="43" t="s">
        <v>81</v>
      </c>
      <c r="CD10" s="50" t="s">
        <v>71</v>
      </c>
      <c r="CE10" s="43" t="s">
        <v>81</v>
      </c>
      <c r="CF10" s="50" t="s">
        <v>71</v>
      </c>
      <c r="CG10" s="43" t="s">
        <v>81</v>
      </c>
      <c r="CH10" s="50" t="s">
        <v>71</v>
      </c>
      <c r="CI10" s="43" t="s">
        <v>81</v>
      </c>
      <c r="CJ10" s="50" t="s">
        <v>71</v>
      </c>
      <c r="CK10" s="43" t="s">
        <v>81</v>
      </c>
      <c r="CL10" s="50" t="s">
        <v>71</v>
      </c>
      <c r="CM10" s="43" t="s">
        <v>81</v>
      </c>
      <c r="CN10" s="50" t="s">
        <v>71</v>
      </c>
      <c r="CO10" s="43" t="s">
        <v>81</v>
      </c>
      <c r="CP10" s="50" t="s">
        <v>71</v>
      </c>
      <c r="CQ10" s="43" t="s">
        <v>81</v>
      </c>
      <c r="CR10" s="50" t="s">
        <v>71</v>
      </c>
      <c r="CS10" s="43" t="s">
        <v>81</v>
      </c>
      <c r="CT10" s="50" t="s">
        <v>71</v>
      </c>
      <c r="CU10" s="43" t="s">
        <v>81</v>
      </c>
      <c r="CV10" s="50" t="s">
        <v>71</v>
      </c>
      <c r="CW10" s="43" t="s">
        <v>81</v>
      </c>
      <c r="CX10" s="50" t="s">
        <v>71</v>
      </c>
      <c r="CY10" s="43" t="s">
        <v>81</v>
      </c>
      <c r="CZ10" s="50" t="s">
        <v>71</v>
      </c>
      <c r="DA10" s="43" t="s">
        <v>81</v>
      </c>
      <c r="DB10" s="50" t="s">
        <v>71</v>
      </c>
      <c r="DC10" s="43" t="s">
        <v>81</v>
      </c>
      <c r="DD10" s="50" t="s">
        <v>71</v>
      </c>
      <c r="DE10" s="137" t="str">
        <f t="shared" si="8"/>
        <v>9&lt; YEARS OLD</v>
      </c>
      <c r="DF10" s="137">
        <f t="shared" si="1"/>
        <v>0</v>
      </c>
    </row>
    <row r="11" spans="1:113" x14ac:dyDescent="0.2">
      <c r="A11" s="160"/>
      <c r="B11" s="5">
        <f t="shared" si="11"/>
        <v>9</v>
      </c>
      <c r="C11" s="39" t="str">
        <f t="shared" si="2"/>
        <v>CNS23</v>
      </c>
      <c r="D11" s="39"/>
      <c r="E11" s="40" t="str">
        <f t="shared" si="0"/>
        <v>CNS23_CONTROL</v>
      </c>
      <c r="F11" s="39" t="s">
        <v>8</v>
      </c>
      <c r="G11" s="41">
        <v>23</v>
      </c>
      <c r="H11" s="42"/>
      <c r="I11" s="42"/>
      <c r="J11" s="43" t="s">
        <v>25</v>
      </c>
      <c r="K11" s="43" t="s">
        <v>26</v>
      </c>
      <c r="L11" s="43" t="s">
        <v>301</v>
      </c>
      <c r="M11" s="44" t="s">
        <v>81</v>
      </c>
      <c r="N11" s="44" t="s">
        <v>81</v>
      </c>
      <c r="O11" s="44" t="s">
        <v>81</v>
      </c>
      <c r="P11" s="44" t="s">
        <v>309</v>
      </c>
      <c r="Q11" s="44" t="s">
        <v>81</v>
      </c>
      <c r="R11" s="45" t="s">
        <v>80</v>
      </c>
      <c r="S11" s="45" t="s">
        <v>60</v>
      </c>
      <c r="T11" s="45"/>
      <c r="U11" s="43" t="s">
        <v>81</v>
      </c>
      <c r="V11" s="43" t="s">
        <v>60</v>
      </c>
      <c r="W11" s="46"/>
      <c r="X11" s="46"/>
      <c r="Y11" s="47" t="s">
        <v>71</v>
      </c>
      <c r="Z11" s="47" t="str">
        <f t="shared" ref="Z11:Z40" si="12">IF(ISERROR((Y11*12*4)+36),"NaN",(Y11*12*4)+36)</f>
        <v>NaN</v>
      </c>
      <c r="AA11" s="47">
        <f t="shared" ca="1" si="4"/>
        <v>3498.4166666666665</v>
      </c>
      <c r="AB11" s="46"/>
      <c r="AC11" s="46"/>
      <c r="AD11" s="47" t="str">
        <f t="shared" ref="AD11:AD28" si="13">IF(ISERROR(IF(OR(ISERROR((AB11-X11)),(AB11-X11)/365=0),"NaN",(AB11-X11))),"NaN",IF(OR(ISERROR((AB11-X11)),(AB11-X11)/365=0),"NaN",(AB11-X11)))</f>
        <v>NaN</v>
      </c>
      <c r="AE11" s="47" t="str">
        <f t="shared" si="6"/>
        <v>NaN</v>
      </c>
      <c r="AF11" s="47" t="s">
        <v>68</v>
      </c>
      <c r="AG11" s="43" t="s">
        <v>81</v>
      </c>
      <c r="AH11" s="43" t="s">
        <v>71</v>
      </c>
      <c r="AI11" s="43" t="s">
        <v>60</v>
      </c>
      <c r="AJ11" s="48" t="str">
        <f t="shared" ca="1" si="7"/>
        <v>NaN</v>
      </c>
      <c r="AK11" s="43" t="s">
        <v>81</v>
      </c>
      <c r="AL11" s="43" t="s">
        <v>60</v>
      </c>
      <c r="AM11" s="43" t="s">
        <v>60</v>
      </c>
      <c r="AN11" s="43" t="s">
        <v>60</v>
      </c>
      <c r="AO11" s="49" t="s">
        <v>71</v>
      </c>
      <c r="AP11" s="49" t="s">
        <v>71</v>
      </c>
      <c r="AQ11" s="49" t="s">
        <v>71</v>
      </c>
      <c r="AR11" s="49" t="s">
        <v>71</v>
      </c>
      <c r="AS11" s="49" t="s">
        <v>71</v>
      </c>
      <c r="AT11" s="49" t="s">
        <v>71</v>
      </c>
      <c r="AU11" s="49" t="s">
        <v>71</v>
      </c>
      <c r="AV11" s="49" t="s">
        <v>71</v>
      </c>
      <c r="AW11" s="49" t="s">
        <v>71</v>
      </c>
      <c r="AX11" s="49" t="s">
        <v>71</v>
      </c>
      <c r="AY11" s="49" t="s">
        <v>71</v>
      </c>
      <c r="AZ11" s="49" t="s">
        <v>71</v>
      </c>
      <c r="BA11" s="49" t="s">
        <v>71</v>
      </c>
      <c r="BB11" s="49" t="s">
        <v>71</v>
      </c>
      <c r="BC11" s="49" t="s">
        <v>71</v>
      </c>
      <c r="BD11" s="49" t="s">
        <v>71</v>
      </c>
      <c r="BE11" s="49" t="s">
        <v>71</v>
      </c>
      <c r="BF11" s="49" t="s">
        <v>71</v>
      </c>
      <c r="BG11" s="49" t="s">
        <v>71</v>
      </c>
      <c r="BH11" s="49" t="s">
        <v>71</v>
      </c>
      <c r="BI11" s="49" t="s">
        <v>71</v>
      </c>
      <c r="BJ11" s="49" t="s">
        <v>71</v>
      </c>
      <c r="BK11" s="49" t="s">
        <v>71</v>
      </c>
      <c r="BL11" s="49" t="s">
        <v>71</v>
      </c>
      <c r="BM11" s="49" t="s">
        <v>71</v>
      </c>
      <c r="BN11" s="49" t="s">
        <v>71</v>
      </c>
      <c r="BO11" s="49" t="s">
        <v>71</v>
      </c>
      <c r="BP11" s="49" t="s">
        <v>71</v>
      </c>
      <c r="BQ11" s="49" t="s">
        <v>71</v>
      </c>
      <c r="BR11" s="49" t="s">
        <v>71</v>
      </c>
      <c r="BS11" s="49" t="s">
        <v>71</v>
      </c>
      <c r="BT11" s="49" t="s">
        <v>71</v>
      </c>
      <c r="BU11" s="43" t="s">
        <v>81</v>
      </c>
      <c r="BV11" s="50" t="s">
        <v>71</v>
      </c>
      <c r="BW11" s="43" t="s">
        <v>81</v>
      </c>
      <c r="BX11" s="50" t="s">
        <v>71</v>
      </c>
      <c r="BY11" s="43" t="s">
        <v>81</v>
      </c>
      <c r="BZ11" s="50" t="s">
        <v>71</v>
      </c>
      <c r="CA11" s="43" t="s">
        <v>81</v>
      </c>
      <c r="CB11" s="50" t="s">
        <v>71</v>
      </c>
      <c r="CC11" s="43" t="s">
        <v>81</v>
      </c>
      <c r="CD11" s="50" t="s">
        <v>71</v>
      </c>
      <c r="CE11" s="43" t="s">
        <v>81</v>
      </c>
      <c r="CF11" s="50" t="s">
        <v>71</v>
      </c>
      <c r="CG11" s="43" t="s">
        <v>81</v>
      </c>
      <c r="CH11" s="50" t="s">
        <v>71</v>
      </c>
      <c r="CI11" s="43" t="s">
        <v>81</v>
      </c>
      <c r="CJ11" s="50" t="s">
        <v>71</v>
      </c>
      <c r="CK11" s="43" t="s">
        <v>81</v>
      </c>
      <c r="CL11" s="50" t="s">
        <v>71</v>
      </c>
      <c r="CM11" s="43" t="s">
        <v>81</v>
      </c>
      <c r="CN11" s="50" t="s">
        <v>71</v>
      </c>
      <c r="CO11" s="43" t="s">
        <v>81</v>
      </c>
      <c r="CP11" s="50" t="s">
        <v>71</v>
      </c>
      <c r="CQ11" s="43" t="s">
        <v>81</v>
      </c>
      <c r="CR11" s="50" t="s">
        <v>71</v>
      </c>
      <c r="CS11" s="43" t="s">
        <v>81</v>
      </c>
      <c r="CT11" s="50" t="s">
        <v>71</v>
      </c>
      <c r="CU11" s="43" t="s">
        <v>81</v>
      </c>
      <c r="CV11" s="50" t="s">
        <v>71</v>
      </c>
      <c r="CW11" s="43" t="s">
        <v>81</v>
      </c>
      <c r="CX11" s="50" t="s">
        <v>71</v>
      </c>
      <c r="CY11" s="43" t="s">
        <v>81</v>
      </c>
      <c r="CZ11" s="50" t="s">
        <v>71</v>
      </c>
      <c r="DA11" s="43" t="s">
        <v>81</v>
      </c>
      <c r="DB11" s="50" t="s">
        <v>71</v>
      </c>
      <c r="DC11" s="43" t="s">
        <v>81</v>
      </c>
      <c r="DD11" s="50" t="s">
        <v>71</v>
      </c>
      <c r="DE11" s="137" t="str">
        <f t="shared" si="8"/>
        <v>9&lt; YEARS OLD</v>
      </c>
      <c r="DF11" s="137">
        <f t="shared" si="1"/>
        <v>0</v>
      </c>
    </row>
    <row r="12" spans="1:113" x14ac:dyDescent="0.2">
      <c r="A12" s="160"/>
      <c r="B12" s="5">
        <f t="shared" si="11"/>
        <v>10</v>
      </c>
      <c r="C12" s="39" t="str">
        <f t="shared" si="2"/>
        <v>CNS24</v>
      </c>
      <c r="D12" s="39"/>
      <c r="E12" s="40" t="str">
        <f t="shared" si="0"/>
        <v>CNS24_CONTROL</v>
      </c>
      <c r="F12" s="39" t="s">
        <v>9</v>
      </c>
      <c r="G12" s="41">
        <v>24</v>
      </c>
      <c r="H12" s="42"/>
      <c r="I12" s="42"/>
      <c r="J12" s="43" t="s">
        <v>25</v>
      </c>
      <c r="K12" s="43" t="s">
        <v>26</v>
      </c>
      <c r="L12" s="43" t="s">
        <v>301</v>
      </c>
      <c r="M12" s="44" t="s">
        <v>81</v>
      </c>
      <c r="N12" s="44" t="s">
        <v>81</v>
      </c>
      <c r="O12" s="44" t="s">
        <v>81</v>
      </c>
      <c r="P12" s="44" t="s">
        <v>309</v>
      </c>
      <c r="Q12" s="44" t="s">
        <v>81</v>
      </c>
      <c r="R12" s="45" t="s">
        <v>92</v>
      </c>
      <c r="S12" s="45" t="s">
        <v>91</v>
      </c>
      <c r="T12" s="45"/>
      <c r="U12" s="43" t="s">
        <v>81</v>
      </c>
      <c r="V12" s="43" t="s">
        <v>60</v>
      </c>
      <c r="W12" s="46"/>
      <c r="X12" s="46"/>
      <c r="Y12" s="47" t="s">
        <v>71</v>
      </c>
      <c r="Z12" s="47" t="str">
        <f t="shared" si="12"/>
        <v>NaN</v>
      </c>
      <c r="AA12" s="47">
        <f t="shared" ca="1" si="4"/>
        <v>3498.4166666666665</v>
      </c>
      <c r="AB12" s="46"/>
      <c r="AC12" s="46"/>
      <c r="AD12" s="47" t="str">
        <f t="shared" si="13"/>
        <v>NaN</v>
      </c>
      <c r="AE12" s="47" t="str">
        <f t="shared" si="6"/>
        <v>NaN</v>
      </c>
      <c r="AF12" s="47" t="s">
        <v>68</v>
      </c>
      <c r="AG12" s="43" t="s">
        <v>81</v>
      </c>
      <c r="AH12" s="43" t="s">
        <v>71</v>
      </c>
      <c r="AI12" s="43" t="s">
        <v>60</v>
      </c>
      <c r="AJ12" s="48" t="str">
        <f t="shared" ca="1" si="7"/>
        <v>NaN</v>
      </c>
      <c r="AK12" s="43" t="s">
        <v>81</v>
      </c>
      <c r="AL12" s="43" t="s">
        <v>60</v>
      </c>
      <c r="AM12" s="43" t="s">
        <v>60</v>
      </c>
      <c r="AN12" s="43" t="s">
        <v>60</v>
      </c>
      <c r="AO12" s="49" t="s">
        <v>71</v>
      </c>
      <c r="AP12" s="49" t="s">
        <v>71</v>
      </c>
      <c r="AQ12" s="49" t="s">
        <v>71</v>
      </c>
      <c r="AR12" s="49" t="s">
        <v>71</v>
      </c>
      <c r="AS12" s="49" t="s">
        <v>71</v>
      </c>
      <c r="AT12" s="49" t="s">
        <v>71</v>
      </c>
      <c r="AU12" s="49" t="s">
        <v>71</v>
      </c>
      <c r="AV12" s="49" t="s">
        <v>71</v>
      </c>
      <c r="AW12" s="49" t="s">
        <v>71</v>
      </c>
      <c r="AX12" s="49" t="s">
        <v>71</v>
      </c>
      <c r="AY12" s="49" t="s">
        <v>71</v>
      </c>
      <c r="AZ12" s="49" t="s">
        <v>71</v>
      </c>
      <c r="BA12" s="49" t="s">
        <v>71</v>
      </c>
      <c r="BB12" s="49" t="s">
        <v>71</v>
      </c>
      <c r="BC12" s="49" t="s">
        <v>71</v>
      </c>
      <c r="BD12" s="49" t="s">
        <v>71</v>
      </c>
      <c r="BE12" s="49" t="s">
        <v>71</v>
      </c>
      <c r="BF12" s="49" t="s">
        <v>71</v>
      </c>
      <c r="BG12" s="49" t="s">
        <v>71</v>
      </c>
      <c r="BH12" s="49" t="s">
        <v>71</v>
      </c>
      <c r="BI12" s="49" t="s">
        <v>71</v>
      </c>
      <c r="BJ12" s="49" t="s">
        <v>71</v>
      </c>
      <c r="BK12" s="49" t="s">
        <v>71</v>
      </c>
      <c r="BL12" s="49" t="s">
        <v>71</v>
      </c>
      <c r="BM12" s="49" t="s">
        <v>71</v>
      </c>
      <c r="BN12" s="49" t="s">
        <v>71</v>
      </c>
      <c r="BO12" s="49" t="s">
        <v>71</v>
      </c>
      <c r="BP12" s="49" t="s">
        <v>71</v>
      </c>
      <c r="BQ12" s="49" t="s">
        <v>71</v>
      </c>
      <c r="BR12" s="49" t="s">
        <v>71</v>
      </c>
      <c r="BS12" s="49" t="s">
        <v>71</v>
      </c>
      <c r="BT12" s="49" t="s">
        <v>71</v>
      </c>
      <c r="BU12" s="43" t="s">
        <v>81</v>
      </c>
      <c r="BV12" s="50" t="s">
        <v>71</v>
      </c>
      <c r="BW12" s="43" t="s">
        <v>81</v>
      </c>
      <c r="BX12" s="50" t="s">
        <v>71</v>
      </c>
      <c r="BY12" s="43" t="s">
        <v>81</v>
      </c>
      <c r="BZ12" s="50" t="s">
        <v>71</v>
      </c>
      <c r="CA12" s="43" t="s">
        <v>81</v>
      </c>
      <c r="CB12" s="50" t="s">
        <v>71</v>
      </c>
      <c r="CC12" s="43" t="s">
        <v>81</v>
      </c>
      <c r="CD12" s="50" t="s">
        <v>71</v>
      </c>
      <c r="CE12" s="43" t="s">
        <v>81</v>
      </c>
      <c r="CF12" s="50" t="s">
        <v>71</v>
      </c>
      <c r="CG12" s="43" t="s">
        <v>81</v>
      </c>
      <c r="CH12" s="50" t="s">
        <v>71</v>
      </c>
      <c r="CI12" s="43" t="s">
        <v>81</v>
      </c>
      <c r="CJ12" s="50" t="s">
        <v>71</v>
      </c>
      <c r="CK12" s="43" t="s">
        <v>81</v>
      </c>
      <c r="CL12" s="50" t="s">
        <v>71</v>
      </c>
      <c r="CM12" s="43" t="s">
        <v>81</v>
      </c>
      <c r="CN12" s="50" t="s">
        <v>71</v>
      </c>
      <c r="CO12" s="43" t="s">
        <v>81</v>
      </c>
      <c r="CP12" s="50" t="s">
        <v>71</v>
      </c>
      <c r="CQ12" s="43" t="s">
        <v>81</v>
      </c>
      <c r="CR12" s="50" t="s">
        <v>71</v>
      </c>
      <c r="CS12" s="43" t="s">
        <v>81</v>
      </c>
      <c r="CT12" s="50" t="s">
        <v>71</v>
      </c>
      <c r="CU12" s="43" t="s">
        <v>81</v>
      </c>
      <c r="CV12" s="50" t="s">
        <v>71</v>
      </c>
      <c r="CW12" s="43" t="s">
        <v>81</v>
      </c>
      <c r="CX12" s="50" t="s">
        <v>71</v>
      </c>
      <c r="CY12" s="43" t="s">
        <v>81</v>
      </c>
      <c r="CZ12" s="50" t="s">
        <v>71</v>
      </c>
      <c r="DA12" s="43" t="s">
        <v>81</v>
      </c>
      <c r="DB12" s="50" t="s">
        <v>71</v>
      </c>
      <c r="DC12" s="43" t="s">
        <v>81</v>
      </c>
      <c r="DD12" s="50" t="s">
        <v>71</v>
      </c>
      <c r="DE12" s="137" t="str">
        <f t="shared" si="8"/>
        <v>9&lt; YEARS OLD</v>
      </c>
      <c r="DF12" s="137">
        <f t="shared" si="1"/>
        <v>0</v>
      </c>
    </row>
    <row r="13" spans="1:113" x14ac:dyDescent="0.2">
      <c r="A13" s="160"/>
      <c r="B13" s="5">
        <f t="shared" si="11"/>
        <v>11</v>
      </c>
      <c r="C13" s="39" t="str">
        <f t="shared" si="2"/>
        <v>CNS25</v>
      </c>
      <c r="D13" s="39"/>
      <c r="E13" s="40" t="str">
        <f t="shared" si="0"/>
        <v>CNS25_CONTROL</v>
      </c>
      <c r="F13" s="39" t="s">
        <v>10</v>
      </c>
      <c r="G13" s="41">
        <v>25</v>
      </c>
      <c r="H13" s="42"/>
      <c r="I13" s="42"/>
      <c r="J13" s="43" t="s">
        <v>25</v>
      </c>
      <c r="K13" s="43" t="s">
        <v>26</v>
      </c>
      <c r="L13" s="43" t="s">
        <v>301</v>
      </c>
      <c r="M13" s="44" t="s">
        <v>81</v>
      </c>
      <c r="N13" s="44" t="s">
        <v>81</v>
      </c>
      <c r="O13" s="44" t="s">
        <v>81</v>
      </c>
      <c r="P13" s="44" t="s">
        <v>309</v>
      </c>
      <c r="Q13" s="44" t="s">
        <v>81</v>
      </c>
      <c r="R13" s="45" t="s">
        <v>89</v>
      </c>
      <c r="S13" s="45" t="s">
        <v>93</v>
      </c>
      <c r="T13" s="45"/>
      <c r="U13" s="43" t="s">
        <v>81</v>
      </c>
      <c r="V13" s="43" t="s">
        <v>60</v>
      </c>
      <c r="W13" s="46"/>
      <c r="X13" s="46"/>
      <c r="Y13" s="47" t="s">
        <v>71</v>
      </c>
      <c r="Z13" s="47" t="str">
        <f t="shared" si="12"/>
        <v>NaN</v>
      </c>
      <c r="AA13" s="47">
        <f t="shared" ca="1" si="4"/>
        <v>3498.4166666666665</v>
      </c>
      <c r="AB13" s="46"/>
      <c r="AC13" s="46"/>
      <c r="AD13" s="47" t="str">
        <f t="shared" si="13"/>
        <v>NaN</v>
      </c>
      <c r="AE13" s="47" t="str">
        <f t="shared" si="6"/>
        <v>NaN</v>
      </c>
      <c r="AF13" s="47" t="s">
        <v>68</v>
      </c>
      <c r="AG13" s="43" t="s">
        <v>81</v>
      </c>
      <c r="AH13" s="43" t="s">
        <v>71</v>
      </c>
      <c r="AI13" s="43" t="s">
        <v>60</v>
      </c>
      <c r="AJ13" s="48" t="str">
        <f t="shared" ca="1" si="7"/>
        <v>NaN</v>
      </c>
      <c r="AK13" s="43" t="s">
        <v>81</v>
      </c>
      <c r="AL13" s="43" t="s">
        <v>60</v>
      </c>
      <c r="AM13" s="43" t="s">
        <v>60</v>
      </c>
      <c r="AN13" s="43" t="s">
        <v>60</v>
      </c>
      <c r="AO13" s="49" t="s">
        <v>71</v>
      </c>
      <c r="AP13" s="49" t="s">
        <v>71</v>
      </c>
      <c r="AQ13" s="49" t="s">
        <v>71</v>
      </c>
      <c r="AR13" s="49" t="s">
        <v>71</v>
      </c>
      <c r="AS13" s="49" t="s">
        <v>71</v>
      </c>
      <c r="AT13" s="49" t="s">
        <v>71</v>
      </c>
      <c r="AU13" s="49" t="s">
        <v>71</v>
      </c>
      <c r="AV13" s="49" t="s">
        <v>71</v>
      </c>
      <c r="AW13" s="49" t="s">
        <v>71</v>
      </c>
      <c r="AX13" s="49" t="s">
        <v>71</v>
      </c>
      <c r="AY13" s="49" t="s">
        <v>71</v>
      </c>
      <c r="AZ13" s="49" t="s">
        <v>71</v>
      </c>
      <c r="BA13" s="49" t="s">
        <v>71</v>
      </c>
      <c r="BB13" s="49" t="s">
        <v>71</v>
      </c>
      <c r="BC13" s="49" t="s">
        <v>71</v>
      </c>
      <c r="BD13" s="49" t="s">
        <v>71</v>
      </c>
      <c r="BE13" s="49" t="s">
        <v>71</v>
      </c>
      <c r="BF13" s="49" t="s">
        <v>71</v>
      </c>
      <c r="BG13" s="49" t="s">
        <v>71</v>
      </c>
      <c r="BH13" s="49" t="s">
        <v>71</v>
      </c>
      <c r="BI13" s="49" t="s">
        <v>71</v>
      </c>
      <c r="BJ13" s="49" t="s">
        <v>71</v>
      </c>
      <c r="BK13" s="49" t="s">
        <v>71</v>
      </c>
      <c r="BL13" s="49" t="s">
        <v>71</v>
      </c>
      <c r="BM13" s="49" t="s">
        <v>71</v>
      </c>
      <c r="BN13" s="49" t="s">
        <v>71</v>
      </c>
      <c r="BO13" s="49" t="s">
        <v>71</v>
      </c>
      <c r="BP13" s="49" t="s">
        <v>71</v>
      </c>
      <c r="BQ13" s="49" t="s">
        <v>71</v>
      </c>
      <c r="BR13" s="49" t="s">
        <v>71</v>
      </c>
      <c r="BS13" s="49" t="s">
        <v>71</v>
      </c>
      <c r="BT13" s="49" t="s">
        <v>71</v>
      </c>
      <c r="BU13" s="43" t="s">
        <v>81</v>
      </c>
      <c r="BV13" s="50" t="s">
        <v>71</v>
      </c>
      <c r="BW13" s="43" t="s">
        <v>81</v>
      </c>
      <c r="BX13" s="50" t="s">
        <v>71</v>
      </c>
      <c r="BY13" s="43" t="s">
        <v>81</v>
      </c>
      <c r="BZ13" s="50" t="s">
        <v>71</v>
      </c>
      <c r="CA13" s="43" t="s">
        <v>81</v>
      </c>
      <c r="CB13" s="50" t="s">
        <v>71</v>
      </c>
      <c r="CC13" s="43" t="s">
        <v>81</v>
      </c>
      <c r="CD13" s="50" t="s">
        <v>71</v>
      </c>
      <c r="CE13" s="43" t="s">
        <v>81</v>
      </c>
      <c r="CF13" s="50" t="s">
        <v>71</v>
      </c>
      <c r="CG13" s="43" t="s">
        <v>81</v>
      </c>
      <c r="CH13" s="50" t="s">
        <v>71</v>
      </c>
      <c r="CI13" s="43" t="s">
        <v>81</v>
      </c>
      <c r="CJ13" s="50" t="s">
        <v>71</v>
      </c>
      <c r="CK13" s="43" t="s">
        <v>81</v>
      </c>
      <c r="CL13" s="50" t="s">
        <v>71</v>
      </c>
      <c r="CM13" s="43" t="s">
        <v>81</v>
      </c>
      <c r="CN13" s="50" t="s">
        <v>71</v>
      </c>
      <c r="CO13" s="43" t="s">
        <v>81</v>
      </c>
      <c r="CP13" s="50" t="s">
        <v>71</v>
      </c>
      <c r="CQ13" s="43" t="s">
        <v>81</v>
      </c>
      <c r="CR13" s="50" t="s">
        <v>71</v>
      </c>
      <c r="CS13" s="43" t="s">
        <v>81</v>
      </c>
      <c r="CT13" s="50" t="s">
        <v>71</v>
      </c>
      <c r="CU13" s="43" t="s">
        <v>81</v>
      </c>
      <c r="CV13" s="50" t="s">
        <v>71</v>
      </c>
      <c r="CW13" s="43" t="s">
        <v>81</v>
      </c>
      <c r="CX13" s="50" t="s">
        <v>71</v>
      </c>
      <c r="CY13" s="43" t="s">
        <v>81</v>
      </c>
      <c r="CZ13" s="50" t="s">
        <v>71</v>
      </c>
      <c r="DA13" s="43" t="s">
        <v>81</v>
      </c>
      <c r="DB13" s="50" t="s">
        <v>71</v>
      </c>
      <c r="DC13" s="43" t="s">
        <v>81</v>
      </c>
      <c r="DD13" s="50" t="s">
        <v>71</v>
      </c>
      <c r="DE13" s="137" t="str">
        <f t="shared" si="8"/>
        <v>9&lt; YEARS OLD</v>
      </c>
      <c r="DF13" s="137">
        <f t="shared" si="1"/>
        <v>0</v>
      </c>
    </row>
    <row r="14" spans="1:113" x14ac:dyDescent="0.2">
      <c r="A14" s="160"/>
      <c r="B14" s="5">
        <f t="shared" si="11"/>
        <v>12</v>
      </c>
      <c r="C14" s="39" t="str">
        <f t="shared" si="2"/>
        <v>CNS26</v>
      </c>
      <c r="D14" s="39"/>
      <c r="E14" s="40" t="str">
        <f t="shared" si="0"/>
        <v>CNS26_NEOPLASM</v>
      </c>
      <c r="F14" s="39" t="s">
        <v>11</v>
      </c>
      <c r="G14" s="41">
        <v>26</v>
      </c>
      <c r="H14" s="51"/>
      <c r="I14" s="51"/>
      <c r="J14" s="43" t="s">
        <v>25</v>
      </c>
      <c r="K14" s="43" t="s">
        <v>26</v>
      </c>
      <c r="L14" s="43" t="s">
        <v>300</v>
      </c>
      <c r="M14" s="44" t="s">
        <v>316</v>
      </c>
      <c r="N14" s="44" t="s">
        <v>314</v>
      </c>
      <c r="O14" s="44" t="s">
        <v>147</v>
      </c>
      <c r="P14" s="44" t="s">
        <v>147</v>
      </c>
      <c r="Q14" s="44" t="s">
        <v>60</v>
      </c>
      <c r="R14" s="45" t="s">
        <v>80</v>
      </c>
      <c r="S14" s="45" t="s">
        <v>85</v>
      </c>
      <c r="T14" s="45"/>
      <c r="U14" s="43" t="s">
        <v>28</v>
      </c>
      <c r="V14" s="43" t="s">
        <v>174</v>
      </c>
      <c r="W14" s="46"/>
      <c r="X14" s="46"/>
      <c r="Y14" s="47">
        <v>8.6630136986301363</v>
      </c>
      <c r="Z14" s="47">
        <f t="shared" si="12"/>
        <v>451.82465753424651</v>
      </c>
      <c r="AA14" s="47">
        <f t="shared" ca="1" si="4"/>
        <v>3498.4166666666665</v>
      </c>
      <c r="AB14" s="46"/>
      <c r="AC14" s="46"/>
      <c r="AD14" s="47" t="str">
        <f t="shared" si="13"/>
        <v>NaN</v>
      </c>
      <c r="AE14" s="47" t="str">
        <f t="shared" si="6"/>
        <v>NaN</v>
      </c>
      <c r="AF14" s="47" t="s">
        <v>68</v>
      </c>
      <c r="AG14" s="43" t="s">
        <v>48</v>
      </c>
      <c r="AH14" s="43">
        <v>1</v>
      </c>
      <c r="AI14" s="43" t="s">
        <v>60</v>
      </c>
      <c r="AJ14" s="48">
        <f t="shared" ca="1" si="7"/>
        <v>115.01643835616439</v>
      </c>
      <c r="AK14" s="43" t="s">
        <v>63</v>
      </c>
      <c r="AL14" s="43" t="s">
        <v>60</v>
      </c>
      <c r="AM14" s="43" t="s">
        <v>60</v>
      </c>
      <c r="AN14" s="43" t="s">
        <v>60</v>
      </c>
      <c r="AO14" s="49">
        <v>8.51</v>
      </c>
      <c r="AP14" s="49">
        <v>13.8</v>
      </c>
      <c r="AQ14" s="50">
        <v>0.41599999999999998</v>
      </c>
      <c r="AR14" s="49" t="s">
        <v>71</v>
      </c>
      <c r="AS14" s="49" t="s">
        <v>71</v>
      </c>
      <c r="AT14" s="49">
        <v>213</v>
      </c>
      <c r="AU14" s="49" t="s">
        <v>71</v>
      </c>
      <c r="AV14" s="49" t="s">
        <v>71</v>
      </c>
      <c r="AW14" s="49" t="s">
        <v>71</v>
      </c>
      <c r="AX14" s="49" t="s">
        <v>71</v>
      </c>
      <c r="AY14" s="49" t="s">
        <v>71</v>
      </c>
      <c r="AZ14" s="49" t="s">
        <v>71</v>
      </c>
      <c r="BA14" s="49" t="s">
        <v>71</v>
      </c>
      <c r="BB14" s="49" t="s">
        <v>71</v>
      </c>
      <c r="BC14" s="49" t="s">
        <v>71</v>
      </c>
      <c r="BD14" s="49" t="s">
        <v>71</v>
      </c>
      <c r="BE14" s="49" t="s">
        <v>71</v>
      </c>
      <c r="BF14" s="49" t="s">
        <v>71</v>
      </c>
      <c r="BG14" s="49" t="s">
        <v>71</v>
      </c>
      <c r="BH14" s="49" t="s">
        <v>71</v>
      </c>
      <c r="BI14" s="49" t="s">
        <v>71</v>
      </c>
      <c r="BJ14" s="49" t="s">
        <v>71</v>
      </c>
      <c r="BK14" s="49" t="s">
        <v>71</v>
      </c>
      <c r="BL14" s="49" t="s">
        <v>71</v>
      </c>
      <c r="BM14" s="49" t="s">
        <v>71</v>
      </c>
      <c r="BN14" s="49" t="s">
        <v>71</v>
      </c>
      <c r="BO14" s="49" t="s">
        <v>71</v>
      </c>
      <c r="BP14" s="49" t="s">
        <v>71</v>
      </c>
      <c r="BQ14" s="49" t="s">
        <v>71</v>
      </c>
      <c r="BR14" s="49" t="s">
        <v>71</v>
      </c>
      <c r="BS14" s="49" t="s">
        <v>71</v>
      </c>
      <c r="BT14" s="49" t="s">
        <v>71</v>
      </c>
      <c r="BU14" s="43" t="s">
        <v>74</v>
      </c>
      <c r="BV14" s="50">
        <v>0</v>
      </c>
      <c r="BW14" s="43" t="s">
        <v>60</v>
      </c>
      <c r="BX14" s="50" t="s">
        <v>71</v>
      </c>
      <c r="BY14" s="43" t="s">
        <v>74</v>
      </c>
      <c r="BZ14" s="50">
        <v>0</v>
      </c>
      <c r="CA14" s="43" t="s">
        <v>72</v>
      </c>
      <c r="CB14" s="50">
        <v>0.05</v>
      </c>
      <c r="CC14" s="43" t="s">
        <v>72</v>
      </c>
      <c r="CD14" s="50">
        <v>0.1</v>
      </c>
      <c r="CE14" s="43" t="s">
        <v>60</v>
      </c>
      <c r="CF14" s="50" t="s">
        <v>71</v>
      </c>
      <c r="CG14" s="52" t="s">
        <v>74</v>
      </c>
      <c r="CH14" s="50">
        <v>0</v>
      </c>
      <c r="CI14" s="43" t="s">
        <v>60</v>
      </c>
      <c r="CJ14" s="50" t="s">
        <v>71</v>
      </c>
      <c r="CK14" s="43" t="s">
        <v>60</v>
      </c>
      <c r="CL14" s="50" t="s">
        <v>71</v>
      </c>
      <c r="CM14" s="43" t="s">
        <v>72</v>
      </c>
      <c r="CN14" s="50">
        <v>0.25</v>
      </c>
      <c r="CO14" s="43" t="s">
        <v>74</v>
      </c>
      <c r="CP14" s="50">
        <v>0</v>
      </c>
      <c r="CQ14" s="43" t="s">
        <v>74</v>
      </c>
      <c r="CR14" s="50">
        <v>0</v>
      </c>
      <c r="CS14" s="50" t="s">
        <v>60</v>
      </c>
      <c r="CT14" s="50" t="s">
        <v>71</v>
      </c>
      <c r="CU14" s="50" t="s">
        <v>60</v>
      </c>
      <c r="CV14" s="50" t="s">
        <v>71</v>
      </c>
      <c r="CW14" s="50" t="s">
        <v>60</v>
      </c>
      <c r="CX14" s="50" t="s">
        <v>71</v>
      </c>
      <c r="CY14" s="50" t="s">
        <v>60</v>
      </c>
      <c r="CZ14" s="50" t="s">
        <v>71</v>
      </c>
      <c r="DA14" s="50" t="s">
        <v>60</v>
      </c>
      <c r="DB14" s="50" t="s">
        <v>71</v>
      </c>
      <c r="DC14" s="50" t="s">
        <v>60</v>
      </c>
      <c r="DD14" s="50" t="s">
        <v>71</v>
      </c>
      <c r="DE14" s="137" t="str">
        <f t="shared" si="8"/>
        <v>3&lt;YEARS OLD&lt;9</v>
      </c>
      <c r="DF14" s="137">
        <f t="shared" si="1"/>
        <v>1</v>
      </c>
    </row>
    <row r="15" spans="1:113" x14ac:dyDescent="0.2">
      <c r="A15" s="160"/>
      <c r="B15" s="5">
        <f t="shared" si="11"/>
        <v>13</v>
      </c>
      <c r="C15" s="39" t="str">
        <f t="shared" si="2"/>
        <v>CNS30</v>
      </c>
      <c r="D15" s="39"/>
      <c r="E15" s="40" t="str">
        <f t="shared" si="0"/>
        <v>CNS30_NEOPLASM</v>
      </c>
      <c r="F15" s="39" t="s">
        <v>12</v>
      </c>
      <c r="G15" s="41">
        <v>30</v>
      </c>
      <c r="H15" s="51"/>
      <c r="I15" s="51"/>
      <c r="J15" s="43" t="s">
        <v>25</v>
      </c>
      <c r="K15" s="43" t="s">
        <v>26</v>
      </c>
      <c r="L15" s="43" t="s">
        <v>300</v>
      </c>
      <c r="M15" s="44" t="s">
        <v>316</v>
      </c>
      <c r="N15" s="44" t="s">
        <v>314</v>
      </c>
      <c r="O15" s="44" t="s">
        <v>147</v>
      </c>
      <c r="P15" s="44" t="s">
        <v>147</v>
      </c>
      <c r="Q15" s="44" t="s">
        <v>60</v>
      </c>
      <c r="R15" s="45" t="s">
        <v>80</v>
      </c>
      <c r="S15" s="45" t="s">
        <v>88</v>
      </c>
      <c r="T15" s="45"/>
      <c r="U15" s="43" t="s">
        <v>28</v>
      </c>
      <c r="V15" s="43" t="s">
        <v>174</v>
      </c>
      <c r="W15" s="46"/>
      <c r="X15" s="46"/>
      <c r="Y15" s="47">
        <v>3.4986301369863013</v>
      </c>
      <c r="Z15" s="47">
        <f t="shared" si="12"/>
        <v>203.93424657534246</v>
      </c>
      <c r="AA15" s="47">
        <f t="shared" ca="1" si="4"/>
        <v>3498.4166666666665</v>
      </c>
      <c r="AB15" s="46"/>
      <c r="AC15" s="46"/>
      <c r="AD15" s="47" t="str">
        <f t="shared" si="13"/>
        <v>NaN</v>
      </c>
      <c r="AE15" s="47" t="str">
        <f t="shared" si="6"/>
        <v>NaN</v>
      </c>
      <c r="AF15" s="47" t="s">
        <v>68</v>
      </c>
      <c r="AG15" s="43" t="s">
        <v>48</v>
      </c>
      <c r="AH15" s="43">
        <v>1</v>
      </c>
      <c r="AI15" s="43" t="s">
        <v>60</v>
      </c>
      <c r="AJ15" s="48">
        <f t="shared" ca="1" si="7"/>
        <v>115.01643835616439</v>
      </c>
      <c r="AK15" s="43" t="s">
        <v>63</v>
      </c>
      <c r="AL15" s="43" t="s">
        <v>60</v>
      </c>
      <c r="AM15" s="43" t="s">
        <v>60</v>
      </c>
      <c r="AN15" s="43" t="s">
        <v>60</v>
      </c>
      <c r="AO15" s="49">
        <v>9.6999999999999993</v>
      </c>
      <c r="AP15" s="49">
        <v>11.6</v>
      </c>
      <c r="AQ15" s="50">
        <v>0.34699999999999998</v>
      </c>
      <c r="AR15" s="49" t="s">
        <v>71</v>
      </c>
      <c r="AS15" s="49" t="s">
        <v>71</v>
      </c>
      <c r="AT15" s="49">
        <v>314</v>
      </c>
      <c r="AU15" s="49" t="s">
        <v>71</v>
      </c>
      <c r="AV15" s="49" t="s">
        <v>71</v>
      </c>
      <c r="AW15" s="49" t="s">
        <v>71</v>
      </c>
      <c r="AX15" s="49" t="s">
        <v>71</v>
      </c>
      <c r="AY15" s="49" t="s">
        <v>71</v>
      </c>
      <c r="AZ15" s="49" t="s">
        <v>71</v>
      </c>
      <c r="BA15" s="49" t="s">
        <v>71</v>
      </c>
      <c r="BB15" s="49" t="s">
        <v>71</v>
      </c>
      <c r="BC15" s="49" t="s">
        <v>71</v>
      </c>
      <c r="BD15" s="49" t="s">
        <v>71</v>
      </c>
      <c r="BE15" s="49" t="s">
        <v>71</v>
      </c>
      <c r="BF15" s="49" t="s">
        <v>71</v>
      </c>
      <c r="BG15" s="49" t="s">
        <v>71</v>
      </c>
      <c r="BH15" s="49" t="s">
        <v>71</v>
      </c>
      <c r="BI15" s="49" t="s">
        <v>71</v>
      </c>
      <c r="BJ15" s="49" t="s">
        <v>71</v>
      </c>
      <c r="BK15" s="49" t="s">
        <v>71</v>
      </c>
      <c r="BL15" s="49" t="s">
        <v>71</v>
      </c>
      <c r="BM15" s="49" t="s">
        <v>71</v>
      </c>
      <c r="BN15" s="49" t="s">
        <v>71</v>
      </c>
      <c r="BO15" s="49" t="s">
        <v>71</v>
      </c>
      <c r="BP15" s="49" t="s">
        <v>71</v>
      </c>
      <c r="BQ15" s="49" t="s">
        <v>71</v>
      </c>
      <c r="BR15" s="49" t="s">
        <v>71</v>
      </c>
      <c r="BS15" s="49" t="s">
        <v>71</v>
      </c>
      <c r="BT15" s="49" t="s">
        <v>71</v>
      </c>
      <c r="BU15" s="43" t="s">
        <v>74</v>
      </c>
      <c r="BV15" s="50">
        <v>0</v>
      </c>
      <c r="BW15" s="43" t="s">
        <v>72</v>
      </c>
      <c r="BX15" s="50">
        <v>0.01</v>
      </c>
      <c r="BY15" s="43" t="s">
        <v>72</v>
      </c>
      <c r="BZ15" s="50">
        <v>0.2</v>
      </c>
      <c r="CA15" s="43" t="s">
        <v>72</v>
      </c>
      <c r="CB15" s="50">
        <v>0.15</v>
      </c>
      <c r="CC15" s="43" t="s">
        <v>72</v>
      </c>
      <c r="CD15" s="50">
        <v>0.1</v>
      </c>
      <c r="CE15" s="43" t="s">
        <v>72</v>
      </c>
      <c r="CF15" s="50">
        <v>0.15</v>
      </c>
      <c r="CG15" s="43" t="s">
        <v>72</v>
      </c>
      <c r="CH15" s="50">
        <v>0.2</v>
      </c>
      <c r="CI15" s="43" t="s">
        <v>72</v>
      </c>
      <c r="CJ15" s="50">
        <v>0.2</v>
      </c>
      <c r="CK15" s="43" t="s">
        <v>72</v>
      </c>
      <c r="CL15" s="50">
        <v>0.97</v>
      </c>
      <c r="CM15" s="43" t="s">
        <v>72</v>
      </c>
      <c r="CN15" s="50">
        <v>0.4</v>
      </c>
      <c r="CO15" s="43" t="s">
        <v>72</v>
      </c>
      <c r="CP15" s="50">
        <v>0.1</v>
      </c>
      <c r="CQ15" s="43" t="s">
        <v>74</v>
      </c>
      <c r="CR15" s="50">
        <v>0</v>
      </c>
      <c r="CS15" s="50" t="s">
        <v>60</v>
      </c>
      <c r="CT15" s="50">
        <v>0</v>
      </c>
      <c r="CU15" s="50" t="s">
        <v>60</v>
      </c>
      <c r="CV15" s="50">
        <v>0</v>
      </c>
      <c r="CW15" s="50" t="s">
        <v>60</v>
      </c>
      <c r="CX15" s="50">
        <v>0</v>
      </c>
      <c r="CY15" s="50" t="s">
        <v>60</v>
      </c>
      <c r="CZ15" s="50">
        <v>0</v>
      </c>
      <c r="DA15" s="50" t="s">
        <v>72</v>
      </c>
      <c r="DB15" s="50">
        <v>0.1</v>
      </c>
      <c r="DC15" s="50" t="s">
        <v>74</v>
      </c>
      <c r="DD15" s="50">
        <v>0</v>
      </c>
      <c r="DE15" s="137" t="str">
        <f t="shared" si="8"/>
        <v>3&lt;YEARS OLD&lt;9</v>
      </c>
      <c r="DF15" s="137">
        <f t="shared" si="1"/>
        <v>1</v>
      </c>
    </row>
    <row r="16" spans="1:113" x14ac:dyDescent="0.2">
      <c r="A16" s="160"/>
      <c r="B16" s="5">
        <f t="shared" si="11"/>
        <v>14</v>
      </c>
      <c r="C16" s="53" t="str">
        <f t="shared" si="2"/>
        <v>CNS31</v>
      </c>
      <c r="D16" s="53"/>
      <c r="E16" s="53" t="str">
        <f t="shared" si="0"/>
        <v>CNS31_NEOPLASM</v>
      </c>
      <c r="F16" s="53" t="s">
        <v>94</v>
      </c>
      <c r="G16" s="54">
        <v>31</v>
      </c>
      <c r="H16" s="55"/>
      <c r="I16" s="55"/>
      <c r="J16" s="56" t="s">
        <v>24</v>
      </c>
      <c r="K16" s="56" t="s">
        <v>26</v>
      </c>
      <c r="L16" s="56" t="s">
        <v>300</v>
      </c>
      <c r="M16" s="57" t="s">
        <v>316</v>
      </c>
      <c r="N16" s="57" t="s">
        <v>314</v>
      </c>
      <c r="O16" s="57" t="s">
        <v>178</v>
      </c>
      <c r="P16" s="57" t="s">
        <v>178</v>
      </c>
      <c r="Q16" s="57" t="s">
        <v>60</v>
      </c>
      <c r="R16" s="6" t="s">
        <v>80</v>
      </c>
      <c r="S16" s="6" t="s">
        <v>60</v>
      </c>
      <c r="T16" s="6"/>
      <c r="U16" s="56" t="s">
        <v>28</v>
      </c>
      <c r="V16" s="56" t="s">
        <v>174</v>
      </c>
      <c r="W16" s="58"/>
      <c r="X16" s="58"/>
      <c r="Y16" s="59">
        <v>1.9260273972602739</v>
      </c>
      <c r="Z16" s="59">
        <f t="shared" si="12"/>
        <v>128.44931506849315</v>
      </c>
      <c r="AA16" s="59">
        <f t="shared" ca="1" si="4"/>
        <v>3498.4166666666665</v>
      </c>
      <c r="AB16" s="58"/>
      <c r="AC16" s="58"/>
      <c r="AD16" s="60" t="str">
        <f t="shared" si="13"/>
        <v>NaN</v>
      </c>
      <c r="AE16" s="59" t="str">
        <f t="shared" si="6"/>
        <v>NaN</v>
      </c>
      <c r="AF16" s="59" t="s">
        <v>68</v>
      </c>
      <c r="AG16" s="56" t="s">
        <v>61</v>
      </c>
      <c r="AH16" s="56">
        <v>1</v>
      </c>
      <c r="AI16" s="56" t="s">
        <v>60</v>
      </c>
      <c r="AJ16" s="61" t="str">
        <f t="shared" ca="1" si="7"/>
        <v>NaN</v>
      </c>
      <c r="AK16" s="56" t="s">
        <v>63</v>
      </c>
      <c r="AL16" s="56" t="s">
        <v>60</v>
      </c>
      <c r="AM16" s="56" t="s">
        <v>60</v>
      </c>
      <c r="AN16" s="56" t="s">
        <v>60</v>
      </c>
      <c r="AO16" s="62" t="s">
        <v>71</v>
      </c>
      <c r="AP16" s="62" t="s">
        <v>71</v>
      </c>
      <c r="AQ16" s="63" t="s">
        <v>71</v>
      </c>
      <c r="AR16" s="62" t="s">
        <v>71</v>
      </c>
      <c r="AS16" s="62" t="s">
        <v>71</v>
      </c>
      <c r="AT16" s="62" t="s">
        <v>71</v>
      </c>
      <c r="AU16" s="62" t="s">
        <v>71</v>
      </c>
      <c r="AV16" s="62" t="s">
        <v>71</v>
      </c>
      <c r="AW16" s="62" t="s">
        <v>71</v>
      </c>
      <c r="AX16" s="62" t="s">
        <v>71</v>
      </c>
      <c r="AY16" s="62" t="s">
        <v>71</v>
      </c>
      <c r="AZ16" s="62" t="s">
        <v>71</v>
      </c>
      <c r="BA16" s="62" t="s">
        <v>71</v>
      </c>
      <c r="BB16" s="62" t="s">
        <v>71</v>
      </c>
      <c r="BC16" s="62" t="s">
        <v>71</v>
      </c>
      <c r="BD16" s="62" t="s">
        <v>71</v>
      </c>
      <c r="BE16" s="62" t="s">
        <v>71</v>
      </c>
      <c r="BF16" s="62" t="s">
        <v>71</v>
      </c>
      <c r="BG16" s="62" t="s">
        <v>71</v>
      </c>
      <c r="BH16" s="62" t="s">
        <v>71</v>
      </c>
      <c r="BI16" s="62" t="s">
        <v>71</v>
      </c>
      <c r="BJ16" s="62" t="s">
        <v>71</v>
      </c>
      <c r="BK16" s="62" t="s">
        <v>71</v>
      </c>
      <c r="BL16" s="62" t="s">
        <v>71</v>
      </c>
      <c r="BM16" s="62" t="s">
        <v>71</v>
      </c>
      <c r="BN16" s="62" t="s">
        <v>71</v>
      </c>
      <c r="BO16" s="62" t="s">
        <v>71</v>
      </c>
      <c r="BP16" s="62" t="s">
        <v>71</v>
      </c>
      <c r="BQ16" s="62" t="s">
        <v>71</v>
      </c>
      <c r="BR16" s="62" t="s">
        <v>71</v>
      </c>
      <c r="BS16" s="62" t="s">
        <v>71</v>
      </c>
      <c r="BT16" s="62" t="s">
        <v>71</v>
      </c>
      <c r="BU16" s="56" t="s">
        <v>74</v>
      </c>
      <c r="BV16" s="63">
        <v>0</v>
      </c>
      <c r="BW16" s="56" t="s">
        <v>74</v>
      </c>
      <c r="BX16" s="63">
        <v>0</v>
      </c>
      <c r="BY16" s="56" t="s">
        <v>72</v>
      </c>
      <c r="BZ16" s="63">
        <v>0.18</v>
      </c>
      <c r="CA16" s="56" t="s">
        <v>72</v>
      </c>
      <c r="CB16" s="63">
        <v>0.6</v>
      </c>
      <c r="CC16" s="56" t="s">
        <v>72</v>
      </c>
      <c r="CD16" s="63">
        <v>0.15</v>
      </c>
      <c r="CE16" s="56" t="s">
        <v>60</v>
      </c>
      <c r="CF16" s="63" t="s">
        <v>71</v>
      </c>
      <c r="CG16" s="56" t="s">
        <v>74</v>
      </c>
      <c r="CH16" s="63">
        <v>0</v>
      </c>
      <c r="CI16" s="56" t="s">
        <v>60</v>
      </c>
      <c r="CJ16" s="63" t="s">
        <v>71</v>
      </c>
      <c r="CK16" s="56" t="s">
        <v>72</v>
      </c>
      <c r="CL16" s="63">
        <v>0.95</v>
      </c>
      <c r="CM16" s="56" t="s">
        <v>72</v>
      </c>
      <c r="CN16" s="63">
        <v>0.5</v>
      </c>
      <c r="CO16" s="56" t="s">
        <v>72</v>
      </c>
      <c r="CP16" s="63">
        <v>0.25</v>
      </c>
      <c r="CQ16" s="56" t="s">
        <v>72</v>
      </c>
      <c r="CR16" s="63">
        <v>0.25</v>
      </c>
      <c r="CS16" s="63" t="s">
        <v>60</v>
      </c>
      <c r="CT16" s="63" t="s">
        <v>71</v>
      </c>
      <c r="CU16" s="63" t="s">
        <v>60</v>
      </c>
      <c r="CV16" s="63" t="s">
        <v>71</v>
      </c>
      <c r="CW16" s="63" t="s">
        <v>74</v>
      </c>
      <c r="CX16" s="63">
        <v>0</v>
      </c>
      <c r="CY16" s="63" t="s">
        <v>72</v>
      </c>
      <c r="CZ16" s="63">
        <v>0.25</v>
      </c>
      <c r="DA16" s="63" t="s">
        <v>74</v>
      </c>
      <c r="DB16" s="63">
        <v>0</v>
      </c>
      <c r="DC16" s="63" t="s">
        <v>60</v>
      </c>
      <c r="DD16" s="63" t="s">
        <v>71</v>
      </c>
      <c r="DE16" s="137" t="str">
        <f t="shared" si="8"/>
        <v>3&gt; YEARS OLD</v>
      </c>
      <c r="DF16" s="137">
        <f t="shared" si="1"/>
        <v>1</v>
      </c>
    </row>
    <row r="17" spans="1:110" x14ac:dyDescent="0.2">
      <c r="A17" s="160"/>
      <c r="B17" s="5">
        <f t="shared" si="11"/>
        <v>15</v>
      </c>
      <c r="C17" s="53" t="str">
        <f t="shared" si="2"/>
        <v>CNS33</v>
      </c>
      <c r="D17" s="53"/>
      <c r="E17" s="53" t="str">
        <f t="shared" si="0"/>
        <v>CNS33_CONTROL</v>
      </c>
      <c r="F17" s="53" t="s">
        <v>95</v>
      </c>
      <c r="G17" s="54">
        <v>33</v>
      </c>
      <c r="H17" s="64"/>
      <c r="I17" s="64"/>
      <c r="J17" s="56" t="s">
        <v>25</v>
      </c>
      <c r="K17" s="56" t="s">
        <v>26</v>
      </c>
      <c r="L17" s="56" t="s">
        <v>301</v>
      </c>
      <c r="M17" s="57" t="s">
        <v>81</v>
      </c>
      <c r="N17" s="57" t="s">
        <v>81</v>
      </c>
      <c r="O17" s="57" t="s">
        <v>81</v>
      </c>
      <c r="P17" s="57" t="s">
        <v>309</v>
      </c>
      <c r="Q17" s="57" t="s">
        <v>81</v>
      </c>
      <c r="R17" s="6" t="s">
        <v>89</v>
      </c>
      <c r="S17" s="6" t="s">
        <v>90</v>
      </c>
      <c r="T17" s="6"/>
      <c r="U17" s="56" t="s">
        <v>81</v>
      </c>
      <c r="V17" s="56" t="s">
        <v>60</v>
      </c>
      <c r="W17" s="58"/>
      <c r="X17" s="58"/>
      <c r="Y17" s="59" t="s">
        <v>71</v>
      </c>
      <c r="Z17" s="59" t="str">
        <f t="shared" si="12"/>
        <v>NaN</v>
      </c>
      <c r="AA17" s="59">
        <f t="shared" ca="1" si="4"/>
        <v>3498.4166666666665</v>
      </c>
      <c r="AB17" s="58"/>
      <c r="AC17" s="58"/>
      <c r="AD17" s="60" t="str">
        <f t="shared" si="13"/>
        <v>NaN</v>
      </c>
      <c r="AE17" s="59" t="str">
        <f t="shared" si="6"/>
        <v>NaN</v>
      </c>
      <c r="AF17" s="58" t="s">
        <v>68</v>
      </c>
      <c r="AG17" s="58" t="s">
        <v>81</v>
      </c>
      <c r="AH17" s="58" t="s">
        <v>71</v>
      </c>
      <c r="AI17" s="58" t="s">
        <v>60</v>
      </c>
      <c r="AJ17" s="61" t="str">
        <f t="shared" ca="1" si="7"/>
        <v>NaN</v>
      </c>
      <c r="AK17" s="58" t="s">
        <v>81</v>
      </c>
      <c r="AL17" s="56" t="s">
        <v>60</v>
      </c>
      <c r="AM17" s="58" t="s">
        <v>60</v>
      </c>
      <c r="AN17" s="58" t="s">
        <v>60</v>
      </c>
      <c r="AO17" s="62" t="s">
        <v>71</v>
      </c>
      <c r="AP17" s="62" t="s">
        <v>71</v>
      </c>
      <c r="AQ17" s="62" t="s">
        <v>71</v>
      </c>
      <c r="AR17" s="62" t="s">
        <v>71</v>
      </c>
      <c r="AS17" s="62" t="s">
        <v>71</v>
      </c>
      <c r="AT17" s="62" t="s">
        <v>71</v>
      </c>
      <c r="AU17" s="62" t="s">
        <v>71</v>
      </c>
      <c r="AV17" s="62" t="s">
        <v>71</v>
      </c>
      <c r="AW17" s="62" t="s">
        <v>71</v>
      </c>
      <c r="AX17" s="62" t="s">
        <v>71</v>
      </c>
      <c r="AY17" s="62" t="s">
        <v>71</v>
      </c>
      <c r="AZ17" s="62" t="s">
        <v>71</v>
      </c>
      <c r="BA17" s="62" t="s">
        <v>71</v>
      </c>
      <c r="BB17" s="62" t="s">
        <v>71</v>
      </c>
      <c r="BC17" s="62" t="s">
        <v>71</v>
      </c>
      <c r="BD17" s="62" t="s">
        <v>71</v>
      </c>
      <c r="BE17" s="62" t="s">
        <v>71</v>
      </c>
      <c r="BF17" s="62" t="s">
        <v>71</v>
      </c>
      <c r="BG17" s="62" t="s">
        <v>71</v>
      </c>
      <c r="BH17" s="62" t="s">
        <v>71</v>
      </c>
      <c r="BI17" s="62" t="s">
        <v>71</v>
      </c>
      <c r="BJ17" s="62" t="s">
        <v>71</v>
      </c>
      <c r="BK17" s="62" t="s">
        <v>71</v>
      </c>
      <c r="BL17" s="62" t="s">
        <v>71</v>
      </c>
      <c r="BM17" s="62" t="s">
        <v>71</v>
      </c>
      <c r="BN17" s="62" t="s">
        <v>71</v>
      </c>
      <c r="BO17" s="62" t="s">
        <v>71</v>
      </c>
      <c r="BP17" s="62" t="s">
        <v>71</v>
      </c>
      <c r="BQ17" s="62" t="s">
        <v>71</v>
      </c>
      <c r="BR17" s="62" t="s">
        <v>71</v>
      </c>
      <c r="BS17" s="62" t="s">
        <v>71</v>
      </c>
      <c r="BT17" s="62" t="s">
        <v>71</v>
      </c>
      <c r="BU17" s="58" t="s">
        <v>60</v>
      </c>
      <c r="BV17" s="63" t="s">
        <v>71</v>
      </c>
      <c r="BW17" s="58" t="s">
        <v>60</v>
      </c>
      <c r="BX17" s="63" t="s">
        <v>71</v>
      </c>
      <c r="BY17" s="58" t="s">
        <v>60</v>
      </c>
      <c r="BZ17" s="63" t="s">
        <v>71</v>
      </c>
      <c r="CA17" s="58" t="s">
        <v>81</v>
      </c>
      <c r="CB17" s="58" t="s">
        <v>71</v>
      </c>
      <c r="CC17" s="58" t="s">
        <v>81</v>
      </c>
      <c r="CD17" s="63" t="s">
        <v>71</v>
      </c>
      <c r="CE17" s="58" t="s">
        <v>60</v>
      </c>
      <c r="CF17" s="63" t="s">
        <v>71</v>
      </c>
      <c r="CG17" s="58" t="s">
        <v>60</v>
      </c>
      <c r="CH17" s="63" t="s">
        <v>71</v>
      </c>
      <c r="CI17" s="58" t="s">
        <v>60</v>
      </c>
      <c r="CJ17" s="63" t="s">
        <v>71</v>
      </c>
      <c r="CK17" s="58" t="s">
        <v>60</v>
      </c>
      <c r="CL17" s="63" t="s">
        <v>71</v>
      </c>
      <c r="CM17" s="58" t="s">
        <v>60</v>
      </c>
      <c r="CN17" s="63" t="s">
        <v>71</v>
      </c>
      <c r="CO17" s="58" t="s">
        <v>60</v>
      </c>
      <c r="CP17" s="63" t="s">
        <v>71</v>
      </c>
      <c r="CQ17" s="58" t="s">
        <v>60</v>
      </c>
      <c r="CR17" s="63" t="s">
        <v>71</v>
      </c>
      <c r="CS17" s="58" t="s">
        <v>60</v>
      </c>
      <c r="CT17" s="63" t="s">
        <v>71</v>
      </c>
      <c r="CU17" s="58" t="s">
        <v>60</v>
      </c>
      <c r="CV17" s="63" t="s">
        <v>71</v>
      </c>
      <c r="CW17" s="58" t="s">
        <v>60</v>
      </c>
      <c r="CX17" s="63" t="s">
        <v>71</v>
      </c>
      <c r="CY17" s="58" t="s">
        <v>60</v>
      </c>
      <c r="CZ17" s="63" t="s">
        <v>71</v>
      </c>
      <c r="DA17" s="58" t="s">
        <v>60</v>
      </c>
      <c r="DB17" s="63" t="s">
        <v>71</v>
      </c>
      <c r="DC17" s="58" t="s">
        <v>60</v>
      </c>
      <c r="DD17" s="63" t="s">
        <v>71</v>
      </c>
      <c r="DE17" s="137" t="str">
        <f t="shared" si="8"/>
        <v>9&lt; YEARS OLD</v>
      </c>
      <c r="DF17" s="137">
        <f t="shared" si="1"/>
        <v>0</v>
      </c>
    </row>
    <row r="18" spans="1:110" x14ac:dyDescent="0.2">
      <c r="A18" s="160"/>
      <c r="B18" s="5">
        <f t="shared" si="11"/>
        <v>16</v>
      </c>
      <c r="C18" s="53" t="str">
        <f t="shared" si="2"/>
        <v>CNS34</v>
      </c>
      <c r="D18" s="53"/>
      <c r="E18" s="53" t="str">
        <f t="shared" si="0"/>
        <v>CNS34_CONTROL</v>
      </c>
      <c r="F18" s="53" t="s">
        <v>96</v>
      </c>
      <c r="G18" s="54">
        <v>34</v>
      </c>
      <c r="H18" s="64"/>
      <c r="I18" s="64"/>
      <c r="J18" s="56" t="s">
        <v>25</v>
      </c>
      <c r="K18" s="56" t="s">
        <v>26</v>
      </c>
      <c r="L18" s="56" t="s">
        <v>301</v>
      </c>
      <c r="M18" s="57" t="s">
        <v>81</v>
      </c>
      <c r="N18" s="57" t="s">
        <v>81</v>
      </c>
      <c r="O18" s="57" t="s">
        <v>81</v>
      </c>
      <c r="P18" s="57" t="s">
        <v>309</v>
      </c>
      <c r="Q18" s="57" t="s">
        <v>81</v>
      </c>
      <c r="R18" s="6" t="s">
        <v>89</v>
      </c>
      <c r="S18" s="6" t="s">
        <v>93</v>
      </c>
      <c r="T18" s="6"/>
      <c r="U18" s="56" t="s">
        <v>81</v>
      </c>
      <c r="V18" s="56" t="s">
        <v>60</v>
      </c>
      <c r="W18" s="58"/>
      <c r="X18" s="58"/>
      <c r="Y18" s="59" t="s">
        <v>71</v>
      </c>
      <c r="Z18" s="59" t="str">
        <f t="shared" si="12"/>
        <v>NaN</v>
      </c>
      <c r="AA18" s="59">
        <f t="shared" ca="1" si="4"/>
        <v>3498.4166666666665</v>
      </c>
      <c r="AB18" s="58"/>
      <c r="AC18" s="58"/>
      <c r="AD18" s="60" t="str">
        <f t="shared" si="13"/>
        <v>NaN</v>
      </c>
      <c r="AE18" s="59" t="str">
        <f t="shared" si="6"/>
        <v>NaN</v>
      </c>
      <c r="AF18" s="58" t="s">
        <v>68</v>
      </c>
      <c r="AG18" s="58" t="s">
        <v>81</v>
      </c>
      <c r="AH18" s="58" t="s">
        <v>71</v>
      </c>
      <c r="AI18" s="58" t="s">
        <v>60</v>
      </c>
      <c r="AJ18" s="61" t="str">
        <f t="shared" ca="1" si="7"/>
        <v>NaN</v>
      </c>
      <c r="AK18" s="58" t="s">
        <v>81</v>
      </c>
      <c r="AL18" s="56" t="s">
        <v>60</v>
      </c>
      <c r="AM18" s="58" t="s">
        <v>60</v>
      </c>
      <c r="AN18" s="58" t="s">
        <v>60</v>
      </c>
      <c r="AO18" s="62" t="s">
        <v>71</v>
      </c>
      <c r="AP18" s="62" t="s">
        <v>71</v>
      </c>
      <c r="AQ18" s="62" t="s">
        <v>71</v>
      </c>
      <c r="AR18" s="62" t="s">
        <v>71</v>
      </c>
      <c r="AS18" s="62" t="s">
        <v>71</v>
      </c>
      <c r="AT18" s="62" t="s">
        <v>71</v>
      </c>
      <c r="AU18" s="62" t="s">
        <v>71</v>
      </c>
      <c r="AV18" s="62" t="s">
        <v>71</v>
      </c>
      <c r="AW18" s="62" t="s">
        <v>71</v>
      </c>
      <c r="AX18" s="62" t="s">
        <v>71</v>
      </c>
      <c r="AY18" s="62" t="s">
        <v>71</v>
      </c>
      <c r="AZ18" s="62" t="s">
        <v>71</v>
      </c>
      <c r="BA18" s="62" t="s">
        <v>71</v>
      </c>
      <c r="BB18" s="62" t="s">
        <v>71</v>
      </c>
      <c r="BC18" s="62" t="s">
        <v>71</v>
      </c>
      <c r="BD18" s="62" t="s">
        <v>71</v>
      </c>
      <c r="BE18" s="62" t="s">
        <v>71</v>
      </c>
      <c r="BF18" s="62" t="s">
        <v>71</v>
      </c>
      <c r="BG18" s="62" t="s">
        <v>71</v>
      </c>
      <c r="BH18" s="62" t="s">
        <v>71</v>
      </c>
      <c r="BI18" s="62" t="s">
        <v>71</v>
      </c>
      <c r="BJ18" s="62" t="s">
        <v>71</v>
      </c>
      <c r="BK18" s="62" t="s">
        <v>71</v>
      </c>
      <c r="BL18" s="62" t="s">
        <v>71</v>
      </c>
      <c r="BM18" s="62" t="s">
        <v>71</v>
      </c>
      <c r="BN18" s="62" t="s">
        <v>71</v>
      </c>
      <c r="BO18" s="62" t="s">
        <v>71</v>
      </c>
      <c r="BP18" s="62" t="s">
        <v>71</v>
      </c>
      <c r="BQ18" s="62" t="s">
        <v>71</v>
      </c>
      <c r="BR18" s="62" t="s">
        <v>71</v>
      </c>
      <c r="BS18" s="62" t="s">
        <v>71</v>
      </c>
      <c r="BT18" s="62" t="s">
        <v>71</v>
      </c>
      <c r="BU18" s="58" t="s">
        <v>60</v>
      </c>
      <c r="BV18" s="63" t="s">
        <v>71</v>
      </c>
      <c r="BW18" s="58" t="s">
        <v>60</v>
      </c>
      <c r="BX18" s="63" t="s">
        <v>71</v>
      </c>
      <c r="BY18" s="58" t="s">
        <v>60</v>
      </c>
      <c r="BZ18" s="63" t="s">
        <v>71</v>
      </c>
      <c r="CA18" s="58" t="s">
        <v>81</v>
      </c>
      <c r="CB18" s="58" t="s">
        <v>71</v>
      </c>
      <c r="CC18" s="58" t="s">
        <v>81</v>
      </c>
      <c r="CD18" s="63" t="s">
        <v>71</v>
      </c>
      <c r="CE18" s="58" t="s">
        <v>60</v>
      </c>
      <c r="CF18" s="63" t="s">
        <v>71</v>
      </c>
      <c r="CG18" s="58" t="s">
        <v>60</v>
      </c>
      <c r="CH18" s="63" t="s">
        <v>71</v>
      </c>
      <c r="CI18" s="58" t="s">
        <v>60</v>
      </c>
      <c r="CJ18" s="63" t="s">
        <v>71</v>
      </c>
      <c r="CK18" s="58" t="s">
        <v>60</v>
      </c>
      <c r="CL18" s="63" t="s">
        <v>71</v>
      </c>
      <c r="CM18" s="58" t="s">
        <v>60</v>
      </c>
      <c r="CN18" s="63" t="s">
        <v>71</v>
      </c>
      <c r="CO18" s="58" t="s">
        <v>60</v>
      </c>
      <c r="CP18" s="63" t="s">
        <v>71</v>
      </c>
      <c r="CQ18" s="58" t="s">
        <v>60</v>
      </c>
      <c r="CR18" s="63" t="s">
        <v>71</v>
      </c>
      <c r="CS18" s="58" t="s">
        <v>60</v>
      </c>
      <c r="CT18" s="63" t="s">
        <v>71</v>
      </c>
      <c r="CU18" s="58" t="s">
        <v>60</v>
      </c>
      <c r="CV18" s="63" t="s">
        <v>71</v>
      </c>
      <c r="CW18" s="58" t="s">
        <v>60</v>
      </c>
      <c r="CX18" s="63" t="s">
        <v>71</v>
      </c>
      <c r="CY18" s="58" t="s">
        <v>60</v>
      </c>
      <c r="CZ18" s="63" t="s">
        <v>71</v>
      </c>
      <c r="DA18" s="58" t="s">
        <v>60</v>
      </c>
      <c r="DB18" s="63" t="s">
        <v>71</v>
      </c>
      <c r="DC18" s="58" t="s">
        <v>60</v>
      </c>
      <c r="DD18" s="63" t="s">
        <v>71</v>
      </c>
      <c r="DE18" s="137" t="str">
        <f t="shared" si="8"/>
        <v>9&lt; YEARS OLD</v>
      </c>
      <c r="DF18" s="137">
        <f t="shared" si="1"/>
        <v>0</v>
      </c>
    </row>
    <row r="19" spans="1:110" x14ac:dyDescent="0.2">
      <c r="A19" s="160"/>
      <c r="B19" s="5">
        <f t="shared" si="11"/>
        <v>17</v>
      </c>
      <c r="C19" s="53" t="str">
        <f t="shared" si="2"/>
        <v>CNS35</v>
      </c>
      <c r="D19" s="53"/>
      <c r="E19" s="53" t="str">
        <f t="shared" si="0"/>
        <v>CNS35_CONTROL</v>
      </c>
      <c r="F19" s="53" t="s">
        <v>97</v>
      </c>
      <c r="G19" s="54">
        <v>35</v>
      </c>
      <c r="H19" s="64"/>
      <c r="I19" s="64"/>
      <c r="J19" s="56" t="s">
        <v>25</v>
      </c>
      <c r="K19" s="56" t="s">
        <v>26</v>
      </c>
      <c r="L19" s="56" t="s">
        <v>301</v>
      </c>
      <c r="M19" s="57" t="s">
        <v>81</v>
      </c>
      <c r="N19" s="57" t="s">
        <v>81</v>
      </c>
      <c r="O19" s="57" t="s">
        <v>81</v>
      </c>
      <c r="P19" s="57" t="s">
        <v>309</v>
      </c>
      <c r="Q19" s="57" t="s">
        <v>81</v>
      </c>
      <c r="R19" s="6" t="s">
        <v>92</v>
      </c>
      <c r="S19" s="6" t="s">
        <v>91</v>
      </c>
      <c r="T19" s="6"/>
      <c r="U19" s="56" t="s">
        <v>81</v>
      </c>
      <c r="V19" s="56" t="s">
        <v>60</v>
      </c>
      <c r="W19" s="58"/>
      <c r="X19" s="58"/>
      <c r="Y19" s="59" t="s">
        <v>71</v>
      </c>
      <c r="Z19" s="59" t="str">
        <f t="shared" si="12"/>
        <v>NaN</v>
      </c>
      <c r="AA19" s="59">
        <f t="shared" ca="1" si="4"/>
        <v>3498.4166666666665</v>
      </c>
      <c r="AB19" s="58"/>
      <c r="AC19" s="58"/>
      <c r="AD19" s="60" t="str">
        <f t="shared" si="13"/>
        <v>NaN</v>
      </c>
      <c r="AE19" s="59" t="str">
        <f t="shared" si="6"/>
        <v>NaN</v>
      </c>
      <c r="AF19" s="58" t="s">
        <v>68</v>
      </c>
      <c r="AG19" s="58" t="s">
        <v>81</v>
      </c>
      <c r="AH19" s="58" t="s">
        <v>71</v>
      </c>
      <c r="AI19" s="58" t="s">
        <v>60</v>
      </c>
      <c r="AJ19" s="61" t="str">
        <f t="shared" ca="1" si="7"/>
        <v>NaN</v>
      </c>
      <c r="AK19" s="58" t="s">
        <v>81</v>
      </c>
      <c r="AL19" s="56" t="s">
        <v>60</v>
      </c>
      <c r="AM19" s="58" t="s">
        <v>60</v>
      </c>
      <c r="AN19" s="58" t="s">
        <v>60</v>
      </c>
      <c r="AO19" s="62" t="s">
        <v>71</v>
      </c>
      <c r="AP19" s="62" t="s">
        <v>71</v>
      </c>
      <c r="AQ19" s="62" t="s">
        <v>71</v>
      </c>
      <c r="AR19" s="62" t="s">
        <v>71</v>
      </c>
      <c r="AS19" s="62" t="s">
        <v>71</v>
      </c>
      <c r="AT19" s="62" t="s">
        <v>71</v>
      </c>
      <c r="AU19" s="62" t="s">
        <v>71</v>
      </c>
      <c r="AV19" s="62" t="s">
        <v>71</v>
      </c>
      <c r="AW19" s="62" t="s">
        <v>71</v>
      </c>
      <c r="AX19" s="62" t="s">
        <v>71</v>
      </c>
      <c r="AY19" s="62" t="s">
        <v>71</v>
      </c>
      <c r="AZ19" s="62" t="s">
        <v>71</v>
      </c>
      <c r="BA19" s="62" t="s">
        <v>71</v>
      </c>
      <c r="BB19" s="62" t="s">
        <v>71</v>
      </c>
      <c r="BC19" s="62" t="s">
        <v>71</v>
      </c>
      <c r="BD19" s="62" t="s">
        <v>71</v>
      </c>
      <c r="BE19" s="62" t="s">
        <v>71</v>
      </c>
      <c r="BF19" s="62" t="s">
        <v>71</v>
      </c>
      <c r="BG19" s="62" t="s">
        <v>71</v>
      </c>
      <c r="BH19" s="62" t="s">
        <v>71</v>
      </c>
      <c r="BI19" s="62" t="s">
        <v>71</v>
      </c>
      <c r="BJ19" s="62" t="s">
        <v>71</v>
      </c>
      <c r="BK19" s="62" t="s">
        <v>71</v>
      </c>
      <c r="BL19" s="62" t="s">
        <v>71</v>
      </c>
      <c r="BM19" s="62" t="s">
        <v>71</v>
      </c>
      <c r="BN19" s="62" t="s">
        <v>71</v>
      </c>
      <c r="BO19" s="62" t="s">
        <v>71</v>
      </c>
      <c r="BP19" s="62" t="s">
        <v>71</v>
      </c>
      <c r="BQ19" s="62" t="s">
        <v>71</v>
      </c>
      <c r="BR19" s="62" t="s">
        <v>71</v>
      </c>
      <c r="BS19" s="62" t="s">
        <v>71</v>
      </c>
      <c r="BT19" s="62" t="s">
        <v>71</v>
      </c>
      <c r="BU19" s="58" t="s">
        <v>60</v>
      </c>
      <c r="BV19" s="63" t="s">
        <v>71</v>
      </c>
      <c r="BW19" s="58" t="s">
        <v>60</v>
      </c>
      <c r="BX19" s="63" t="s">
        <v>71</v>
      </c>
      <c r="BY19" s="58" t="s">
        <v>60</v>
      </c>
      <c r="BZ19" s="63" t="s">
        <v>71</v>
      </c>
      <c r="CA19" s="58" t="s">
        <v>81</v>
      </c>
      <c r="CB19" s="58" t="s">
        <v>71</v>
      </c>
      <c r="CC19" s="58" t="s">
        <v>81</v>
      </c>
      <c r="CD19" s="63" t="s">
        <v>71</v>
      </c>
      <c r="CE19" s="58" t="s">
        <v>60</v>
      </c>
      <c r="CF19" s="63" t="s">
        <v>71</v>
      </c>
      <c r="CG19" s="58" t="s">
        <v>60</v>
      </c>
      <c r="CH19" s="63" t="s">
        <v>71</v>
      </c>
      <c r="CI19" s="58" t="s">
        <v>60</v>
      </c>
      <c r="CJ19" s="63" t="s">
        <v>71</v>
      </c>
      <c r="CK19" s="58" t="s">
        <v>60</v>
      </c>
      <c r="CL19" s="63" t="s">
        <v>71</v>
      </c>
      <c r="CM19" s="58" t="s">
        <v>60</v>
      </c>
      <c r="CN19" s="63" t="s">
        <v>71</v>
      </c>
      <c r="CO19" s="58" t="s">
        <v>60</v>
      </c>
      <c r="CP19" s="63" t="s">
        <v>71</v>
      </c>
      <c r="CQ19" s="58" t="s">
        <v>60</v>
      </c>
      <c r="CR19" s="63" t="s">
        <v>71</v>
      </c>
      <c r="CS19" s="58" t="s">
        <v>60</v>
      </c>
      <c r="CT19" s="63" t="s">
        <v>71</v>
      </c>
      <c r="CU19" s="58" t="s">
        <v>60</v>
      </c>
      <c r="CV19" s="63" t="s">
        <v>71</v>
      </c>
      <c r="CW19" s="58" t="s">
        <v>60</v>
      </c>
      <c r="CX19" s="63" t="s">
        <v>71</v>
      </c>
      <c r="CY19" s="58" t="s">
        <v>60</v>
      </c>
      <c r="CZ19" s="63" t="s">
        <v>71</v>
      </c>
      <c r="DA19" s="58" t="s">
        <v>60</v>
      </c>
      <c r="DB19" s="63" t="s">
        <v>71</v>
      </c>
      <c r="DC19" s="58" t="s">
        <v>60</v>
      </c>
      <c r="DD19" s="63" t="s">
        <v>71</v>
      </c>
      <c r="DE19" s="137" t="str">
        <f t="shared" si="8"/>
        <v>9&lt; YEARS OLD</v>
      </c>
      <c r="DF19" s="137">
        <f t="shared" si="1"/>
        <v>0</v>
      </c>
    </row>
    <row r="20" spans="1:110" x14ac:dyDescent="0.2">
      <c r="A20" s="160"/>
      <c r="B20" s="5">
        <f t="shared" si="11"/>
        <v>18</v>
      </c>
      <c r="C20" s="53" t="str">
        <f t="shared" si="2"/>
        <v>CNS36</v>
      </c>
      <c r="D20" s="53"/>
      <c r="E20" s="53" t="str">
        <f t="shared" si="0"/>
        <v>CNS36_NEOPLASM</v>
      </c>
      <c r="F20" s="53" t="s">
        <v>98</v>
      </c>
      <c r="G20" s="54">
        <v>36</v>
      </c>
      <c r="H20" s="55"/>
      <c r="I20" s="55"/>
      <c r="J20" s="56" t="s">
        <v>24</v>
      </c>
      <c r="K20" s="56" t="s">
        <v>26</v>
      </c>
      <c r="L20" s="56" t="s">
        <v>300</v>
      </c>
      <c r="M20" s="57" t="s">
        <v>316</v>
      </c>
      <c r="N20" s="57" t="s">
        <v>316</v>
      </c>
      <c r="O20" s="57" t="s">
        <v>178</v>
      </c>
      <c r="P20" s="57" t="s">
        <v>178</v>
      </c>
      <c r="Q20" s="57" t="s">
        <v>60</v>
      </c>
      <c r="R20" s="6" t="s">
        <v>86</v>
      </c>
      <c r="S20" s="6" t="s">
        <v>60</v>
      </c>
      <c r="T20" s="6"/>
      <c r="U20" s="56" t="s">
        <v>51</v>
      </c>
      <c r="V20" s="56" t="s">
        <v>175</v>
      </c>
      <c r="W20" s="58"/>
      <c r="X20" s="58"/>
      <c r="Y20" s="59">
        <v>0.26301369863013696</v>
      </c>
      <c r="Z20" s="59">
        <f t="shared" si="12"/>
        <v>48.624657534246573</v>
      </c>
      <c r="AA20" s="59">
        <f ca="1">IF(ISERROR((TODAY()-X20)/12),"NaN",(TODAY()-X20)/12)</f>
        <v>3498.4166666666665</v>
      </c>
      <c r="AB20" s="58"/>
      <c r="AC20" s="58"/>
      <c r="AD20" s="60" t="str">
        <f>IF(ISERROR(IF(OR(ISERROR((AB20-X20)),(AB20-X20)/365=0),"NaN",(AB20-X20))),"NaN",IF(OR(ISERROR((AB20-X20)),(AB20-X20)/365=0),"NaN",(AB20-X20)))</f>
        <v>NaN</v>
      </c>
      <c r="AE20" s="59" t="s">
        <v>71</v>
      </c>
      <c r="AF20" s="59" t="s">
        <v>68</v>
      </c>
      <c r="AG20" s="56" t="s">
        <v>48</v>
      </c>
      <c r="AH20" s="56">
        <v>0</v>
      </c>
      <c r="AI20" s="56" t="s">
        <v>60</v>
      </c>
      <c r="AJ20" s="61">
        <f ca="1">IF(ISERROR(IF(AG20="ALIVE",((TODAY()-X20)/365),((AI20-X20)/365))),"NaN",IF(AG20="ALIVE",((TODAY()-X20)/365),((AI20-X20)/365)))</f>
        <v>115.01643835616439</v>
      </c>
      <c r="AK20" s="56" t="s">
        <v>63</v>
      </c>
      <c r="AL20" s="56" t="s">
        <v>60</v>
      </c>
      <c r="AM20" s="56" t="s">
        <v>60</v>
      </c>
      <c r="AN20" s="56" t="s">
        <v>60</v>
      </c>
      <c r="AO20" s="62" t="s">
        <v>71</v>
      </c>
      <c r="AP20" s="62" t="s">
        <v>71</v>
      </c>
      <c r="AQ20" s="62" t="s">
        <v>71</v>
      </c>
      <c r="AR20" s="62" t="s">
        <v>71</v>
      </c>
      <c r="AS20" s="62" t="s">
        <v>71</v>
      </c>
      <c r="AT20" s="62" t="s">
        <v>71</v>
      </c>
      <c r="AU20" s="62" t="s">
        <v>71</v>
      </c>
      <c r="AV20" s="62" t="s">
        <v>71</v>
      </c>
      <c r="AW20" s="62" t="s">
        <v>71</v>
      </c>
      <c r="AX20" s="62" t="s">
        <v>71</v>
      </c>
      <c r="AY20" s="62" t="s">
        <v>71</v>
      </c>
      <c r="AZ20" s="62" t="s">
        <v>71</v>
      </c>
      <c r="BA20" s="62" t="s">
        <v>71</v>
      </c>
      <c r="BB20" s="62" t="s">
        <v>71</v>
      </c>
      <c r="BC20" s="62" t="s">
        <v>71</v>
      </c>
      <c r="BD20" s="62" t="s">
        <v>71</v>
      </c>
      <c r="BE20" s="62" t="s">
        <v>71</v>
      </c>
      <c r="BF20" s="62" t="s">
        <v>71</v>
      </c>
      <c r="BG20" s="62" t="s">
        <v>71</v>
      </c>
      <c r="BH20" s="62" t="s">
        <v>71</v>
      </c>
      <c r="BI20" s="62" t="s">
        <v>71</v>
      </c>
      <c r="BJ20" s="62" t="s">
        <v>71</v>
      </c>
      <c r="BK20" s="62" t="s">
        <v>71</v>
      </c>
      <c r="BL20" s="62" t="s">
        <v>71</v>
      </c>
      <c r="BM20" s="62" t="s">
        <v>71</v>
      </c>
      <c r="BN20" s="62" t="s">
        <v>71</v>
      </c>
      <c r="BO20" s="62" t="s">
        <v>71</v>
      </c>
      <c r="BP20" s="62" t="s">
        <v>71</v>
      </c>
      <c r="BQ20" s="62" t="s">
        <v>71</v>
      </c>
      <c r="BR20" s="62" t="s">
        <v>71</v>
      </c>
      <c r="BS20" s="62" t="s">
        <v>71</v>
      </c>
      <c r="BT20" s="62" t="s">
        <v>71</v>
      </c>
      <c r="BU20" s="56" t="s">
        <v>72</v>
      </c>
      <c r="BV20" s="63" t="s">
        <v>71</v>
      </c>
      <c r="BW20" s="56" t="s">
        <v>74</v>
      </c>
      <c r="BX20" s="63">
        <v>0</v>
      </c>
      <c r="BY20" s="56" t="s">
        <v>74</v>
      </c>
      <c r="BZ20" s="63">
        <v>0</v>
      </c>
      <c r="CA20" s="56" t="s">
        <v>72</v>
      </c>
      <c r="CB20" s="63">
        <v>0.2</v>
      </c>
      <c r="CC20" s="56" t="s">
        <v>60</v>
      </c>
      <c r="CD20" s="63" t="s">
        <v>71</v>
      </c>
      <c r="CE20" s="56" t="s">
        <v>60</v>
      </c>
      <c r="CF20" s="63" t="s">
        <v>71</v>
      </c>
      <c r="CG20" s="56" t="s">
        <v>60</v>
      </c>
      <c r="CH20" s="63" t="s">
        <v>71</v>
      </c>
      <c r="CI20" s="56" t="s">
        <v>60</v>
      </c>
      <c r="CJ20" s="63" t="s">
        <v>71</v>
      </c>
      <c r="CK20" s="56" t="s">
        <v>60</v>
      </c>
      <c r="CL20" s="63" t="s">
        <v>71</v>
      </c>
      <c r="CM20" s="56" t="s">
        <v>72</v>
      </c>
      <c r="CN20" s="63">
        <v>0.5</v>
      </c>
      <c r="CO20" s="56" t="s">
        <v>60</v>
      </c>
      <c r="CP20" s="63" t="s">
        <v>71</v>
      </c>
      <c r="CQ20" s="56" t="s">
        <v>72</v>
      </c>
      <c r="CR20" s="63" t="s">
        <v>71</v>
      </c>
      <c r="CS20" s="63" t="s">
        <v>60</v>
      </c>
      <c r="CT20" s="63" t="s">
        <v>71</v>
      </c>
      <c r="CU20" s="63" t="s">
        <v>60</v>
      </c>
      <c r="CV20" s="63" t="s">
        <v>71</v>
      </c>
      <c r="CW20" s="63" t="s">
        <v>72</v>
      </c>
      <c r="CX20" s="63" t="s">
        <v>71</v>
      </c>
      <c r="CY20" s="63" t="s">
        <v>60</v>
      </c>
      <c r="CZ20" s="63" t="s">
        <v>71</v>
      </c>
      <c r="DA20" s="63" t="s">
        <v>60</v>
      </c>
      <c r="DB20" s="63" t="s">
        <v>71</v>
      </c>
      <c r="DC20" s="63" t="s">
        <v>60</v>
      </c>
      <c r="DD20" s="63" t="s">
        <v>71</v>
      </c>
      <c r="DE20" s="137" t="str">
        <f t="shared" si="8"/>
        <v>3&gt; YEARS OLD</v>
      </c>
      <c r="DF20" s="137">
        <f t="shared" si="1"/>
        <v>1</v>
      </c>
    </row>
    <row r="21" spans="1:110" x14ac:dyDescent="0.2">
      <c r="A21" s="160"/>
      <c r="B21" s="5">
        <f t="shared" si="11"/>
        <v>19</v>
      </c>
      <c r="C21" s="65" t="str">
        <f t="shared" si="2"/>
        <v>CNS41</v>
      </c>
      <c r="D21" s="65"/>
      <c r="E21" s="65" t="str">
        <f t="shared" si="0"/>
        <v>CNS41_CONTROL</v>
      </c>
      <c r="F21" s="65" t="s">
        <v>99</v>
      </c>
      <c r="G21" s="66">
        <v>41</v>
      </c>
      <c r="H21" s="79"/>
      <c r="I21" s="79"/>
      <c r="J21" s="68" t="s">
        <v>25</v>
      </c>
      <c r="K21" s="68" t="s">
        <v>26</v>
      </c>
      <c r="L21" s="68" t="s">
        <v>301</v>
      </c>
      <c r="M21" s="69" t="s">
        <v>81</v>
      </c>
      <c r="N21" s="69" t="s">
        <v>81</v>
      </c>
      <c r="O21" s="69" t="s">
        <v>81</v>
      </c>
      <c r="P21" s="69" t="s">
        <v>309</v>
      </c>
      <c r="Q21" s="69" t="s">
        <v>81</v>
      </c>
      <c r="R21" s="70" t="s">
        <v>80</v>
      </c>
      <c r="S21" s="70" t="s">
        <v>60</v>
      </c>
      <c r="T21" s="70"/>
      <c r="U21" s="68" t="s">
        <v>81</v>
      </c>
      <c r="V21" s="68" t="s">
        <v>60</v>
      </c>
      <c r="W21" s="71"/>
      <c r="X21" s="71"/>
      <c r="Y21" s="72" t="s">
        <v>71</v>
      </c>
      <c r="Z21" s="72" t="str">
        <f t="shared" si="12"/>
        <v>NaN</v>
      </c>
      <c r="AA21" s="72">
        <f t="shared" ca="1" si="4"/>
        <v>3498.4166666666665</v>
      </c>
      <c r="AB21" s="71"/>
      <c r="AC21" s="71"/>
      <c r="AD21" s="73" t="str">
        <f t="shared" si="13"/>
        <v>NaN</v>
      </c>
      <c r="AE21" s="72" t="s">
        <v>71</v>
      </c>
      <c r="AF21" s="72" t="s">
        <v>68</v>
      </c>
      <c r="AG21" s="68" t="s">
        <v>81</v>
      </c>
      <c r="AH21" s="68" t="s">
        <v>71</v>
      </c>
      <c r="AI21" s="68" t="s">
        <v>60</v>
      </c>
      <c r="AJ21" s="74" t="str">
        <f t="shared" ca="1" si="7"/>
        <v>NaN</v>
      </c>
      <c r="AK21" s="68" t="s">
        <v>81</v>
      </c>
      <c r="AL21" s="68" t="s">
        <v>60</v>
      </c>
      <c r="AM21" s="76" t="s">
        <v>60</v>
      </c>
      <c r="AN21" s="76" t="s">
        <v>60</v>
      </c>
      <c r="AO21" s="77" t="s">
        <v>71</v>
      </c>
      <c r="AP21" s="77" t="s">
        <v>71</v>
      </c>
      <c r="AQ21" s="77" t="s">
        <v>71</v>
      </c>
      <c r="AR21" s="77" t="s">
        <v>71</v>
      </c>
      <c r="AS21" s="77" t="str">
        <f>IF(ISERROR(VLOOKUP(H21,[1]Tabelle1!$C$3:$BR$42,17,0)),"N/A",VLOOKUP(H21,[1]Tabelle1!$C$3:$BR$42,17,0))</f>
        <v>N/A</v>
      </c>
      <c r="AT21" s="77" t="s">
        <v>71</v>
      </c>
      <c r="AU21" s="76" t="s">
        <v>60</v>
      </c>
      <c r="AV21" s="77" t="s">
        <v>71</v>
      </c>
      <c r="AW21" s="77" t="s">
        <v>71</v>
      </c>
      <c r="AX21" s="77" t="s">
        <v>71</v>
      </c>
      <c r="AY21" s="77" t="s">
        <v>71</v>
      </c>
      <c r="AZ21" s="77" t="s">
        <v>71</v>
      </c>
      <c r="BA21" s="77" t="s">
        <v>71</v>
      </c>
      <c r="BB21" s="77" t="s">
        <v>71</v>
      </c>
      <c r="BC21" s="77" t="s">
        <v>71</v>
      </c>
      <c r="BD21" s="77" t="s">
        <v>71</v>
      </c>
      <c r="BE21" s="77" t="s">
        <v>71</v>
      </c>
      <c r="BF21" s="77" t="s">
        <v>71</v>
      </c>
      <c r="BG21" s="77" t="s">
        <v>71</v>
      </c>
      <c r="BH21" s="77" t="s">
        <v>71</v>
      </c>
      <c r="BI21" s="77" t="s">
        <v>71</v>
      </c>
      <c r="BJ21" s="77" t="s">
        <v>71</v>
      </c>
      <c r="BK21" s="77" t="s">
        <v>71</v>
      </c>
      <c r="BL21" s="77" t="s">
        <v>71</v>
      </c>
      <c r="BM21" s="77" t="s">
        <v>71</v>
      </c>
      <c r="BN21" s="77" t="s">
        <v>71</v>
      </c>
      <c r="BO21" s="77" t="s">
        <v>71</v>
      </c>
      <c r="BP21" s="77" t="s">
        <v>71</v>
      </c>
      <c r="BQ21" s="77" t="s">
        <v>71</v>
      </c>
      <c r="BR21" s="77" t="s">
        <v>71</v>
      </c>
      <c r="BS21" s="77" t="s">
        <v>71</v>
      </c>
      <c r="BT21" s="77" t="s">
        <v>71</v>
      </c>
      <c r="BU21" s="76" t="s">
        <v>60</v>
      </c>
      <c r="BV21" s="76" t="s">
        <v>71</v>
      </c>
      <c r="BW21" s="76" t="s">
        <v>60</v>
      </c>
      <c r="BX21" s="76" t="s">
        <v>71</v>
      </c>
      <c r="BY21" s="76" t="s">
        <v>60</v>
      </c>
      <c r="BZ21" s="76" t="s">
        <v>71</v>
      </c>
      <c r="CA21" s="76" t="s">
        <v>81</v>
      </c>
      <c r="CB21" s="76" t="s">
        <v>71</v>
      </c>
      <c r="CC21" s="76" t="s">
        <v>60</v>
      </c>
      <c r="CD21" s="76" t="s">
        <v>71</v>
      </c>
      <c r="CE21" s="76" t="s">
        <v>60</v>
      </c>
      <c r="CF21" s="76" t="s">
        <v>71</v>
      </c>
      <c r="CG21" s="76" t="s">
        <v>60</v>
      </c>
      <c r="CH21" s="76" t="s">
        <v>71</v>
      </c>
      <c r="CI21" s="76" t="s">
        <v>60</v>
      </c>
      <c r="CJ21" s="76" t="s">
        <v>71</v>
      </c>
      <c r="CK21" s="76" t="s">
        <v>60</v>
      </c>
      <c r="CL21" s="76" t="s">
        <v>71</v>
      </c>
      <c r="CM21" s="76" t="s">
        <v>60</v>
      </c>
      <c r="CN21" s="76" t="s">
        <v>71</v>
      </c>
      <c r="CO21" s="76" t="s">
        <v>60</v>
      </c>
      <c r="CP21" s="76" t="s">
        <v>71</v>
      </c>
      <c r="CQ21" s="76" t="s">
        <v>60</v>
      </c>
      <c r="CR21" s="76" t="s">
        <v>71</v>
      </c>
      <c r="CS21" s="76" t="s">
        <v>60</v>
      </c>
      <c r="CT21" s="76" t="s">
        <v>71</v>
      </c>
      <c r="CU21" s="76" t="s">
        <v>60</v>
      </c>
      <c r="CV21" s="76" t="s">
        <v>71</v>
      </c>
      <c r="CW21" s="76" t="s">
        <v>60</v>
      </c>
      <c r="CX21" s="76" t="s">
        <v>71</v>
      </c>
      <c r="CY21" s="76" t="s">
        <v>60</v>
      </c>
      <c r="CZ21" s="76" t="s">
        <v>71</v>
      </c>
      <c r="DA21" s="76" t="s">
        <v>60</v>
      </c>
      <c r="DB21" s="76" t="s">
        <v>71</v>
      </c>
      <c r="DC21" s="76" t="s">
        <v>60</v>
      </c>
      <c r="DD21" s="76" t="s">
        <v>71</v>
      </c>
      <c r="DE21" s="137" t="str">
        <f t="shared" si="8"/>
        <v>9&lt; YEARS OLD</v>
      </c>
      <c r="DF21" s="137">
        <f t="shared" ref="DF21:DF34" si="14">IF(M21="CONTROL",0,1)</f>
        <v>0</v>
      </c>
    </row>
    <row r="22" spans="1:110" x14ac:dyDescent="0.2">
      <c r="A22" s="160"/>
      <c r="B22" s="5">
        <f t="shared" si="11"/>
        <v>20</v>
      </c>
      <c r="C22" s="65" t="str">
        <f t="shared" si="2"/>
        <v>CNS45</v>
      </c>
      <c r="D22" s="65"/>
      <c r="E22" s="65" t="str">
        <f t="shared" si="0"/>
        <v>CNS45_NEOPLASM</v>
      </c>
      <c r="F22" s="65" t="s">
        <v>100</v>
      </c>
      <c r="G22" s="66">
        <v>45</v>
      </c>
      <c r="H22" s="67"/>
      <c r="I22" s="67"/>
      <c r="J22" s="68" t="s">
        <v>25</v>
      </c>
      <c r="K22" s="68" t="s">
        <v>26</v>
      </c>
      <c r="L22" s="68" t="s">
        <v>300</v>
      </c>
      <c r="M22" s="69" t="s">
        <v>316</v>
      </c>
      <c r="N22" s="69" t="s">
        <v>314</v>
      </c>
      <c r="O22" s="69" t="s">
        <v>147</v>
      </c>
      <c r="P22" s="69" t="s">
        <v>147</v>
      </c>
      <c r="Q22" s="69" t="s">
        <v>148</v>
      </c>
      <c r="R22" s="70" t="s">
        <v>80</v>
      </c>
      <c r="S22" s="70" t="s">
        <v>85</v>
      </c>
      <c r="T22" s="70"/>
      <c r="U22" s="78" t="s">
        <v>28</v>
      </c>
      <c r="V22" s="78" t="s">
        <v>176</v>
      </c>
      <c r="W22" s="71"/>
      <c r="X22" s="71"/>
      <c r="Y22" s="72">
        <v>12.2</v>
      </c>
      <c r="Z22" s="72">
        <f t="shared" si="12"/>
        <v>621.59999999999991</v>
      </c>
      <c r="AA22" s="72">
        <f t="shared" ca="1" si="4"/>
        <v>3498.4166666666665</v>
      </c>
      <c r="AB22" s="71"/>
      <c r="AC22" s="71"/>
      <c r="AD22" s="73" t="str">
        <f t="shared" si="13"/>
        <v>NaN</v>
      </c>
      <c r="AE22" s="72" t="s">
        <v>71</v>
      </c>
      <c r="AF22" s="72" t="s">
        <v>68</v>
      </c>
      <c r="AG22" s="68" t="s">
        <v>48</v>
      </c>
      <c r="AH22" s="68">
        <v>0</v>
      </c>
      <c r="AI22" s="78" t="s">
        <v>60</v>
      </c>
      <c r="AJ22" s="74">
        <f t="shared" ca="1" si="7"/>
        <v>115.01643835616439</v>
      </c>
      <c r="AK22" s="68" t="s">
        <v>63</v>
      </c>
      <c r="AL22" s="68" t="s">
        <v>60</v>
      </c>
      <c r="AM22" s="68" t="s">
        <v>60</v>
      </c>
      <c r="AN22" s="68" t="s">
        <v>60</v>
      </c>
      <c r="AO22" s="75">
        <v>6.8</v>
      </c>
      <c r="AP22" s="75" t="s">
        <v>111</v>
      </c>
      <c r="AQ22" s="76" t="s">
        <v>112</v>
      </c>
      <c r="AR22" s="77" t="str">
        <f>IF(ISERROR(VLOOKUP(H22,[1]Tabelle1!$C$3:$BR$42,16,0)),"N/A",VLOOKUP(H22,[1]Tabelle1!$C$3:$BR$42,16,0))</f>
        <v>N/A</v>
      </c>
      <c r="AS22" s="77" t="str">
        <f>IF(ISERROR(VLOOKUP(H22,[1]Tabelle1!$C$3:$BR$42,17,0)),"N/A",VLOOKUP(H22,[1]Tabelle1!$C$3:$BR$42,17,0))</f>
        <v>N/A</v>
      </c>
      <c r="AT22" s="75" t="s">
        <v>71</v>
      </c>
      <c r="AU22" s="75">
        <v>237</v>
      </c>
      <c r="AV22" s="77" t="str">
        <f>IF(ISERROR(VLOOKUP(H22,[1]Tabelle1!$C$3:$BR$42,18,0)),"N/A",VLOOKUP(H22,[1]Tabelle1!$C$3:$BR$42,18,0))</f>
        <v>N/A</v>
      </c>
      <c r="AW22" s="77" t="str">
        <f>IF(ISERROR(VLOOKUP(H22,[1]Tabelle1!$C$3:$BR$42,19,0)),"N/A",VLOOKUP(H22,[1]Tabelle1!$C$3:$BR$42,19,0))</f>
        <v>N/A</v>
      </c>
      <c r="AX22" s="77" t="str">
        <f>IF(ISERROR(VLOOKUP(H22,[1]Tabelle1!$C$3:$BR$42,20,0)),"N/A",VLOOKUP(H22,[1]Tabelle1!$C$3:$BR$42,20,0))</f>
        <v>N/A</v>
      </c>
      <c r="AY22" s="77" t="str">
        <f>IF(ISERROR(VLOOKUP(H22,[1]Tabelle1!$C$3:$BR$42,21,0)),"N/A",VLOOKUP(H22,[1]Tabelle1!$C$3:$BR$42,21,0))</f>
        <v>N/A</v>
      </c>
      <c r="AZ22" s="77" t="str">
        <f>IF(ISERROR(VLOOKUP(H22,[1]Tabelle1!$C$3:$BR$42,22,0)),"N/A",VLOOKUP(H22,[1]Tabelle1!$C$3:$BR$42,22,0))</f>
        <v>N/A</v>
      </c>
      <c r="BA22" s="77" t="str">
        <f>IF(ISERROR(VLOOKUP(H22,[1]Tabelle1!$C$3:$BR$42,23,0)),"N/A",VLOOKUP(H22,[1]Tabelle1!$C$3:$BR$42,23,0))</f>
        <v>N/A</v>
      </c>
      <c r="BB22" s="77" t="str">
        <f>IF(ISERROR(VLOOKUP(H22,[1]Tabelle1!$C$3:$BR$42,24,0)),"N/A",VLOOKUP(H22,[1]Tabelle1!$C$3:$BR$42,24,0))</f>
        <v>N/A</v>
      </c>
      <c r="BC22" s="77" t="str">
        <f>IF(ISERROR(VLOOKUP(H22,[1]Tabelle1!$C$3:$BR$42,25,0)),"N/A",VLOOKUP(H22,[1]Tabelle1!$C$3:$BR$42,25,0))</f>
        <v>N/A</v>
      </c>
      <c r="BD22" s="77" t="str">
        <f>IF(ISERROR(VLOOKUP(H22,[1]Tabelle1!$C$3:$BR$42,26,0)),"N/A",VLOOKUP(H22,[1]Tabelle1!$C$3:$BR$42,26,0))</f>
        <v>N/A</v>
      </c>
      <c r="BE22" s="77" t="str">
        <f>IF(ISERROR(VLOOKUP(H22,[1]Tabelle1!$C$3:$BR$42,27,0)),"N/A",VLOOKUP(H22,[1]Tabelle1!$C$3:$BR$42,27,0))</f>
        <v>N/A</v>
      </c>
      <c r="BF22" s="77" t="str">
        <f>IF(ISERROR(VLOOKUP(H22,[1]Tabelle1!$C$3:$BR$42,28,0)),"N/A",VLOOKUP(H22,[1]Tabelle1!$C$3:$BR$42,28,0))</f>
        <v>N/A</v>
      </c>
      <c r="BG22" s="77" t="str">
        <f>IF(ISERROR(VLOOKUP(H22,[1]Tabelle1!$C$3:$BR$42,29,0)),"N/A",VLOOKUP(H22,[1]Tabelle1!$C$3:$BR$42,29,0))</f>
        <v>N/A</v>
      </c>
      <c r="BH22" s="77" t="str">
        <f>IF(ISERROR(VLOOKUP(H22,[1]Tabelle1!$C$3:$BR$42,30,0)),"N/A",VLOOKUP(H22,[1]Tabelle1!$C$3:$BR$42,30,0))</f>
        <v>N/A</v>
      </c>
      <c r="BI22" s="77" t="str">
        <f>IF(ISERROR(VLOOKUP(H22,[1]Tabelle1!$C$3:$BR$42,31,0)),"N/A",VLOOKUP(H22,[1]Tabelle1!$C$3:$BR$42,31,0))</f>
        <v>N/A</v>
      </c>
      <c r="BJ22" s="77" t="str">
        <f>IF(ISERROR(VLOOKUP(H22,[1]Tabelle1!$C$3:$BR$42,32,0)),"N/A",VLOOKUP(H22,[1]Tabelle1!$C$3:$BR$42,32,0))</f>
        <v>N/A</v>
      </c>
      <c r="BK22" s="77" t="str">
        <f>IF(ISERROR(VLOOKUP(H22,[1]Tabelle1!$C$3:$BR$42,33,0)),"N/A",VLOOKUP(H22,[1]Tabelle1!$C$3:$BR$42,33,0))</f>
        <v>N/A</v>
      </c>
      <c r="BL22" s="77" t="str">
        <f>IF(ISERROR(VLOOKUP(H22,[1]Tabelle1!$C$3:$BR$42,34,0)),"N/A",VLOOKUP(H22,[1]Tabelle1!$C$3:$BR$42,34,0))</f>
        <v>N/A</v>
      </c>
      <c r="BM22" s="77" t="str">
        <f>IF(ISERROR(VLOOKUP(H22,[1]Tabelle1!$C$3:$BR$42,35,0)),"N/A",VLOOKUP(H22,[1]Tabelle1!$C$3:$BR$42,35,0))</f>
        <v>N/A</v>
      </c>
      <c r="BN22" s="77" t="str">
        <f>IF(ISERROR(VLOOKUP(H22,[1]Tabelle1!$C$3:$BR$42,36,0)),"N/A",VLOOKUP(H22,[1]Tabelle1!$C$3:$BR$42,36,0))</f>
        <v>N/A</v>
      </c>
      <c r="BO22" s="77" t="str">
        <f>IF(ISERROR(VLOOKUP(H22,[1]Tabelle1!$C$3:$BR$42,37,0)),"N/A",VLOOKUP(H22,[1]Tabelle1!$C$3:$BR$42,37,0))</f>
        <v>N/A</v>
      </c>
      <c r="BP22" s="77" t="str">
        <f>IF(ISERROR(VLOOKUP(H22,[1]Tabelle1!$C$3:$BR$42,38,0)),"N/A",VLOOKUP(H22,[1]Tabelle1!$C$3:$BR$42,38,0))</f>
        <v>N/A</v>
      </c>
      <c r="BQ22" s="77" t="str">
        <f>IF(ISERROR(VLOOKUP(H22,[1]Tabelle1!$C$3:$BR$42,39,0)),"N/A",VLOOKUP(H22,[1]Tabelle1!$C$3:$BR$42,39,0))</f>
        <v>N/A</v>
      </c>
      <c r="BR22" s="77" t="str">
        <f>IF(ISERROR(VLOOKUP(H22,[1]Tabelle1!$C$3:$BR$42,40,0)),"N/A",VLOOKUP(H22,[1]Tabelle1!$C$3:$BR$42,40,0))</f>
        <v>N/A</v>
      </c>
      <c r="BS22" s="77" t="str">
        <f>IF(ISERROR(VLOOKUP(H22,[1]Tabelle1!$C$3:$BR$42,41,0)),"N/A",VLOOKUP(H22,[1]Tabelle1!$C$3:$BR$42,41,0))</f>
        <v>N/A</v>
      </c>
      <c r="BT22" s="77" t="str">
        <f>IF(ISERROR(VLOOKUP(H22,[1]Tabelle1!$C$3:$BR$42,42,0)),"N/A",VLOOKUP(H22,[1]Tabelle1!$C$3:$BR$42,42,0))</f>
        <v>N/A</v>
      </c>
      <c r="BU22" s="68" t="s">
        <v>72</v>
      </c>
      <c r="BV22" s="76" t="s">
        <v>71</v>
      </c>
      <c r="BW22" s="68" t="s">
        <v>72</v>
      </c>
      <c r="BX22" s="76" t="s">
        <v>71</v>
      </c>
      <c r="BY22" s="68" t="s">
        <v>74</v>
      </c>
      <c r="BZ22" s="76">
        <v>0</v>
      </c>
      <c r="CA22" s="68" t="s">
        <v>72</v>
      </c>
      <c r="CB22" s="76">
        <v>0.15</v>
      </c>
      <c r="CC22" s="68" t="s">
        <v>72</v>
      </c>
      <c r="CD22" s="76">
        <v>0.2</v>
      </c>
      <c r="CE22" s="68" t="s">
        <v>72</v>
      </c>
      <c r="CF22" s="76" t="s">
        <v>71</v>
      </c>
      <c r="CG22" s="68" t="s">
        <v>60</v>
      </c>
      <c r="CH22" s="76" t="s">
        <v>71</v>
      </c>
      <c r="CI22" s="68" t="s">
        <v>60</v>
      </c>
      <c r="CJ22" s="76" t="s">
        <v>71</v>
      </c>
      <c r="CK22" s="68" t="s">
        <v>60</v>
      </c>
      <c r="CL22" s="76" t="s">
        <v>71</v>
      </c>
      <c r="CM22" s="68" t="s">
        <v>72</v>
      </c>
      <c r="CN22" s="76">
        <v>0.55000000000000004</v>
      </c>
      <c r="CO22" s="68" t="s">
        <v>74</v>
      </c>
      <c r="CP22" s="76">
        <v>0</v>
      </c>
      <c r="CQ22" s="68" t="s">
        <v>74</v>
      </c>
      <c r="CR22" s="76">
        <v>0</v>
      </c>
      <c r="CS22" s="76" t="s">
        <v>60</v>
      </c>
      <c r="CT22" s="76" t="s">
        <v>71</v>
      </c>
      <c r="CU22" s="76" t="s">
        <v>72</v>
      </c>
      <c r="CV22" s="76">
        <v>0.7</v>
      </c>
      <c r="CW22" s="76" t="s">
        <v>60</v>
      </c>
      <c r="CX22" s="76" t="s">
        <v>71</v>
      </c>
      <c r="CY22" s="76" t="s">
        <v>60</v>
      </c>
      <c r="CZ22" s="76" t="s">
        <v>71</v>
      </c>
      <c r="DA22" s="76" t="s">
        <v>60</v>
      </c>
      <c r="DB22" s="76" t="s">
        <v>71</v>
      </c>
      <c r="DC22" s="76" t="s">
        <v>60</v>
      </c>
      <c r="DD22" s="76" t="s">
        <v>71</v>
      </c>
      <c r="DE22" s="137" t="str">
        <f t="shared" si="8"/>
        <v>9&lt; YEARS OLD</v>
      </c>
      <c r="DF22" s="137">
        <f t="shared" si="14"/>
        <v>1</v>
      </c>
    </row>
    <row r="23" spans="1:110" x14ac:dyDescent="0.2">
      <c r="A23" s="160"/>
      <c r="B23" s="5">
        <f t="shared" si="11"/>
        <v>21</v>
      </c>
      <c r="C23" s="65" t="str">
        <f t="shared" si="2"/>
        <v>CNS46</v>
      </c>
      <c r="D23" s="65"/>
      <c r="E23" s="65" t="str">
        <f t="shared" si="0"/>
        <v>CNS46_NEOPLASM</v>
      </c>
      <c r="F23" s="65" t="s">
        <v>101</v>
      </c>
      <c r="G23" s="66">
        <v>46</v>
      </c>
      <c r="H23" s="67"/>
      <c r="I23" s="67"/>
      <c r="J23" s="68" t="s">
        <v>25</v>
      </c>
      <c r="K23" s="68" t="s">
        <v>26</v>
      </c>
      <c r="L23" s="68" t="s">
        <v>300</v>
      </c>
      <c r="M23" s="69" t="s">
        <v>316</v>
      </c>
      <c r="N23" s="69" t="s">
        <v>314</v>
      </c>
      <c r="O23" s="69" t="s">
        <v>147</v>
      </c>
      <c r="P23" s="69" t="s">
        <v>147</v>
      </c>
      <c r="Q23" s="69" t="s">
        <v>148</v>
      </c>
      <c r="R23" s="70" t="s">
        <v>80</v>
      </c>
      <c r="S23" s="70" t="s">
        <v>60</v>
      </c>
      <c r="T23" s="70"/>
      <c r="U23" s="68" t="s">
        <v>28</v>
      </c>
      <c r="V23" s="68" t="s">
        <v>174</v>
      </c>
      <c r="W23" s="71"/>
      <c r="X23" s="71"/>
      <c r="Y23" s="72">
        <v>10.016438356164384</v>
      </c>
      <c r="Z23" s="72">
        <f t="shared" si="12"/>
        <v>516.78904109589041</v>
      </c>
      <c r="AA23" s="72">
        <f t="shared" ca="1" si="4"/>
        <v>3498.4166666666665</v>
      </c>
      <c r="AB23" s="71"/>
      <c r="AC23" s="71"/>
      <c r="AD23" s="73" t="str">
        <f t="shared" si="13"/>
        <v>NaN</v>
      </c>
      <c r="AE23" s="72" t="s">
        <v>71</v>
      </c>
      <c r="AF23" s="72" t="s">
        <v>68</v>
      </c>
      <c r="AG23" s="68" t="s">
        <v>61</v>
      </c>
      <c r="AH23" s="68">
        <v>1</v>
      </c>
      <c r="AI23" s="68" t="s">
        <v>60</v>
      </c>
      <c r="AJ23" s="74" t="str">
        <f t="shared" ca="1" si="7"/>
        <v>NaN</v>
      </c>
      <c r="AK23" s="68" t="s">
        <v>62</v>
      </c>
      <c r="AL23" s="68" t="s">
        <v>60</v>
      </c>
      <c r="AM23" s="68" t="s">
        <v>60</v>
      </c>
      <c r="AN23" s="68" t="s">
        <v>60</v>
      </c>
      <c r="AO23" s="75" t="s">
        <v>71</v>
      </c>
      <c r="AP23" s="75" t="s">
        <v>71</v>
      </c>
      <c r="AQ23" s="76" t="s">
        <v>71</v>
      </c>
      <c r="AR23" s="77" t="str">
        <f>IF(ISERROR(VLOOKUP(H23,[1]Tabelle1!$C$3:$BR$42,16,0)),"N/A",VLOOKUP(H23,[1]Tabelle1!$C$3:$BR$42,16,0))</f>
        <v>N/A</v>
      </c>
      <c r="AS23" s="77" t="str">
        <f>IF(ISERROR(VLOOKUP(H23,[1]Tabelle1!$C$3:$BR$42,17,0)),"N/A",VLOOKUP(H23,[1]Tabelle1!$C$3:$BR$42,17,0))</f>
        <v>N/A</v>
      </c>
      <c r="AT23" s="75" t="s">
        <v>71</v>
      </c>
      <c r="AU23" s="75" t="s">
        <v>71</v>
      </c>
      <c r="AV23" s="77" t="str">
        <f>IF(ISERROR(VLOOKUP(H23,[1]Tabelle1!$C$3:$BR$42,18,0)),"N/A",VLOOKUP(H23,[1]Tabelle1!$C$3:$BR$42,18,0))</f>
        <v>N/A</v>
      </c>
      <c r="AW23" s="77" t="str">
        <f>IF(ISERROR(VLOOKUP(H23,[1]Tabelle1!$C$3:$BR$42,19,0)),"N/A",VLOOKUP(H23,[1]Tabelle1!$C$3:$BR$42,19,0))</f>
        <v>N/A</v>
      </c>
      <c r="AX23" s="77" t="str">
        <f>IF(ISERROR(VLOOKUP(H23,[1]Tabelle1!$C$3:$BR$42,20,0)),"N/A",VLOOKUP(H23,[1]Tabelle1!$C$3:$BR$42,20,0))</f>
        <v>N/A</v>
      </c>
      <c r="AY23" s="77" t="str">
        <f>IF(ISERROR(VLOOKUP(H23,[1]Tabelle1!$C$3:$BR$42,21,0)),"N/A",VLOOKUP(H23,[1]Tabelle1!$C$3:$BR$42,21,0))</f>
        <v>N/A</v>
      </c>
      <c r="AZ23" s="77" t="str">
        <f>IF(ISERROR(VLOOKUP(H23,[1]Tabelle1!$C$3:$BR$42,22,0)),"N/A",VLOOKUP(H23,[1]Tabelle1!$C$3:$BR$42,22,0))</f>
        <v>N/A</v>
      </c>
      <c r="BA23" s="77" t="str">
        <f>IF(ISERROR(VLOOKUP(H23,[1]Tabelle1!$C$3:$BR$42,23,0)),"N/A",VLOOKUP(H23,[1]Tabelle1!$C$3:$BR$42,23,0))</f>
        <v>N/A</v>
      </c>
      <c r="BB23" s="77" t="str">
        <f>IF(ISERROR(VLOOKUP(H23,[1]Tabelle1!$C$3:$BR$42,24,0)),"N/A",VLOOKUP(H23,[1]Tabelle1!$C$3:$BR$42,24,0))</f>
        <v>N/A</v>
      </c>
      <c r="BC23" s="77" t="str">
        <f>IF(ISERROR(VLOOKUP(H23,[1]Tabelle1!$C$3:$BR$42,25,0)),"N/A",VLOOKUP(H23,[1]Tabelle1!$C$3:$BR$42,25,0))</f>
        <v>N/A</v>
      </c>
      <c r="BD23" s="77" t="str">
        <f>IF(ISERROR(VLOOKUP(H23,[1]Tabelle1!$C$3:$BR$42,26,0)),"N/A",VLOOKUP(H23,[1]Tabelle1!$C$3:$BR$42,26,0))</f>
        <v>N/A</v>
      </c>
      <c r="BE23" s="77" t="str">
        <f>IF(ISERROR(VLOOKUP(H23,[1]Tabelle1!$C$3:$BR$42,27,0)),"N/A",VLOOKUP(H23,[1]Tabelle1!$C$3:$BR$42,27,0))</f>
        <v>N/A</v>
      </c>
      <c r="BF23" s="77" t="str">
        <f>IF(ISERROR(VLOOKUP(H23,[1]Tabelle1!$C$3:$BR$42,28,0)),"N/A",VLOOKUP(H23,[1]Tabelle1!$C$3:$BR$42,28,0))</f>
        <v>N/A</v>
      </c>
      <c r="BG23" s="77" t="str">
        <f>IF(ISERROR(VLOOKUP(H23,[1]Tabelle1!$C$3:$BR$42,29,0)),"N/A",VLOOKUP(H23,[1]Tabelle1!$C$3:$BR$42,29,0))</f>
        <v>N/A</v>
      </c>
      <c r="BH23" s="77" t="str">
        <f>IF(ISERROR(VLOOKUP(H23,[1]Tabelle1!$C$3:$BR$42,30,0)),"N/A",VLOOKUP(H23,[1]Tabelle1!$C$3:$BR$42,30,0))</f>
        <v>N/A</v>
      </c>
      <c r="BI23" s="77" t="str">
        <f>IF(ISERROR(VLOOKUP(H23,[1]Tabelle1!$C$3:$BR$42,31,0)),"N/A",VLOOKUP(H23,[1]Tabelle1!$C$3:$BR$42,31,0))</f>
        <v>N/A</v>
      </c>
      <c r="BJ23" s="77" t="str">
        <f>IF(ISERROR(VLOOKUP(H23,[1]Tabelle1!$C$3:$BR$42,32,0)),"N/A",VLOOKUP(H23,[1]Tabelle1!$C$3:$BR$42,32,0))</f>
        <v>N/A</v>
      </c>
      <c r="BK23" s="77" t="str">
        <f>IF(ISERROR(VLOOKUP(H23,[1]Tabelle1!$C$3:$BR$42,33,0)),"N/A",VLOOKUP(H23,[1]Tabelle1!$C$3:$BR$42,33,0))</f>
        <v>N/A</v>
      </c>
      <c r="BL23" s="77" t="str">
        <f>IF(ISERROR(VLOOKUP(H23,[1]Tabelle1!$C$3:$BR$42,34,0)),"N/A",VLOOKUP(H23,[1]Tabelle1!$C$3:$BR$42,34,0))</f>
        <v>N/A</v>
      </c>
      <c r="BM23" s="77" t="str">
        <f>IF(ISERROR(VLOOKUP(H23,[1]Tabelle1!$C$3:$BR$42,35,0)),"N/A",VLOOKUP(H23,[1]Tabelle1!$C$3:$BR$42,35,0))</f>
        <v>N/A</v>
      </c>
      <c r="BN23" s="77" t="str">
        <f>IF(ISERROR(VLOOKUP(H23,[1]Tabelle1!$C$3:$BR$42,36,0)),"N/A",VLOOKUP(H23,[1]Tabelle1!$C$3:$BR$42,36,0))</f>
        <v>N/A</v>
      </c>
      <c r="BO23" s="77" t="str">
        <f>IF(ISERROR(VLOOKUP(H23,[1]Tabelle1!$C$3:$BR$42,37,0)),"N/A",VLOOKUP(H23,[1]Tabelle1!$C$3:$BR$42,37,0))</f>
        <v>N/A</v>
      </c>
      <c r="BP23" s="77" t="str">
        <f>IF(ISERROR(VLOOKUP(H23,[1]Tabelle1!$C$3:$BR$42,38,0)),"N/A",VLOOKUP(H23,[1]Tabelle1!$C$3:$BR$42,38,0))</f>
        <v>N/A</v>
      </c>
      <c r="BQ23" s="77" t="str">
        <f>IF(ISERROR(VLOOKUP(H23,[1]Tabelle1!$C$3:$BR$42,39,0)),"N/A",VLOOKUP(H23,[1]Tabelle1!$C$3:$BR$42,39,0))</f>
        <v>N/A</v>
      </c>
      <c r="BR23" s="77" t="str">
        <f>IF(ISERROR(VLOOKUP(H23,[1]Tabelle1!$C$3:$BR$42,40,0)),"N/A",VLOOKUP(H23,[1]Tabelle1!$C$3:$BR$42,40,0))</f>
        <v>N/A</v>
      </c>
      <c r="BS23" s="77" t="str">
        <f>IF(ISERROR(VLOOKUP(H23,[1]Tabelle1!$C$3:$BR$42,41,0)),"N/A",VLOOKUP(H23,[1]Tabelle1!$C$3:$BR$42,41,0))</f>
        <v>N/A</v>
      </c>
      <c r="BT23" s="77" t="str">
        <f>IF(ISERROR(VLOOKUP(H23,[1]Tabelle1!$C$3:$BR$42,42,0)),"N/A",VLOOKUP(H23,[1]Tabelle1!$C$3:$BR$42,42,0))</f>
        <v>N/A</v>
      </c>
      <c r="BU23" s="68" t="s">
        <v>74</v>
      </c>
      <c r="BV23" s="76">
        <v>0</v>
      </c>
      <c r="BW23" s="68" t="s">
        <v>72</v>
      </c>
      <c r="BX23" s="76" t="s">
        <v>71</v>
      </c>
      <c r="BY23" s="68" t="s">
        <v>74</v>
      </c>
      <c r="BZ23" s="76">
        <v>0</v>
      </c>
      <c r="CA23" s="68" t="s">
        <v>72</v>
      </c>
      <c r="CB23" s="76">
        <v>0.2</v>
      </c>
      <c r="CC23" s="68" t="s">
        <v>72</v>
      </c>
      <c r="CD23" s="76">
        <v>0.1</v>
      </c>
      <c r="CE23" s="68" t="s">
        <v>72</v>
      </c>
      <c r="CF23" s="76" t="s">
        <v>71</v>
      </c>
      <c r="CG23" s="68" t="s">
        <v>60</v>
      </c>
      <c r="CH23" s="76" t="s">
        <v>71</v>
      </c>
      <c r="CI23" s="68" t="s">
        <v>60</v>
      </c>
      <c r="CJ23" s="76" t="s">
        <v>71</v>
      </c>
      <c r="CK23" s="68" t="s">
        <v>60</v>
      </c>
      <c r="CL23" s="76" t="s">
        <v>71</v>
      </c>
      <c r="CM23" s="68" t="s">
        <v>72</v>
      </c>
      <c r="CN23" s="76">
        <v>0.35</v>
      </c>
      <c r="CO23" s="68" t="s">
        <v>74</v>
      </c>
      <c r="CP23" s="76">
        <v>0</v>
      </c>
      <c r="CQ23" s="68" t="s">
        <v>74</v>
      </c>
      <c r="CR23" s="76">
        <v>0</v>
      </c>
      <c r="CS23" s="76" t="s">
        <v>60</v>
      </c>
      <c r="CT23" s="76" t="s">
        <v>71</v>
      </c>
      <c r="CU23" s="76" t="s">
        <v>72</v>
      </c>
      <c r="CV23" s="76">
        <v>0.6</v>
      </c>
      <c r="CW23" s="76" t="s">
        <v>60</v>
      </c>
      <c r="CX23" s="76" t="s">
        <v>71</v>
      </c>
      <c r="CY23" s="76" t="s">
        <v>74</v>
      </c>
      <c r="CZ23" s="76">
        <v>0</v>
      </c>
      <c r="DA23" s="76" t="s">
        <v>74</v>
      </c>
      <c r="DB23" s="76">
        <v>0</v>
      </c>
      <c r="DC23" s="76" t="s">
        <v>60</v>
      </c>
      <c r="DD23" s="76" t="s">
        <v>71</v>
      </c>
      <c r="DE23" s="137" t="str">
        <f t="shared" si="8"/>
        <v>9&lt; YEARS OLD</v>
      </c>
      <c r="DF23" s="137">
        <f t="shared" si="14"/>
        <v>1</v>
      </c>
    </row>
    <row r="24" spans="1:110" x14ac:dyDescent="0.2">
      <c r="A24" s="160"/>
      <c r="B24" s="5">
        <f t="shared" si="11"/>
        <v>22</v>
      </c>
      <c r="C24" s="80" t="str">
        <f t="shared" si="2"/>
        <v>CNS47</v>
      </c>
      <c r="D24" s="80"/>
      <c r="E24" s="80" t="str">
        <f t="shared" si="0"/>
        <v>CNS47_NEOPLASM</v>
      </c>
      <c r="F24" s="80" t="s">
        <v>102</v>
      </c>
      <c r="G24" s="81">
        <v>47</v>
      </c>
      <c r="H24" s="82"/>
      <c r="I24" s="82"/>
      <c r="J24" s="83" t="s">
        <v>25</v>
      </c>
      <c r="K24" s="83" t="s">
        <v>26</v>
      </c>
      <c r="L24" s="83" t="s">
        <v>300</v>
      </c>
      <c r="M24" s="84" t="s">
        <v>316</v>
      </c>
      <c r="N24" s="84" t="s">
        <v>314</v>
      </c>
      <c r="O24" s="84" t="s">
        <v>147</v>
      </c>
      <c r="P24" s="84" t="s">
        <v>147</v>
      </c>
      <c r="Q24" s="84" t="s">
        <v>148</v>
      </c>
      <c r="R24" s="85" t="s">
        <v>80</v>
      </c>
      <c r="S24" s="85" t="s">
        <v>60</v>
      </c>
      <c r="T24" s="85"/>
      <c r="U24" s="83" t="s">
        <v>28</v>
      </c>
      <c r="V24" s="83" t="s">
        <v>176</v>
      </c>
      <c r="W24" s="86"/>
      <c r="X24" s="86"/>
      <c r="Y24" s="87">
        <v>16.06027397260274</v>
      </c>
      <c r="Z24" s="87">
        <f t="shared" si="12"/>
        <v>806.89315068493147</v>
      </c>
      <c r="AA24" s="87">
        <f t="shared" ca="1" si="4"/>
        <v>3498.4166666666665</v>
      </c>
      <c r="AB24" s="86"/>
      <c r="AC24" s="86"/>
      <c r="AD24" s="88" t="str">
        <f t="shared" si="13"/>
        <v>NaN</v>
      </c>
      <c r="AE24" s="87" t="s">
        <v>71</v>
      </c>
      <c r="AF24" s="87" t="s">
        <v>62</v>
      </c>
      <c r="AG24" s="83" t="s">
        <v>61</v>
      </c>
      <c r="AH24" s="89">
        <v>1</v>
      </c>
      <c r="AI24" s="83" t="s">
        <v>60</v>
      </c>
      <c r="AJ24" s="90" t="str">
        <f t="shared" ca="1" si="7"/>
        <v>NaN</v>
      </c>
      <c r="AK24" s="83" t="s">
        <v>110</v>
      </c>
      <c r="AL24" s="83" t="s">
        <v>27</v>
      </c>
      <c r="AM24" s="83" t="s">
        <v>28</v>
      </c>
      <c r="AN24" s="83" t="s">
        <v>85</v>
      </c>
      <c r="AO24" s="91" t="s">
        <v>71</v>
      </c>
      <c r="AP24" s="91" t="s">
        <v>71</v>
      </c>
      <c r="AQ24" s="91" t="s">
        <v>71</v>
      </c>
      <c r="AR24" s="92" t="s">
        <v>71</v>
      </c>
      <c r="AS24" s="92" t="s">
        <v>71</v>
      </c>
      <c r="AT24" s="91" t="s">
        <v>71</v>
      </c>
      <c r="AU24" s="91" t="s">
        <v>71</v>
      </c>
      <c r="AV24" s="92" t="s">
        <v>71</v>
      </c>
      <c r="AW24" s="92" t="s">
        <v>71</v>
      </c>
      <c r="AX24" s="92" t="s">
        <v>71</v>
      </c>
      <c r="AY24" s="92" t="s">
        <v>71</v>
      </c>
      <c r="AZ24" s="92" t="s">
        <v>71</v>
      </c>
      <c r="BA24" s="92" t="s">
        <v>71</v>
      </c>
      <c r="BB24" s="92" t="s">
        <v>71</v>
      </c>
      <c r="BC24" s="92" t="s">
        <v>71</v>
      </c>
      <c r="BD24" s="92" t="s">
        <v>71</v>
      </c>
      <c r="BE24" s="92" t="s">
        <v>71</v>
      </c>
      <c r="BF24" s="92" t="s">
        <v>71</v>
      </c>
      <c r="BG24" s="92" t="s">
        <v>71</v>
      </c>
      <c r="BH24" s="92" t="s">
        <v>71</v>
      </c>
      <c r="BI24" s="92" t="s">
        <v>71</v>
      </c>
      <c r="BJ24" s="92" t="s">
        <v>71</v>
      </c>
      <c r="BK24" s="92" t="s">
        <v>71</v>
      </c>
      <c r="BL24" s="92" t="s">
        <v>71</v>
      </c>
      <c r="BM24" s="92" t="s">
        <v>71</v>
      </c>
      <c r="BN24" s="92" t="s">
        <v>71</v>
      </c>
      <c r="BO24" s="92" t="s">
        <v>71</v>
      </c>
      <c r="BP24" s="92" t="s">
        <v>71</v>
      </c>
      <c r="BQ24" s="92" t="s">
        <v>71</v>
      </c>
      <c r="BR24" s="92" t="s">
        <v>71</v>
      </c>
      <c r="BS24" s="92" t="s">
        <v>71</v>
      </c>
      <c r="BT24" s="92" t="s">
        <v>71</v>
      </c>
      <c r="BU24" s="83" t="s">
        <v>74</v>
      </c>
      <c r="BV24" s="93">
        <v>0</v>
      </c>
      <c r="BW24" s="83" t="s">
        <v>72</v>
      </c>
      <c r="BX24" s="93" t="s">
        <v>71</v>
      </c>
      <c r="BY24" s="83" t="s">
        <v>74</v>
      </c>
      <c r="BZ24" s="93">
        <v>0</v>
      </c>
      <c r="CA24" s="83" t="s">
        <v>72</v>
      </c>
      <c r="CB24" s="93">
        <v>0.3</v>
      </c>
      <c r="CC24" s="83" t="s">
        <v>74</v>
      </c>
      <c r="CD24" s="93">
        <v>0</v>
      </c>
      <c r="CE24" s="83" t="s">
        <v>72</v>
      </c>
      <c r="CF24" s="93">
        <v>0.2</v>
      </c>
      <c r="CG24" s="83" t="s">
        <v>60</v>
      </c>
      <c r="CH24" s="93" t="s">
        <v>71</v>
      </c>
      <c r="CI24" s="83" t="s">
        <v>74</v>
      </c>
      <c r="CJ24" s="93">
        <v>0</v>
      </c>
      <c r="CK24" s="83" t="s">
        <v>72</v>
      </c>
      <c r="CL24" s="93">
        <v>0.95</v>
      </c>
      <c r="CM24" s="83" t="s">
        <v>72</v>
      </c>
      <c r="CN24" s="93">
        <v>0.4</v>
      </c>
      <c r="CO24" s="83" t="s">
        <v>74</v>
      </c>
      <c r="CP24" s="93">
        <v>0</v>
      </c>
      <c r="CQ24" s="83" t="s">
        <v>74</v>
      </c>
      <c r="CR24" s="93">
        <v>0</v>
      </c>
      <c r="CS24" s="93" t="s">
        <v>60</v>
      </c>
      <c r="CT24" s="93" t="s">
        <v>71</v>
      </c>
      <c r="CU24" s="93" t="s">
        <v>60</v>
      </c>
      <c r="CV24" s="93" t="s">
        <v>60</v>
      </c>
      <c r="CW24" s="93" t="s">
        <v>60</v>
      </c>
      <c r="CX24" s="93" t="s">
        <v>71</v>
      </c>
      <c r="CY24" s="93" t="s">
        <v>60</v>
      </c>
      <c r="CZ24" s="93" t="s">
        <v>71</v>
      </c>
      <c r="DA24" s="93" t="s">
        <v>60</v>
      </c>
      <c r="DB24" s="93" t="s">
        <v>71</v>
      </c>
      <c r="DC24" s="93" t="s">
        <v>60</v>
      </c>
      <c r="DD24" s="93" t="s">
        <v>71</v>
      </c>
      <c r="DE24" s="137" t="str">
        <f t="shared" si="8"/>
        <v>9&lt; YEARS OLD</v>
      </c>
      <c r="DF24" s="137">
        <f t="shared" si="14"/>
        <v>1</v>
      </c>
    </row>
    <row r="25" spans="1:110" x14ac:dyDescent="0.2">
      <c r="A25" s="160"/>
      <c r="B25" s="5">
        <f t="shared" si="11"/>
        <v>23</v>
      </c>
      <c r="C25" s="80" t="str">
        <f t="shared" si="2"/>
        <v>CNS48</v>
      </c>
      <c r="D25" s="80"/>
      <c r="E25" s="80" t="str">
        <f t="shared" si="0"/>
        <v>CNS48_NEOPLASM</v>
      </c>
      <c r="F25" s="80" t="s">
        <v>103</v>
      </c>
      <c r="G25" s="81">
        <v>48</v>
      </c>
      <c r="H25" s="82"/>
      <c r="I25" s="82"/>
      <c r="J25" s="83" t="s">
        <v>24</v>
      </c>
      <c r="K25" s="83" t="s">
        <v>26</v>
      </c>
      <c r="L25" s="83" t="s">
        <v>300</v>
      </c>
      <c r="M25" s="84" t="s">
        <v>316</v>
      </c>
      <c r="N25" s="84" t="s">
        <v>314</v>
      </c>
      <c r="O25" s="84" t="s">
        <v>147</v>
      </c>
      <c r="P25" s="84" t="s">
        <v>147</v>
      </c>
      <c r="Q25" s="84" t="s">
        <v>148</v>
      </c>
      <c r="R25" s="85" t="s">
        <v>109</v>
      </c>
      <c r="S25" s="85" t="s">
        <v>60</v>
      </c>
      <c r="T25" s="85"/>
      <c r="U25" s="83" t="s">
        <v>28</v>
      </c>
      <c r="V25" s="83" t="s">
        <v>174</v>
      </c>
      <c r="W25" s="86"/>
      <c r="X25" s="86"/>
      <c r="Y25" s="87">
        <v>7.9479452054794519</v>
      </c>
      <c r="Z25" s="87">
        <f t="shared" si="12"/>
        <v>417.50136986301368</v>
      </c>
      <c r="AA25" s="87">
        <f t="shared" ca="1" si="4"/>
        <v>3498.4166666666665</v>
      </c>
      <c r="AB25" s="86"/>
      <c r="AC25" s="86"/>
      <c r="AD25" s="88" t="str">
        <f t="shared" si="13"/>
        <v>NaN</v>
      </c>
      <c r="AE25" s="87" t="s">
        <v>71</v>
      </c>
      <c r="AF25" s="87" t="s">
        <v>68</v>
      </c>
      <c r="AG25" s="83" t="s">
        <v>61</v>
      </c>
      <c r="AH25" s="89">
        <v>1</v>
      </c>
      <c r="AI25" s="94">
        <v>40834</v>
      </c>
      <c r="AJ25" s="90">
        <f t="shared" ca="1" si="7"/>
        <v>111.87397260273973</v>
      </c>
      <c r="AK25" s="83" t="s">
        <v>62</v>
      </c>
      <c r="AL25" s="83" t="s">
        <v>60</v>
      </c>
      <c r="AM25" s="83" t="s">
        <v>60</v>
      </c>
      <c r="AN25" s="83" t="s">
        <v>60</v>
      </c>
      <c r="AO25" s="91">
        <v>11.8</v>
      </c>
      <c r="AP25" s="91" t="s">
        <v>71</v>
      </c>
      <c r="AQ25" s="93" t="s">
        <v>71</v>
      </c>
      <c r="AR25" s="92" t="str">
        <f>IF(ISERROR(VLOOKUP(H25,[1]Tabelle1!$C$3:$BR$42,16,0)),"N/A",VLOOKUP(H25,[1]Tabelle1!$C$3:$BR$42,16,0))</f>
        <v>N/A</v>
      </c>
      <c r="AS25" s="95" t="str">
        <f>IF(ISERROR(VLOOKUP(H25,[1]Tabelle1!$C$3:$BR$42,17,0)),"N/A",VLOOKUP(H25,[1]Tabelle1!$C$3:$BR$42,17,0))</f>
        <v>N/A</v>
      </c>
      <c r="AT25" s="91" t="s">
        <v>71</v>
      </c>
      <c r="AU25" s="91" t="s">
        <v>71</v>
      </c>
      <c r="AV25" s="92" t="str">
        <f>IF(ISERROR(VLOOKUP(H25,[1]Tabelle1!$C$3:$BR$42,18,0)),"N/A",VLOOKUP(H25,[1]Tabelle1!$C$3:$BR$42,18,0))</f>
        <v>N/A</v>
      </c>
      <c r="AW25" s="92" t="str">
        <f>IF(ISERROR(VLOOKUP(H25,[1]Tabelle1!$C$3:$BR$42,19,0)),"N/A",VLOOKUP(H25,[1]Tabelle1!$C$3:$BR$42,19,0))</f>
        <v>N/A</v>
      </c>
      <c r="AX25" s="92" t="str">
        <f>IF(ISERROR(VLOOKUP(H25,[1]Tabelle1!$C$3:$BR$42,20,0)),"N/A",VLOOKUP(H25,[1]Tabelle1!$C$3:$BR$42,20,0))</f>
        <v>N/A</v>
      </c>
      <c r="AY25" s="92" t="str">
        <f>IF(ISERROR(VLOOKUP(H25,[1]Tabelle1!$C$3:$BR$42,21,0)),"N/A",VLOOKUP(H25,[1]Tabelle1!$C$3:$BR$42,21,0))</f>
        <v>N/A</v>
      </c>
      <c r="AZ25" s="92" t="str">
        <f>IF(ISERROR(VLOOKUP(H25,[1]Tabelle1!$C$3:$BR$42,22,0)),"N/A",VLOOKUP(H25,[1]Tabelle1!$C$3:$BR$42,22,0))</f>
        <v>N/A</v>
      </c>
      <c r="BA25" s="92" t="str">
        <f>IF(ISERROR(VLOOKUP(H25,[1]Tabelle1!$C$3:$BR$42,23,0)),"N/A",VLOOKUP(H25,[1]Tabelle1!$C$3:$BR$42,23,0))</f>
        <v>N/A</v>
      </c>
      <c r="BB25" s="92" t="str">
        <f>IF(ISERROR(VLOOKUP(H25,[1]Tabelle1!$C$3:$BR$42,24,0)),"N/A",VLOOKUP(H25,[1]Tabelle1!$C$3:$BR$42,24,0))</f>
        <v>N/A</v>
      </c>
      <c r="BC25" s="92" t="str">
        <f>IF(ISERROR(VLOOKUP(H25,[1]Tabelle1!$C$3:$BR$42,25,0)),"N/A",VLOOKUP(H25,[1]Tabelle1!$C$3:$BR$42,25,0))</f>
        <v>N/A</v>
      </c>
      <c r="BD25" s="92" t="str">
        <f>IF(ISERROR(VLOOKUP(H25,[1]Tabelle1!$C$3:$BR$42,26,0)),"N/A",VLOOKUP(H25,[1]Tabelle1!$C$3:$BR$42,26,0))</f>
        <v>N/A</v>
      </c>
      <c r="BE25" s="92" t="str">
        <f>IF(ISERROR(VLOOKUP(H25,[1]Tabelle1!$C$3:$BR$42,27,0)),"N/A",VLOOKUP(H25,[1]Tabelle1!$C$3:$BR$42,27,0))</f>
        <v>N/A</v>
      </c>
      <c r="BF25" s="92" t="str">
        <f>IF(ISERROR(VLOOKUP(H25,[1]Tabelle1!$C$3:$BR$42,28,0)),"N/A",VLOOKUP(H25,[1]Tabelle1!$C$3:$BR$42,28,0))</f>
        <v>N/A</v>
      </c>
      <c r="BG25" s="92" t="str">
        <f>IF(ISERROR(VLOOKUP(H25,[1]Tabelle1!$C$3:$BR$42,29,0)),"N/A",VLOOKUP(H25,[1]Tabelle1!$C$3:$BR$42,29,0))</f>
        <v>N/A</v>
      </c>
      <c r="BH25" s="92" t="str">
        <f>IF(ISERROR(VLOOKUP(H25,[1]Tabelle1!$C$3:$BR$42,30,0)),"N/A",VLOOKUP(H25,[1]Tabelle1!$C$3:$BR$42,30,0))</f>
        <v>N/A</v>
      </c>
      <c r="BI25" s="92" t="str">
        <f>IF(ISERROR(VLOOKUP(H25,[1]Tabelle1!$C$3:$BR$42,31,0)),"N/A",VLOOKUP(H25,[1]Tabelle1!$C$3:$BR$42,31,0))</f>
        <v>N/A</v>
      </c>
      <c r="BJ25" s="92" t="str">
        <f>IF(ISERROR(VLOOKUP(H25,[1]Tabelle1!$C$3:$BR$42,32,0)),"N/A",VLOOKUP(H25,[1]Tabelle1!$C$3:$BR$42,32,0))</f>
        <v>N/A</v>
      </c>
      <c r="BK25" s="92" t="str">
        <f>IF(ISERROR(VLOOKUP(H25,[1]Tabelle1!$C$3:$BR$42,33,0)),"N/A",VLOOKUP(H25,[1]Tabelle1!$C$3:$BR$42,33,0))</f>
        <v>N/A</v>
      </c>
      <c r="BL25" s="92" t="str">
        <f>IF(ISERROR(VLOOKUP(H25,[1]Tabelle1!$C$3:$BR$42,34,0)),"N/A",VLOOKUP(H25,[1]Tabelle1!$C$3:$BR$42,34,0))</f>
        <v>N/A</v>
      </c>
      <c r="BM25" s="92" t="str">
        <f>IF(ISERROR(VLOOKUP(H25,[1]Tabelle1!$C$3:$BR$42,35,0)),"N/A",VLOOKUP(H25,[1]Tabelle1!$C$3:$BR$42,35,0))</f>
        <v>N/A</v>
      </c>
      <c r="BN25" s="92" t="str">
        <f>IF(ISERROR(VLOOKUP(H25,[1]Tabelle1!$C$3:$BR$42,36,0)),"N/A",VLOOKUP(H25,[1]Tabelle1!$C$3:$BR$42,36,0))</f>
        <v>N/A</v>
      </c>
      <c r="BO25" s="92" t="str">
        <f>IF(ISERROR(VLOOKUP(H25,[1]Tabelle1!$C$3:$BR$42,37,0)),"N/A",VLOOKUP(H25,[1]Tabelle1!$C$3:$BR$42,37,0))</f>
        <v>N/A</v>
      </c>
      <c r="BP25" s="92" t="str">
        <f>IF(ISERROR(VLOOKUP(H25,[1]Tabelle1!$C$3:$BR$42,38,0)),"N/A",VLOOKUP(H25,[1]Tabelle1!$C$3:$BR$42,38,0))</f>
        <v>N/A</v>
      </c>
      <c r="BQ25" s="92" t="str">
        <f>IF(ISERROR(VLOOKUP(H25,[1]Tabelle1!$C$3:$BR$42,39,0)),"N/A",VLOOKUP(H25,[1]Tabelle1!$C$3:$BR$42,39,0))</f>
        <v>N/A</v>
      </c>
      <c r="BR25" s="92" t="str">
        <f>IF(ISERROR(VLOOKUP(H25,[1]Tabelle1!$C$3:$BR$42,40,0)),"N/A",VLOOKUP(H25,[1]Tabelle1!$C$3:$BR$42,40,0))</f>
        <v>N/A</v>
      </c>
      <c r="BS25" s="92" t="str">
        <f>IF(ISERROR(VLOOKUP(H25,[1]Tabelle1!$C$3:$BR$42,41,0)),"N/A",VLOOKUP(H25,[1]Tabelle1!$C$3:$BR$42,41,0))</f>
        <v>N/A</v>
      </c>
      <c r="BT25" s="92" t="str">
        <f>IF(ISERROR(VLOOKUP(H25,[1]Tabelle1!$C$3:$BR$42,42,0)),"N/A",VLOOKUP(H25,[1]Tabelle1!$C$3:$BR$42,42,0))</f>
        <v>N/A</v>
      </c>
      <c r="BU25" s="83" t="s">
        <v>74</v>
      </c>
      <c r="BV25" s="93">
        <v>0</v>
      </c>
      <c r="BW25" s="83" t="s">
        <v>72</v>
      </c>
      <c r="BX25" s="93" t="s">
        <v>71</v>
      </c>
      <c r="BY25" s="83" t="s">
        <v>60</v>
      </c>
      <c r="BZ25" s="93" t="s">
        <v>71</v>
      </c>
      <c r="CA25" s="83" t="s">
        <v>72</v>
      </c>
      <c r="CB25" s="93">
        <v>0.04</v>
      </c>
      <c r="CC25" s="83" t="s">
        <v>72</v>
      </c>
      <c r="CD25" s="93">
        <v>0.05</v>
      </c>
      <c r="CE25" s="83" t="s">
        <v>60</v>
      </c>
      <c r="CF25" s="93" t="s">
        <v>71</v>
      </c>
      <c r="CG25" s="83" t="s">
        <v>60</v>
      </c>
      <c r="CH25" s="93" t="s">
        <v>71</v>
      </c>
      <c r="CI25" s="83" t="s">
        <v>60</v>
      </c>
      <c r="CJ25" s="93" t="s">
        <v>71</v>
      </c>
      <c r="CK25" s="83" t="s">
        <v>60</v>
      </c>
      <c r="CL25" s="93" t="s">
        <v>71</v>
      </c>
      <c r="CM25" s="83" t="s">
        <v>72</v>
      </c>
      <c r="CN25" s="93">
        <v>0.5</v>
      </c>
      <c r="CO25" s="83" t="s">
        <v>60</v>
      </c>
      <c r="CP25" s="93" t="s">
        <v>71</v>
      </c>
      <c r="CQ25" s="83" t="s">
        <v>74</v>
      </c>
      <c r="CR25" s="93">
        <v>0</v>
      </c>
      <c r="CS25" s="93" t="s">
        <v>60</v>
      </c>
      <c r="CT25" s="93" t="s">
        <v>71</v>
      </c>
      <c r="CU25" s="93" t="s">
        <v>72</v>
      </c>
      <c r="CV25" s="93">
        <v>0.35</v>
      </c>
      <c r="CW25" s="93" t="s">
        <v>60</v>
      </c>
      <c r="CX25" s="93" t="s">
        <v>71</v>
      </c>
      <c r="CY25" s="93" t="s">
        <v>60</v>
      </c>
      <c r="CZ25" s="93" t="s">
        <v>71</v>
      </c>
      <c r="DA25" s="93" t="s">
        <v>60</v>
      </c>
      <c r="DB25" s="93" t="s">
        <v>71</v>
      </c>
      <c r="DC25" s="93" t="s">
        <v>60</v>
      </c>
      <c r="DD25" s="93" t="s">
        <v>71</v>
      </c>
      <c r="DE25" s="137" t="str">
        <f t="shared" si="8"/>
        <v>3&lt;YEARS OLD&lt;9</v>
      </c>
      <c r="DF25" s="137">
        <f t="shared" si="14"/>
        <v>1</v>
      </c>
    </row>
    <row r="26" spans="1:110" x14ac:dyDescent="0.2">
      <c r="A26" s="160"/>
      <c r="B26" s="5">
        <f t="shared" si="11"/>
        <v>24</v>
      </c>
      <c r="C26" s="80" t="str">
        <f t="shared" si="2"/>
        <v>CNS49</v>
      </c>
      <c r="D26" s="80"/>
      <c r="E26" s="80" t="str">
        <f t="shared" si="0"/>
        <v>CNS49_NEOPLASM</v>
      </c>
      <c r="F26" s="80" t="s">
        <v>104</v>
      </c>
      <c r="G26" s="81">
        <v>49</v>
      </c>
      <c r="H26" s="82"/>
      <c r="I26" s="82"/>
      <c r="J26" s="83" t="s">
        <v>25</v>
      </c>
      <c r="K26" s="83" t="s">
        <v>26</v>
      </c>
      <c r="L26" s="83" t="s">
        <v>300</v>
      </c>
      <c r="M26" s="84" t="s">
        <v>316</v>
      </c>
      <c r="N26" s="84" t="s">
        <v>314</v>
      </c>
      <c r="O26" s="84" t="s">
        <v>147</v>
      </c>
      <c r="P26" s="84" t="s">
        <v>147</v>
      </c>
      <c r="Q26" s="84" t="s">
        <v>148</v>
      </c>
      <c r="R26" s="85" t="s">
        <v>109</v>
      </c>
      <c r="S26" s="85" t="s">
        <v>60</v>
      </c>
      <c r="T26" s="85"/>
      <c r="U26" s="83" t="s">
        <v>28</v>
      </c>
      <c r="V26" s="83" t="s">
        <v>176</v>
      </c>
      <c r="W26" s="86"/>
      <c r="X26" s="86"/>
      <c r="Y26" s="87">
        <v>12.082191780821917</v>
      </c>
      <c r="Z26" s="87">
        <f t="shared" si="12"/>
        <v>615.94520547945206</v>
      </c>
      <c r="AA26" s="87">
        <f t="shared" ca="1" si="4"/>
        <v>3498.4166666666665</v>
      </c>
      <c r="AB26" s="86"/>
      <c r="AC26" s="86"/>
      <c r="AD26" s="88" t="str">
        <f t="shared" si="13"/>
        <v>NaN</v>
      </c>
      <c r="AE26" s="87" t="s">
        <v>71</v>
      </c>
      <c r="AF26" s="87" t="s">
        <v>68</v>
      </c>
      <c r="AG26" s="83" t="s">
        <v>61</v>
      </c>
      <c r="AH26" s="89">
        <v>1</v>
      </c>
      <c r="AI26" s="94">
        <v>37655</v>
      </c>
      <c r="AJ26" s="90">
        <f t="shared" ca="1" si="7"/>
        <v>103.16438356164383</v>
      </c>
      <c r="AK26" s="83" t="s">
        <v>62</v>
      </c>
      <c r="AL26" s="83" t="s">
        <v>60</v>
      </c>
      <c r="AM26" s="83" t="s">
        <v>60</v>
      </c>
      <c r="AN26" s="83" t="s">
        <v>60</v>
      </c>
      <c r="AO26" s="91">
        <v>10.5</v>
      </c>
      <c r="AP26" s="91" t="s">
        <v>71</v>
      </c>
      <c r="AQ26" s="93" t="s">
        <v>71</v>
      </c>
      <c r="AR26" s="92" t="str">
        <f>IF(ISERROR(VLOOKUP(H26,[1]Tabelle1!$C$3:$BR$42,16,0)),"N/A",VLOOKUP(H26,[1]Tabelle1!$C$3:$BR$42,16,0))</f>
        <v>N/A</v>
      </c>
      <c r="AS26" s="95" t="str">
        <f>IF(ISERROR(VLOOKUP(H26,[1]Tabelle1!$C$3:$BR$42,17,0)),"N/A",VLOOKUP(H26,[1]Tabelle1!$C$3:$BR$42,17,0))</f>
        <v>N/A</v>
      </c>
      <c r="AT26" s="91" t="s">
        <v>71</v>
      </c>
      <c r="AU26" s="91" t="s">
        <v>71</v>
      </c>
      <c r="AV26" s="92" t="str">
        <f>IF(ISERROR(VLOOKUP(H26,[1]Tabelle1!$C$3:$BR$42,18,0)),"N/A",VLOOKUP(H26,[1]Tabelle1!$C$3:$BR$42,18,0))</f>
        <v>N/A</v>
      </c>
      <c r="AW26" s="92" t="str">
        <f>IF(ISERROR(VLOOKUP(H26,[1]Tabelle1!$C$3:$BR$42,19,0)),"N/A",VLOOKUP(H26,[1]Tabelle1!$C$3:$BR$42,19,0))</f>
        <v>N/A</v>
      </c>
      <c r="AX26" s="92" t="str">
        <f>IF(ISERROR(VLOOKUP(H26,[1]Tabelle1!$C$3:$BR$42,20,0)),"N/A",VLOOKUP(H26,[1]Tabelle1!$C$3:$BR$42,20,0))</f>
        <v>N/A</v>
      </c>
      <c r="AY26" s="92" t="str">
        <f>IF(ISERROR(VLOOKUP(H26,[1]Tabelle1!$C$3:$BR$42,21,0)),"N/A",VLOOKUP(H26,[1]Tabelle1!$C$3:$BR$42,21,0))</f>
        <v>N/A</v>
      </c>
      <c r="AZ26" s="92" t="str">
        <f>IF(ISERROR(VLOOKUP(H26,[1]Tabelle1!$C$3:$BR$42,22,0)),"N/A",VLOOKUP(H26,[1]Tabelle1!$C$3:$BR$42,22,0))</f>
        <v>N/A</v>
      </c>
      <c r="BA26" s="92" t="str">
        <f>IF(ISERROR(VLOOKUP(H26,[1]Tabelle1!$C$3:$BR$42,23,0)),"N/A",VLOOKUP(H26,[1]Tabelle1!$C$3:$BR$42,23,0))</f>
        <v>N/A</v>
      </c>
      <c r="BB26" s="92" t="str">
        <f>IF(ISERROR(VLOOKUP(H26,[1]Tabelle1!$C$3:$BR$42,24,0)),"N/A",VLOOKUP(H26,[1]Tabelle1!$C$3:$BR$42,24,0))</f>
        <v>N/A</v>
      </c>
      <c r="BC26" s="92" t="str">
        <f>IF(ISERROR(VLOOKUP(H26,[1]Tabelle1!$C$3:$BR$42,25,0)),"N/A",VLOOKUP(H26,[1]Tabelle1!$C$3:$BR$42,25,0))</f>
        <v>N/A</v>
      </c>
      <c r="BD26" s="92" t="str">
        <f>IF(ISERROR(VLOOKUP(H26,[1]Tabelle1!$C$3:$BR$42,26,0)),"N/A",VLOOKUP(H26,[1]Tabelle1!$C$3:$BR$42,26,0))</f>
        <v>N/A</v>
      </c>
      <c r="BE26" s="92" t="str">
        <f>IF(ISERROR(VLOOKUP(H26,[1]Tabelle1!$C$3:$BR$42,27,0)),"N/A",VLOOKUP(H26,[1]Tabelle1!$C$3:$BR$42,27,0))</f>
        <v>N/A</v>
      </c>
      <c r="BF26" s="92" t="str">
        <f>IF(ISERROR(VLOOKUP(H26,[1]Tabelle1!$C$3:$BR$42,28,0)),"N/A",VLOOKUP(H26,[1]Tabelle1!$C$3:$BR$42,28,0))</f>
        <v>N/A</v>
      </c>
      <c r="BG26" s="92" t="str">
        <f>IF(ISERROR(VLOOKUP(H26,[1]Tabelle1!$C$3:$BR$42,29,0)),"N/A",VLOOKUP(H26,[1]Tabelle1!$C$3:$BR$42,29,0))</f>
        <v>N/A</v>
      </c>
      <c r="BH26" s="92" t="str">
        <f>IF(ISERROR(VLOOKUP(H26,[1]Tabelle1!$C$3:$BR$42,30,0)),"N/A",VLOOKUP(H26,[1]Tabelle1!$C$3:$BR$42,30,0))</f>
        <v>N/A</v>
      </c>
      <c r="BI26" s="92" t="str">
        <f>IF(ISERROR(VLOOKUP(H26,[1]Tabelle1!$C$3:$BR$42,31,0)),"N/A",VLOOKUP(H26,[1]Tabelle1!$C$3:$BR$42,31,0))</f>
        <v>N/A</v>
      </c>
      <c r="BJ26" s="92" t="str">
        <f>IF(ISERROR(VLOOKUP(H26,[1]Tabelle1!$C$3:$BR$42,32,0)),"N/A",VLOOKUP(H26,[1]Tabelle1!$C$3:$BR$42,32,0))</f>
        <v>N/A</v>
      </c>
      <c r="BK26" s="92" t="str">
        <f>IF(ISERROR(VLOOKUP(H26,[1]Tabelle1!$C$3:$BR$42,33,0)),"N/A",VLOOKUP(H26,[1]Tabelle1!$C$3:$BR$42,33,0))</f>
        <v>N/A</v>
      </c>
      <c r="BL26" s="92" t="str">
        <f>IF(ISERROR(VLOOKUP(H26,[1]Tabelle1!$C$3:$BR$42,34,0)),"N/A",VLOOKUP(H26,[1]Tabelle1!$C$3:$BR$42,34,0))</f>
        <v>N/A</v>
      </c>
      <c r="BM26" s="92" t="str">
        <f>IF(ISERROR(VLOOKUP(H26,[1]Tabelle1!$C$3:$BR$42,35,0)),"N/A",VLOOKUP(H26,[1]Tabelle1!$C$3:$BR$42,35,0))</f>
        <v>N/A</v>
      </c>
      <c r="BN26" s="92" t="str">
        <f>IF(ISERROR(VLOOKUP(H26,[1]Tabelle1!$C$3:$BR$42,36,0)),"N/A",VLOOKUP(H26,[1]Tabelle1!$C$3:$BR$42,36,0))</f>
        <v>N/A</v>
      </c>
      <c r="BO26" s="92" t="str">
        <f>IF(ISERROR(VLOOKUP(H26,[1]Tabelle1!$C$3:$BR$42,37,0)),"N/A",VLOOKUP(H26,[1]Tabelle1!$C$3:$BR$42,37,0))</f>
        <v>N/A</v>
      </c>
      <c r="BP26" s="92" t="str">
        <f>IF(ISERROR(VLOOKUP(H26,[1]Tabelle1!$C$3:$BR$42,38,0)),"N/A",VLOOKUP(H26,[1]Tabelle1!$C$3:$BR$42,38,0))</f>
        <v>N/A</v>
      </c>
      <c r="BQ26" s="92" t="str">
        <f>IF(ISERROR(VLOOKUP(H26,[1]Tabelle1!$C$3:$BR$42,39,0)),"N/A",VLOOKUP(H26,[1]Tabelle1!$C$3:$BR$42,39,0))</f>
        <v>N/A</v>
      </c>
      <c r="BR26" s="92" t="str">
        <f>IF(ISERROR(VLOOKUP(H26,[1]Tabelle1!$C$3:$BR$42,40,0)),"N/A",VLOOKUP(H26,[1]Tabelle1!$C$3:$BR$42,40,0))</f>
        <v>N/A</v>
      </c>
      <c r="BS26" s="92" t="str">
        <f>IF(ISERROR(VLOOKUP(H26,[1]Tabelle1!$C$3:$BR$42,41,0)),"N/A",VLOOKUP(H26,[1]Tabelle1!$C$3:$BR$42,41,0))</f>
        <v>N/A</v>
      </c>
      <c r="BT26" s="92" t="str">
        <f>IF(ISERROR(VLOOKUP(H26,[1]Tabelle1!$C$3:$BR$42,42,0)),"N/A",VLOOKUP(H26,[1]Tabelle1!$C$3:$BR$42,42,0))</f>
        <v>N/A</v>
      </c>
      <c r="BU26" s="83" t="s">
        <v>72</v>
      </c>
      <c r="BV26" s="93" t="s">
        <v>71</v>
      </c>
      <c r="BW26" s="83" t="s">
        <v>72</v>
      </c>
      <c r="BX26" s="93" t="s">
        <v>71</v>
      </c>
      <c r="BY26" s="83" t="s">
        <v>74</v>
      </c>
      <c r="BZ26" s="93">
        <v>0</v>
      </c>
      <c r="CA26" s="83" t="s">
        <v>74</v>
      </c>
      <c r="CB26" s="93">
        <v>0</v>
      </c>
      <c r="CC26" s="83" t="s">
        <v>74</v>
      </c>
      <c r="CD26" s="93">
        <v>0</v>
      </c>
      <c r="CE26" s="83" t="s">
        <v>60</v>
      </c>
      <c r="CF26" s="93" t="s">
        <v>71</v>
      </c>
      <c r="CG26" s="83" t="s">
        <v>60</v>
      </c>
      <c r="CH26" s="93" t="s">
        <v>71</v>
      </c>
      <c r="CI26" s="83" t="s">
        <v>60</v>
      </c>
      <c r="CJ26" s="93" t="s">
        <v>71</v>
      </c>
      <c r="CK26" s="83" t="s">
        <v>60</v>
      </c>
      <c r="CL26" s="93" t="s">
        <v>71</v>
      </c>
      <c r="CM26" s="83" t="s">
        <v>72</v>
      </c>
      <c r="CN26" s="93">
        <v>0.4</v>
      </c>
      <c r="CO26" s="83" t="s">
        <v>60</v>
      </c>
      <c r="CP26" s="93" t="s">
        <v>71</v>
      </c>
      <c r="CQ26" s="83" t="s">
        <v>74</v>
      </c>
      <c r="CR26" s="93">
        <v>0</v>
      </c>
      <c r="CS26" s="93" t="s">
        <v>60</v>
      </c>
      <c r="CT26" s="93" t="s">
        <v>71</v>
      </c>
      <c r="CU26" s="93" t="s">
        <v>60</v>
      </c>
      <c r="CV26" s="93" t="s">
        <v>71</v>
      </c>
      <c r="CW26" s="93" t="s">
        <v>60</v>
      </c>
      <c r="CX26" s="93" t="s">
        <v>71</v>
      </c>
      <c r="CY26" s="93" t="s">
        <v>60</v>
      </c>
      <c r="CZ26" s="93" t="s">
        <v>71</v>
      </c>
      <c r="DA26" s="93" t="s">
        <v>60</v>
      </c>
      <c r="DB26" s="93" t="s">
        <v>71</v>
      </c>
      <c r="DC26" s="93" t="s">
        <v>60</v>
      </c>
      <c r="DD26" s="93" t="s">
        <v>71</v>
      </c>
      <c r="DE26" s="137" t="str">
        <f t="shared" si="8"/>
        <v>9&lt; YEARS OLD</v>
      </c>
      <c r="DF26" s="137">
        <f t="shared" si="14"/>
        <v>1</v>
      </c>
    </row>
    <row r="27" spans="1:110" x14ac:dyDescent="0.2">
      <c r="A27" s="160"/>
      <c r="B27" s="5">
        <f t="shared" si="11"/>
        <v>25</v>
      </c>
      <c r="C27" s="80" t="str">
        <f t="shared" si="2"/>
        <v>CNS51</v>
      </c>
      <c r="D27" s="80"/>
      <c r="E27" s="80" t="str">
        <f t="shared" si="0"/>
        <v>CNS51_NEOPLASM</v>
      </c>
      <c r="F27" s="80" t="s">
        <v>105</v>
      </c>
      <c r="G27" s="81">
        <v>51</v>
      </c>
      <c r="H27" s="82"/>
      <c r="I27" s="82"/>
      <c r="J27" s="83" t="s">
        <v>24</v>
      </c>
      <c r="K27" s="83" t="s">
        <v>26</v>
      </c>
      <c r="L27" s="83" t="s">
        <v>300</v>
      </c>
      <c r="M27" s="84" t="s">
        <v>316</v>
      </c>
      <c r="N27" s="84" t="s">
        <v>314</v>
      </c>
      <c r="O27" s="84" t="s">
        <v>178</v>
      </c>
      <c r="P27" s="84" t="s">
        <v>178</v>
      </c>
      <c r="Q27" s="84" t="s">
        <v>148</v>
      </c>
      <c r="R27" s="85" t="s">
        <v>86</v>
      </c>
      <c r="S27" s="85" t="s">
        <v>87</v>
      </c>
      <c r="T27" s="85"/>
      <c r="U27" s="83" t="s">
        <v>28</v>
      </c>
      <c r="V27" s="83" t="s">
        <v>174</v>
      </c>
      <c r="W27" s="86"/>
      <c r="X27" s="86"/>
      <c r="Y27" s="87">
        <v>7.6054794520547944</v>
      </c>
      <c r="Z27" s="87">
        <f t="shared" si="12"/>
        <v>401.06301369863013</v>
      </c>
      <c r="AA27" s="87">
        <f t="shared" ca="1" si="4"/>
        <v>3498.4166666666665</v>
      </c>
      <c r="AB27" s="86"/>
      <c r="AC27" s="86"/>
      <c r="AD27" s="88" t="str">
        <f t="shared" si="13"/>
        <v>NaN</v>
      </c>
      <c r="AE27" s="87" t="s">
        <v>71</v>
      </c>
      <c r="AF27" s="87" t="s">
        <v>68</v>
      </c>
      <c r="AG27" s="83" t="s">
        <v>61</v>
      </c>
      <c r="AH27" s="89">
        <v>1</v>
      </c>
      <c r="AI27" s="94">
        <v>38412</v>
      </c>
      <c r="AJ27" s="90">
        <f t="shared" ca="1" si="7"/>
        <v>105.23835616438356</v>
      </c>
      <c r="AK27" s="83" t="s">
        <v>62</v>
      </c>
      <c r="AL27" s="83" t="s">
        <v>60</v>
      </c>
      <c r="AM27" s="83" t="s">
        <v>60</v>
      </c>
      <c r="AN27" s="83" t="s">
        <v>60</v>
      </c>
      <c r="AO27" s="91">
        <v>14.52</v>
      </c>
      <c r="AP27" s="91" t="s">
        <v>71</v>
      </c>
      <c r="AQ27" s="93" t="s">
        <v>71</v>
      </c>
      <c r="AR27" s="92" t="str">
        <f>IF(ISERROR(VLOOKUP(H27,[1]Tabelle1!$C$3:$BR$42,16,0)),"N/A",VLOOKUP(H27,[1]Tabelle1!$C$3:$BR$42,16,0))</f>
        <v>N/A</v>
      </c>
      <c r="AS27" s="95" t="str">
        <f>IF(ISERROR(VLOOKUP(H27,[1]Tabelle1!$C$3:$BR$42,17,0)),"N/A",VLOOKUP(H27,[1]Tabelle1!$C$3:$BR$42,17,0))</f>
        <v>N/A</v>
      </c>
      <c r="AT27" s="91" t="s">
        <v>71</v>
      </c>
      <c r="AU27" s="91" t="s">
        <v>71</v>
      </c>
      <c r="AV27" s="92" t="str">
        <f>IF(ISERROR(VLOOKUP(H27,[1]Tabelle1!$C$3:$BR$42,18,0)),"N/A",VLOOKUP(H27,[1]Tabelle1!$C$3:$BR$42,18,0))</f>
        <v>N/A</v>
      </c>
      <c r="AW27" s="92" t="str">
        <f>IF(ISERROR(VLOOKUP(H27,[1]Tabelle1!$C$3:$BR$42,19,0)),"N/A",VLOOKUP(H27,[1]Tabelle1!$C$3:$BR$42,19,0))</f>
        <v>N/A</v>
      </c>
      <c r="AX27" s="92" t="str">
        <f>IF(ISERROR(VLOOKUP(H27,[1]Tabelle1!$C$3:$BR$42,20,0)),"N/A",VLOOKUP(H27,[1]Tabelle1!$C$3:$BR$42,20,0))</f>
        <v>N/A</v>
      </c>
      <c r="AY27" s="92" t="str">
        <f>IF(ISERROR(VLOOKUP(H27,[1]Tabelle1!$C$3:$BR$42,21,0)),"N/A",VLOOKUP(H27,[1]Tabelle1!$C$3:$BR$42,21,0))</f>
        <v>N/A</v>
      </c>
      <c r="AZ27" s="92" t="str">
        <f>IF(ISERROR(VLOOKUP(H27,[1]Tabelle1!$C$3:$BR$42,22,0)),"N/A",VLOOKUP(H27,[1]Tabelle1!$C$3:$BR$42,22,0))</f>
        <v>N/A</v>
      </c>
      <c r="BA27" s="92" t="str">
        <f>IF(ISERROR(VLOOKUP(H27,[1]Tabelle1!$C$3:$BR$42,23,0)),"N/A",VLOOKUP(H27,[1]Tabelle1!$C$3:$BR$42,23,0))</f>
        <v>N/A</v>
      </c>
      <c r="BB27" s="92" t="str">
        <f>IF(ISERROR(VLOOKUP(H27,[1]Tabelle1!$C$3:$BR$42,24,0)),"N/A",VLOOKUP(H27,[1]Tabelle1!$C$3:$BR$42,24,0))</f>
        <v>N/A</v>
      </c>
      <c r="BC27" s="92" t="str">
        <f>IF(ISERROR(VLOOKUP(H27,[1]Tabelle1!$C$3:$BR$42,25,0)),"N/A",VLOOKUP(H27,[1]Tabelle1!$C$3:$BR$42,25,0))</f>
        <v>N/A</v>
      </c>
      <c r="BD27" s="92" t="str">
        <f>IF(ISERROR(VLOOKUP(H27,[1]Tabelle1!$C$3:$BR$42,26,0)),"N/A",VLOOKUP(H27,[1]Tabelle1!$C$3:$BR$42,26,0))</f>
        <v>N/A</v>
      </c>
      <c r="BE27" s="92" t="str">
        <f>IF(ISERROR(VLOOKUP(H27,[1]Tabelle1!$C$3:$BR$42,27,0)),"N/A",VLOOKUP(H27,[1]Tabelle1!$C$3:$BR$42,27,0))</f>
        <v>N/A</v>
      </c>
      <c r="BF27" s="92" t="str">
        <f>IF(ISERROR(VLOOKUP(H27,[1]Tabelle1!$C$3:$BR$42,28,0)),"N/A",VLOOKUP(H27,[1]Tabelle1!$C$3:$BR$42,28,0))</f>
        <v>N/A</v>
      </c>
      <c r="BG27" s="92" t="str">
        <f>IF(ISERROR(VLOOKUP(H27,[1]Tabelle1!$C$3:$BR$42,29,0)),"N/A",VLOOKUP(H27,[1]Tabelle1!$C$3:$BR$42,29,0))</f>
        <v>N/A</v>
      </c>
      <c r="BH27" s="92" t="str">
        <f>IF(ISERROR(VLOOKUP(H27,[1]Tabelle1!$C$3:$BR$42,30,0)),"N/A",VLOOKUP(H27,[1]Tabelle1!$C$3:$BR$42,30,0))</f>
        <v>N/A</v>
      </c>
      <c r="BI27" s="92" t="str">
        <f>IF(ISERROR(VLOOKUP(H27,[1]Tabelle1!$C$3:$BR$42,31,0)),"N/A",VLOOKUP(H27,[1]Tabelle1!$C$3:$BR$42,31,0))</f>
        <v>N/A</v>
      </c>
      <c r="BJ27" s="92" t="str">
        <f>IF(ISERROR(VLOOKUP(H27,[1]Tabelle1!$C$3:$BR$42,32,0)),"N/A",VLOOKUP(H27,[1]Tabelle1!$C$3:$BR$42,32,0))</f>
        <v>N/A</v>
      </c>
      <c r="BK27" s="92" t="str">
        <f>IF(ISERROR(VLOOKUP(H27,[1]Tabelle1!$C$3:$BR$42,33,0)),"N/A",VLOOKUP(H27,[1]Tabelle1!$C$3:$BR$42,33,0))</f>
        <v>N/A</v>
      </c>
      <c r="BL27" s="92" t="str">
        <f>IF(ISERROR(VLOOKUP(H27,[1]Tabelle1!$C$3:$BR$42,34,0)),"N/A",VLOOKUP(H27,[1]Tabelle1!$C$3:$BR$42,34,0))</f>
        <v>N/A</v>
      </c>
      <c r="BM27" s="92" t="str">
        <f>IF(ISERROR(VLOOKUP(H27,[1]Tabelle1!$C$3:$BR$42,35,0)),"N/A",VLOOKUP(H27,[1]Tabelle1!$C$3:$BR$42,35,0))</f>
        <v>N/A</v>
      </c>
      <c r="BN27" s="92" t="str">
        <f>IF(ISERROR(VLOOKUP(H27,[1]Tabelle1!$C$3:$BR$42,36,0)),"N/A",VLOOKUP(H27,[1]Tabelle1!$C$3:$BR$42,36,0))</f>
        <v>N/A</v>
      </c>
      <c r="BO27" s="92" t="str">
        <f>IF(ISERROR(VLOOKUP(H27,[1]Tabelle1!$C$3:$BR$42,37,0)),"N/A",VLOOKUP(H27,[1]Tabelle1!$C$3:$BR$42,37,0))</f>
        <v>N/A</v>
      </c>
      <c r="BP27" s="92" t="str">
        <f>IF(ISERROR(VLOOKUP(H27,[1]Tabelle1!$C$3:$BR$42,38,0)),"N/A",VLOOKUP(H27,[1]Tabelle1!$C$3:$BR$42,38,0))</f>
        <v>N/A</v>
      </c>
      <c r="BQ27" s="92" t="str">
        <f>IF(ISERROR(VLOOKUP(H27,[1]Tabelle1!$C$3:$BR$42,39,0)),"N/A",VLOOKUP(H27,[1]Tabelle1!$C$3:$BR$42,39,0))</f>
        <v>N/A</v>
      </c>
      <c r="BR27" s="92" t="str">
        <f>IF(ISERROR(VLOOKUP(H27,[1]Tabelle1!$C$3:$BR$42,40,0)),"N/A",VLOOKUP(H27,[1]Tabelle1!$C$3:$BR$42,40,0))</f>
        <v>N/A</v>
      </c>
      <c r="BS27" s="92" t="str">
        <f>IF(ISERROR(VLOOKUP(H27,[1]Tabelle1!$C$3:$BR$42,41,0)),"N/A",VLOOKUP(H27,[1]Tabelle1!$C$3:$BR$42,41,0))</f>
        <v>N/A</v>
      </c>
      <c r="BT27" s="92" t="str">
        <f>IF(ISERROR(VLOOKUP(H27,[1]Tabelle1!$C$3:$BR$42,42,0)),"N/A",VLOOKUP(H27,[1]Tabelle1!$C$3:$BR$42,42,0))</f>
        <v>N/A</v>
      </c>
      <c r="BU27" s="83" t="s">
        <v>72</v>
      </c>
      <c r="BV27" s="93">
        <v>0.4</v>
      </c>
      <c r="BW27" s="83" t="s">
        <v>74</v>
      </c>
      <c r="BX27" s="93">
        <v>0</v>
      </c>
      <c r="BY27" s="83" t="s">
        <v>72</v>
      </c>
      <c r="BZ27" s="93">
        <v>0.45</v>
      </c>
      <c r="CA27" s="83" t="s">
        <v>72</v>
      </c>
      <c r="CB27" s="93">
        <v>0.2</v>
      </c>
      <c r="CC27" s="83" t="s">
        <v>72</v>
      </c>
      <c r="CD27" s="93">
        <v>0.25</v>
      </c>
      <c r="CE27" s="83" t="s">
        <v>74</v>
      </c>
      <c r="CF27" s="93">
        <v>0</v>
      </c>
      <c r="CG27" s="83" t="s">
        <v>60</v>
      </c>
      <c r="CH27" s="93" t="s">
        <v>71</v>
      </c>
      <c r="CI27" s="83" t="s">
        <v>60</v>
      </c>
      <c r="CJ27" s="93" t="s">
        <v>71</v>
      </c>
      <c r="CK27" s="83" t="s">
        <v>60</v>
      </c>
      <c r="CL27" s="93" t="s">
        <v>71</v>
      </c>
      <c r="CM27" s="83" t="s">
        <v>72</v>
      </c>
      <c r="CN27" s="93">
        <v>0.2</v>
      </c>
      <c r="CO27" s="83" t="s">
        <v>72</v>
      </c>
      <c r="CP27" s="93">
        <v>0.15</v>
      </c>
      <c r="CQ27" s="83" t="s">
        <v>73</v>
      </c>
      <c r="CR27" s="93">
        <v>0.3</v>
      </c>
      <c r="CS27" s="93" t="s">
        <v>60</v>
      </c>
      <c r="CT27" s="93" t="s">
        <v>71</v>
      </c>
      <c r="CU27" s="93" t="s">
        <v>72</v>
      </c>
      <c r="CV27" s="93">
        <v>0.65</v>
      </c>
      <c r="CW27" s="93" t="s">
        <v>60</v>
      </c>
      <c r="CX27" s="93" t="s">
        <v>71</v>
      </c>
      <c r="CY27" s="93" t="s">
        <v>72</v>
      </c>
      <c r="CZ27" s="93">
        <v>0.25</v>
      </c>
      <c r="DA27" s="93" t="s">
        <v>74</v>
      </c>
      <c r="DB27" s="93">
        <v>0</v>
      </c>
      <c r="DC27" s="93" t="s">
        <v>108</v>
      </c>
      <c r="DD27" s="93">
        <v>0</v>
      </c>
      <c r="DE27" s="137" t="str">
        <f t="shared" si="8"/>
        <v>3&lt;YEARS OLD&lt;9</v>
      </c>
      <c r="DF27" s="137">
        <f t="shared" si="14"/>
        <v>1</v>
      </c>
    </row>
    <row r="28" spans="1:110" x14ac:dyDescent="0.2">
      <c r="A28" s="160"/>
      <c r="B28" s="5">
        <f>B27+1</f>
        <v>26</v>
      </c>
      <c r="C28" s="27" t="str">
        <f t="shared" ref="C28" si="15">CONCATENATE("CNS",G28)</f>
        <v>CNS56</v>
      </c>
      <c r="D28" s="27"/>
      <c r="E28" s="27" t="str">
        <f t="shared" si="0"/>
        <v>CNS56_NEOPLASM</v>
      </c>
      <c r="F28" s="27" t="s">
        <v>106</v>
      </c>
      <c r="G28" s="28">
        <v>56</v>
      </c>
      <c r="H28" s="29"/>
      <c r="I28" s="29"/>
      <c r="J28" s="30" t="s">
        <v>24</v>
      </c>
      <c r="K28" s="30" t="s">
        <v>26</v>
      </c>
      <c r="L28" s="30" t="s">
        <v>300</v>
      </c>
      <c r="M28" s="31" t="s">
        <v>316</v>
      </c>
      <c r="N28" s="31" t="s">
        <v>314</v>
      </c>
      <c r="O28" s="31" t="s">
        <v>147</v>
      </c>
      <c r="P28" s="31" t="s">
        <v>147</v>
      </c>
      <c r="Q28" s="31" t="s">
        <v>148</v>
      </c>
      <c r="R28" s="32" t="s">
        <v>80</v>
      </c>
      <c r="S28" s="32" t="s">
        <v>60</v>
      </c>
      <c r="T28" s="32"/>
      <c r="U28" s="30" t="s">
        <v>28</v>
      </c>
      <c r="V28" s="30" t="s">
        <v>174</v>
      </c>
      <c r="W28" s="33"/>
      <c r="X28" s="33"/>
      <c r="Y28" s="34">
        <v>2.3315068493150686</v>
      </c>
      <c r="Z28" s="34">
        <f t="shared" si="12"/>
        <v>147.91232876712328</v>
      </c>
      <c r="AA28" s="34">
        <f t="shared" ca="1" si="4"/>
        <v>3498.4166666666665</v>
      </c>
      <c r="AB28" s="33"/>
      <c r="AC28" s="33"/>
      <c r="AD28" s="96" t="str">
        <f t="shared" si="13"/>
        <v>NaN</v>
      </c>
      <c r="AE28" s="34" t="s">
        <v>71</v>
      </c>
      <c r="AF28" s="34" t="s">
        <v>68</v>
      </c>
      <c r="AG28" s="30" t="s">
        <v>48</v>
      </c>
      <c r="AH28" s="30">
        <v>0</v>
      </c>
      <c r="AI28" s="97" t="s">
        <v>60</v>
      </c>
      <c r="AJ28" s="35">
        <f t="shared" ca="1" si="7"/>
        <v>115.01643835616439</v>
      </c>
      <c r="AK28" s="30" t="s">
        <v>62</v>
      </c>
      <c r="AL28" s="30" t="s">
        <v>27</v>
      </c>
      <c r="AM28" s="30" t="s">
        <v>28</v>
      </c>
      <c r="AN28" s="30" t="s">
        <v>60</v>
      </c>
      <c r="AO28" s="36">
        <v>22.21</v>
      </c>
      <c r="AP28" s="36" t="s">
        <v>71</v>
      </c>
      <c r="AQ28" s="38" t="s">
        <v>71</v>
      </c>
      <c r="AR28" s="37" t="str">
        <f>IF(ISERROR(VLOOKUP(H28,[1]Tabelle1!$C$3:$BR$42,16,0)),"N/A",VLOOKUP(H28,[1]Tabelle1!$C$3:$BR$42,16,0))</f>
        <v>N/A</v>
      </c>
      <c r="AS28" s="37" t="str">
        <f>IF(ISERROR(VLOOKUP(H28,[1]Tabelle1!$C$3:$BR$42,17,0)),"N/A",VLOOKUP(H28,[1]Tabelle1!$C$3:$BR$42,17,0))</f>
        <v>N/A</v>
      </c>
      <c r="AT28" s="36" t="s">
        <v>71</v>
      </c>
      <c r="AU28" s="36" t="s">
        <v>71</v>
      </c>
      <c r="AV28" s="37" t="str">
        <f>IF(ISERROR(VLOOKUP(H28,[1]Tabelle1!$C$3:$BR$42,18,0)),"N/A",VLOOKUP(H28,[1]Tabelle1!$C$3:$BR$42,18,0))</f>
        <v>N/A</v>
      </c>
      <c r="AW28" s="37" t="str">
        <f>IF(ISERROR(VLOOKUP(H28,[1]Tabelle1!$C$3:$BR$42,19,0)),"N/A",VLOOKUP(H28,[1]Tabelle1!$C$3:$BR$42,19,0))</f>
        <v>N/A</v>
      </c>
      <c r="AX28" s="37" t="str">
        <f>IF(ISERROR(VLOOKUP(H28,[1]Tabelle1!$C$3:$BR$42,20,0)),"N/A",VLOOKUP(H28,[1]Tabelle1!$C$3:$BR$42,20,0))</f>
        <v>N/A</v>
      </c>
      <c r="AY28" s="37" t="str">
        <f>IF(ISERROR(VLOOKUP(H28,[1]Tabelle1!$C$3:$BR$42,21,0)),"N/A",VLOOKUP(H28,[1]Tabelle1!$C$3:$BR$42,21,0))</f>
        <v>N/A</v>
      </c>
      <c r="AZ28" s="37" t="str">
        <f>IF(ISERROR(VLOOKUP(H28,[1]Tabelle1!$C$3:$BR$42,22,0)),"N/A",VLOOKUP(H28,[1]Tabelle1!$C$3:$BR$42,22,0))</f>
        <v>N/A</v>
      </c>
      <c r="BA28" s="37" t="str">
        <f>IF(ISERROR(VLOOKUP(H28,[1]Tabelle1!$C$3:$BR$42,23,0)),"N/A",VLOOKUP(H28,[1]Tabelle1!$C$3:$BR$42,23,0))</f>
        <v>N/A</v>
      </c>
      <c r="BB28" s="37" t="str">
        <f>IF(ISERROR(VLOOKUP(H28,[1]Tabelle1!$C$3:$BR$42,24,0)),"N/A",VLOOKUP(H28,[1]Tabelle1!$C$3:$BR$42,24,0))</f>
        <v>N/A</v>
      </c>
      <c r="BC28" s="37" t="str">
        <f>IF(ISERROR(VLOOKUP(H28,[1]Tabelle1!$C$3:$BR$42,25,0)),"N/A",VLOOKUP(H28,[1]Tabelle1!$C$3:$BR$42,25,0))</f>
        <v>N/A</v>
      </c>
      <c r="BD28" s="37" t="str">
        <f>IF(ISERROR(VLOOKUP(H28,[1]Tabelle1!$C$3:$BR$42,26,0)),"N/A",VLOOKUP(H28,[1]Tabelle1!$C$3:$BR$42,26,0))</f>
        <v>N/A</v>
      </c>
      <c r="BE28" s="37" t="str">
        <f>IF(ISERROR(VLOOKUP(H28,[1]Tabelle1!$C$3:$BR$42,27,0)),"N/A",VLOOKUP(H28,[1]Tabelle1!$C$3:$BR$42,27,0))</f>
        <v>N/A</v>
      </c>
      <c r="BF28" s="37" t="str">
        <f>IF(ISERROR(VLOOKUP(H28,[1]Tabelle1!$C$3:$BR$42,28,0)),"N/A",VLOOKUP(H28,[1]Tabelle1!$C$3:$BR$42,28,0))</f>
        <v>N/A</v>
      </c>
      <c r="BG28" s="37" t="str">
        <f>IF(ISERROR(VLOOKUP(H28,[1]Tabelle1!$C$3:$BR$42,29,0)),"N/A",VLOOKUP(H28,[1]Tabelle1!$C$3:$BR$42,29,0))</f>
        <v>N/A</v>
      </c>
      <c r="BH28" s="37" t="str">
        <f>IF(ISERROR(VLOOKUP(H28,[1]Tabelle1!$C$3:$BR$42,30,0)),"N/A",VLOOKUP(H28,[1]Tabelle1!$C$3:$BR$42,30,0))</f>
        <v>N/A</v>
      </c>
      <c r="BI28" s="37" t="str">
        <f>IF(ISERROR(VLOOKUP(H28,[1]Tabelle1!$C$3:$BR$42,31,0)),"N/A",VLOOKUP(H28,[1]Tabelle1!$C$3:$BR$42,31,0))</f>
        <v>N/A</v>
      </c>
      <c r="BJ28" s="37" t="str">
        <f>IF(ISERROR(VLOOKUP(H28,[1]Tabelle1!$C$3:$BR$42,32,0)),"N/A",VLOOKUP(H28,[1]Tabelle1!$C$3:$BR$42,32,0))</f>
        <v>N/A</v>
      </c>
      <c r="BK28" s="37" t="str">
        <f>IF(ISERROR(VLOOKUP(H28,[1]Tabelle1!$C$3:$BR$42,33,0)),"N/A",VLOOKUP(H28,[1]Tabelle1!$C$3:$BR$42,33,0))</f>
        <v>N/A</v>
      </c>
      <c r="BL28" s="37" t="str">
        <f>IF(ISERROR(VLOOKUP(H28,[1]Tabelle1!$C$3:$BR$42,34,0)),"N/A",VLOOKUP(H28,[1]Tabelle1!$C$3:$BR$42,34,0))</f>
        <v>N/A</v>
      </c>
      <c r="BM28" s="37" t="str">
        <f>IF(ISERROR(VLOOKUP(H28,[1]Tabelle1!$C$3:$BR$42,35,0)),"N/A",VLOOKUP(H28,[1]Tabelle1!$C$3:$BR$42,35,0))</f>
        <v>N/A</v>
      </c>
      <c r="BN28" s="37" t="str">
        <f>IF(ISERROR(VLOOKUP(H28,[1]Tabelle1!$C$3:$BR$42,36,0)),"N/A",VLOOKUP(H28,[1]Tabelle1!$C$3:$BR$42,36,0))</f>
        <v>N/A</v>
      </c>
      <c r="BO28" s="37" t="str">
        <f>IF(ISERROR(VLOOKUP(H28,[1]Tabelle1!$C$3:$BR$42,37,0)),"N/A",VLOOKUP(H28,[1]Tabelle1!$C$3:$BR$42,37,0))</f>
        <v>N/A</v>
      </c>
      <c r="BP28" s="37" t="str">
        <f>IF(ISERROR(VLOOKUP(H28,[1]Tabelle1!$C$3:$BR$42,38,0)),"N/A",VLOOKUP(H28,[1]Tabelle1!$C$3:$BR$42,38,0))</f>
        <v>N/A</v>
      </c>
      <c r="BQ28" s="37" t="str">
        <f>IF(ISERROR(VLOOKUP(H28,[1]Tabelle1!$C$3:$BR$42,39,0)),"N/A",VLOOKUP(H28,[1]Tabelle1!$C$3:$BR$42,39,0))</f>
        <v>N/A</v>
      </c>
      <c r="BR28" s="37" t="str">
        <f>IF(ISERROR(VLOOKUP(H28,[1]Tabelle1!$C$3:$BR$42,40,0)),"N/A",VLOOKUP(H28,[1]Tabelle1!$C$3:$BR$42,40,0))</f>
        <v>N/A</v>
      </c>
      <c r="BS28" s="37" t="str">
        <f>IF(ISERROR(VLOOKUP(H28,[1]Tabelle1!$C$3:$BR$42,41,0)),"N/A",VLOOKUP(H28,[1]Tabelle1!$C$3:$BR$42,41,0))</f>
        <v>N/A</v>
      </c>
      <c r="BT28" s="37" t="str">
        <f>IF(ISERROR(VLOOKUP(H28,[1]Tabelle1!$C$3:$BR$42,42,0)),"N/A",VLOOKUP(H28,[1]Tabelle1!$C$3:$BR$42,42,0))</f>
        <v>N/A</v>
      </c>
      <c r="BU28" s="30" t="s">
        <v>74</v>
      </c>
      <c r="BV28" s="38">
        <v>0</v>
      </c>
      <c r="BW28" s="30" t="s">
        <v>60</v>
      </c>
      <c r="BX28" s="38" t="s">
        <v>71</v>
      </c>
      <c r="BY28" s="30" t="s">
        <v>74</v>
      </c>
      <c r="BZ28" s="38">
        <v>0</v>
      </c>
      <c r="CA28" s="30" t="s">
        <v>72</v>
      </c>
      <c r="CB28" s="38">
        <v>0.5</v>
      </c>
      <c r="CC28" s="30" t="s">
        <v>60</v>
      </c>
      <c r="CD28" s="38" t="s">
        <v>71</v>
      </c>
      <c r="CE28" s="30" t="s">
        <v>60</v>
      </c>
      <c r="CF28" s="38" t="s">
        <v>71</v>
      </c>
      <c r="CG28" s="30" t="s">
        <v>60</v>
      </c>
      <c r="CH28" s="38" t="s">
        <v>71</v>
      </c>
      <c r="CI28" s="30" t="s">
        <v>60</v>
      </c>
      <c r="CJ28" s="38" t="s">
        <v>71</v>
      </c>
      <c r="CK28" s="30" t="s">
        <v>60</v>
      </c>
      <c r="CL28" s="38" t="s">
        <v>71</v>
      </c>
      <c r="CM28" s="30" t="s">
        <v>72</v>
      </c>
      <c r="CN28" s="38">
        <v>0.7</v>
      </c>
      <c r="CO28" s="30" t="s">
        <v>60</v>
      </c>
      <c r="CP28" s="38" t="s">
        <v>71</v>
      </c>
      <c r="CQ28" s="30" t="s">
        <v>60</v>
      </c>
      <c r="CR28" s="38" t="s">
        <v>71</v>
      </c>
      <c r="CS28" s="38" t="s">
        <v>60</v>
      </c>
      <c r="CT28" s="38" t="s">
        <v>71</v>
      </c>
      <c r="CU28" s="38" t="s">
        <v>60</v>
      </c>
      <c r="CV28" s="38" t="s">
        <v>71</v>
      </c>
      <c r="CW28" s="38" t="s">
        <v>60</v>
      </c>
      <c r="CX28" s="38" t="s">
        <v>71</v>
      </c>
      <c r="CY28" s="38" t="s">
        <v>60</v>
      </c>
      <c r="CZ28" s="38" t="s">
        <v>71</v>
      </c>
      <c r="DA28" s="38" t="s">
        <v>60</v>
      </c>
      <c r="DB28" s="38" t="s">
        <v>71</v>
      </c>
      <c r="DC28" s="38" t="s">
        <v>60</v>
      </c>
      <c r="DD28" s="38" t="s">
        <v>71</v>
      </c>
      <c r="DE28" s="137" t="str">
        <f t="shared" si="8"/>
        <v>3&gt; YEARS OLD</v>
      </c>
      <c r="DF28" s="137">
        <f t="shared" si="14"/>
        <v>1</v>
      </c>
    </row>
    <row r="29" spans="1:110" x14ac:dyDescent="0.2">
      <c r="A29" s="160"/>
      <c r="B29" s="5">
        <f t="shared" ref="B29:B92" si="16">B28+1</f>
        <v>27</v>
      </c>
      <c r="C29" s="98" t="str">
        <f t="shared" ref="C29:C50" si="17">CONCATENATE("CNS",G29)</f>
        <v>CNS63</v>
      </c>
      <c r="D29" s="98"/>
      <c r="E29" s="98" t="str">
        <f t="shared" si="0"/>
        <v>CNS63_CONTROL</v>
      </c>
      <c r="F29" s="98" t="s">
        <v>113</v>
      </c>
      <c r="G29" s="99">
        <v>63</v>
      </c>
      <c r="H29" s="100"/>
      <c r="I29" s="100"/>
      <c r="J29" s="101" t="s">
        <v>25</v>
      </c>
      <c r="K29" s="101" t="s">
        <v>26</v>
      </c>
      <c r="L29" s="101" t="s">
        <v>301</v>
      </c>
      <c r="M29" s="102" t="s">
        <v>81</v>
      </c>
      <c r="N29" s="102" t="s">
        <v>81</v>
      </c>
      <c r="O29" s="102" t="s">
        <v>81</v>
      </c>
      <c r="P29" s="102" t="s">
        <v>309</v>
      </c>
      <c r="Q29" s="102" t="s">
        <v>81</v>
      </c>
      <c r="R29" s="103" t="s">
        <v>89</v>
      </c>
      <c r="S29" s="103" t="s">
        <v>90</v>
      </c>
      <c r="T29" s="103"/>
      <c r="U29" s="101" t="s">
        <v>81</v>
      </c>
      <c r="V29" s="101" t="s">
        <v>60</v>
      </c>
      <c r="W29" s="104"/>
      <c r="X29" s="104"/>
      <c r="Y29" s="105" t="s">
        <v>71</v>
      </c>
      <c r="Z29" s="105" t="str">
        <f t="shared" si="12"/>
        <v>NaN</v>
      </c>
      <c r="AA29" s="105">
        <f t="shared" ref="AA29:AA34" ca="1" si="18">IF(ISERROR((TODAY()-X29)/12),"NaN",(TODAY()-X29)/12)</f>
        <v>3498.4166666666665</v>
      </c>
      <c r="AB29" s="104"/>
      <c r="AC29" s="104"/>
      <c r="AD29" s="106" t="str">
        <f t="shared" ref="AD29:AD34" si="19">IF(ISERROR(IF(OR(ISERROR((AB29-X29)),(AB29-X29)/365=0),"NaN",(AB29-X29))),"NaN",IF(OR(ISERROR((AB29-X29)),(AB29-X29)/365=0),"NaN",(AB29-X29)))</f>
        <v>NaN</v>
      </c>
      <c r="AE29" s="105" t="s">
        <v>71</v>
      </c>
      <c r="AF29" s="105" t="s">
        <v>68</v>
      </c>
      <c r="AG29" s="101" t="s">
        <v>61</v>
      </c>
      <c r="AH29" s="101">
        <v>0</v>
      </c>
      <c r="AI29" s="107" t="s">
        <v>60</v>
      </c>
      <c r="AJ29" s="108" t="str">
        <f t="shared" ref="AJ29:AJ34" ca="1" si="20">IF(ISERROR(IF(AG29="ALIVE",((TODAY()-X29)/365),((AI29-X29)/365))),"NaN",IF(AG29="ALIVE",((TODAY()-X29)/365),((AI29-X29)/365)))</f>
        <v>NaN</v>
      </c>
      <c r="AK29" s="101" t="s">
        <v>81</v>
      </c>
      <c r="AL29" s="101" t="s">
        <v>60</v>
      </c>
      <c r="AM29" s="101" t="s">
        <v>60</v>
      </c>
      <c r="AN29" s="101" t="s">
        <v>60</v>
      </c>
      <c r="AO29" s="109" t="s">
        <v>71</v>
      </c>
      <c r="AP29" s="109" t="s">
        <v>71</v>
      </c>
      <c r="AQ29" s="109" t="s">
        <v>71</v>
      </c>
      <c r="AR29" s="110" t="str">
        <f>IF(ISERROR(VLOOKUP(H29,[1]Tabelle1!$C$3:$BR$42,16,0)),"N/A",VLOOKUP(H29,[1]Tabelle1!$C$3:$BR$42,16,0))</f>
        <v>N/A</v>
      </c>
      <c r="AS29" s="109" t="s">
        <v>71</v>
      </c>
      <c r="AT29" s="109" t="s">
        <v>71</v>
      </c>
      <c r="AU29" s="109" t="s">
        <v>71</v>
      </c>
      <c r="AV29" s="109" t="s">
        <v>71</v>
      </c>
      <c r="AW29" s="109" t="s">
        <v>71</v>
      </c>
      <c r="AX29" s="109" t="s">
        <v>71</v>
      </c>
      <c r="AY29" s="109" t="s">
        <v>71</v>
      </c>
      <c r="AZ29" s="109" t="s">
        <v>71</v>
      </c>
      <c r="BA29" s="109" t="s">
        <v>71</v>
      </c>
      <c r="BB29" s="109" t="s">
        <v>71</v>
      </c>
      <c r="BC29" s="109" t="s">
        <v>71</v>
      </c>
      <c r="BD29" s="109" t="s">
        <v>71</v>
      </c>
      <c r="BE29" s="109" t="s">
        <v>71</v>
      </c>
      <c r="BF29" s="109" t="s">
        <v>71</v>
      </c>
      <c r="BG29" s="109" t="s">
        <v>71</v>
      </c>
      <c r="BH29" s="109" t="s">
        <v>71</v>
      </c>
      <c r="BI29" s="109" t="s">
        <v>71</v>
      </c>
      <c r="BJ29" s="109" t="s">
        <v>71</v>
      </c>
      <c r="BK29" s="109" t="s">
        <v>71</v>
      </c>
      <c r="BL29" s="109" t="s">
        <v>71</v>
      </c>
      <c r="BM29" s="109" t="s">
        <v>71</v>
      </c>
      <c r="BN29" s="109" t="s">
        <v>71</v>
      </c>
      <c r="BO29" s="109" t="s">
        <v>71</v>
      </c>
      <c r="BP29" s="109" t="s">
        <v>71</v>
      </c>
      <c r="BQ29" s="109" t="s">
        <v>71</v>
      </c>
      <c r="BR29" s="109" t="s">
        <v>71</v>
      </c>
      <c r="BS29" s="109" t="s">
        <v>71</v>
      </c>
      <c r="BT29" s="109" t="s">
        <v>71</v>
      </c>
      <c r="BU29" s="109" t="s">
        <v>71</v>
      </c>
      <c r="BV29" s="111" t="s">
        <v>71</v>
      </c>
      <c r="BW29" s="111" t="s">
        <v>60</v>
      </c>
      <c r="BX29" s="111" t="s">
        <v>71</v>
      </c>
      <c r="BY29" s="111" t="s">
        <v>60</v>
      </c>
      <c r="BZ29" s="111" t="s">
        <v>71</v>
      </c>
      <c r="CA29" s="111" t="s">
        <v>81</v>
      </c>
      <c r="CB29" s="111" t="s">
        <v>71</v>
      </c>
      <c r="CC29" s="111" t="s">
        <v>60</v>
      </c>
      <c r="CD29" s="111" t="s">
        <v>71</v>
      </c>
      <c r="CE29" s="111" t="s">
        <v>60</v>
      </c>
      <c r="CF29" s="111" t="s">
        <v>71</v>
      </c>
      <c r="CG29" s="111" t="s">
        <v>60</v>
      </c>
      <c r="CH29" s="111" t="s">
        <v>71</v>
      </c>
      <c r="CI29" s="111" t="s">
        <v>60</v>
      </c>
      <c r="CJ29" s="111" t="s">
        <v>71</v>
      </c>
      <c r="CK29" s="111" t="s">
        <v>60</v>
      </c>
      <c r="CL29" s="111" t="s">
        <v>71</v>
      </c>
      <c r="CM29" s="111" t="s">
        <v>60</v>
      </c>
      <c r="CN29" s="111" t="s">
        <v>71</v>
      </c>
      <c r="CO29" s="111" t="s">
        <v>60</v>
      </c>
      <c r="CP29" s="111" t="s">
        <v>71</v>
      </c>
      <c r="CQ29" s="111" t="s">
        <v>60</v>
      </c>
      <c r="CR29" s="111" t="s">
        <v>71</v>
      </c>
      <c r="CS29" s="111" t="s">
        <v>60</v>
      </c>
      <c r="CT29" s="111" t="s">
        <v>71</v>
      </c>
      <c r="CU29" s="111" t="s">
        <v>60</v>
      </c>
      <c r="CV29" s="111" t="s">
        <v>71</v>
      </c>
      <c r="CW29" s="111" t="s">
        <v>60</v>
      </c>
      <c r="CX29" s="111" t="s">
        <v>71</v>
      </c>
      <c r="CY29" s="111" t="s">
        <v>60</v>
      </c>
      <c r="CZ29" s="111" t="s">
        <v>71</v>
      </c>
      <c r="DA29" s="111" t="s">
        <v>60</v>
      </c>
      <c r="DB29" s="111" t="s">
        <v>71</v>
      </c>
      <c r="DC29" s="111" t="s">
        <v>60</v>
      </c>
      <c r="DD29" s="111" t="s">
        <v>71</v>
      </c>
      <c r="DE29" s="137" t="str">
        <f t="shared" si="8"/>
        <v>9&lt; YEARS OLD</v>
      </c>
      <c r="DF29" s="137">
        <f t="shared" si="14"/>
        <v>0</v>
      </c>
    </row>
    <row r="30" spans="1:110" x14ac:dyDescent="0.2">
      <c r="A30" s="160"/>
      <c r="B30" s="5">
        <f t="shared" si="16"/>
        <v>28</v>
      </c>
      <c r="C30" s="98" t="str">
        <f t="shared" si="17"/>
        <v>CNS64</v>
      </c>
      <c r="D30" s="98"/>
      <c r="E30" s="98" t="str">
        <f t="shared" si="0"/>
        <v>CNS64_CONTROL</v>
      </c>
      <c r="F30" s="98" t="s">
        <v>114</v>
      </c>
      <c r="G30" s="99">
        <v>64</v>
      </c>
      <c r="H30" s="100"/>
      <c r="I30" s="100"/>
      <c r="J30" s="101" t="s">
        <v>25</v>
      </c>
      <c r="K30" s="101" t="s">
        <v>26</v>
      </c>
      <c r="L30" s="101" t="s">
        <v>301</v>
      </c>
      <c r="M30" s="102" t="s">
        <v>81</v>
      </c>
      <c r="N30" s="102" t="s">
        <v>81</v>
      </c>
      <c r="O30" s="102" t="s">
        <v>81</v>
      </c>
      <c r="P30" s="102" t="s">
        <v>309</v>
      </c>
      <c r="Q30" s="102" t="s">
        <v>81</v>
      </c>
      <c r="R30" s="103" t="s">
        <v>80</v>
      </c>
      <c r="S30" s="103" t="s">
        <v>60</v>
      </c>
      <c r="T30" s="103"/>
      <c r="U30" s="101" t="s">
        <v>81</v>
      </c>
      <c r="V30" s="101" t="s">
        <v>60</v>
      </c>
      <c r="W30" s="104"/>
      <c r="X30" s="104"/>
      <c r="Y30" s="105" t="s">
        <v>71</v>
      </c>
      <c r="Z30" s="105" t="str">
        <f t="shared" si="12"/>
        <v>NaN</v>
      </c>
      <c r="AA30" s="105">
        <f t="shared" ca="1" si="18"/>
        <v>3498.4166666666665</v>
      </c>
      <c r="AB30" s="104"/>
      <c r="AC30" s="104"/>
      <c r="AD30" s="106" t="str">
        <f t="shared" si="19"/>
        <v>NaN</v>
      </c>
      <c r="AE30" s="105" t="s">
        <v>71</v>
      </c>
      <c r="AF30" s="105" t="s">
        <v>68</v>
      </c>
      <c r="AG30" s="101" t="s">
        <v>61</v>
      </c>
      <c r="AH30" s="101">
        <v>0</v>
      </c>
      <c r="AI30" s="107" t="s">
        <v>60</v>
      </c>
      <c r="AJ30" s="108" t="str">
        <f t="shared" ca="1" si="20"/>
        <v>NaN</v>
      </c>
      <c r="AK30" s="101" t="s">
        <v>81</v>
      </c>
      <c r="AL30" s="101" t="s">
        <v>60</v>
      </c>
      <c r="AM30" s="101" t="s">
        <v>60</v>
      </c>
      <c r="AN30" s="101" t="s">
        <v>60</v>
      </c>
      <c r="AO30" s="109" t="s">
        <v>71</v>
      </c>
      <c r="AP30" s="109" t="s">
        <v>71</v>
      </c>
      <c r="AQ30" s="109" t="s">
        <v>71</v>
      </c>
      <c r="AR30" s="110" t="str">
        <f>IF(ISERROR(VLOOKUP(H30,[1]Tabelle1!$C$3:$BR$42,16,0)),"N/A",VLOOKUP(H30,[1]Tabelle1!$C$3:$BR$42,16,0))</f>
        <v>N/A</v>
      </c>
      <c r="AS30" s="109" t="s">
        <v>71</v>
      </c>
      <c r="AT30" s="109" t="s">
        <v>71</v>
      </c>
      <c r="AU30" s="109" t="s">
        <v>71</v>
      </c>
      <c r="AV30" s="109" t="s">
        <v>71</v>
      </c>
      <c r="AW30" s="109" t="s">
        <v>71</v>
      </c>
      <c r="AX30" s="109" t="s">
        <v>71</v>
      </c>
      <c r="AY30" s="109" t="s">
        <v>71</v>
      </c>
      <c r="AZ30" s="109" t="s">
        <v>71</v>
      </c>
      <c r="BA30" s="109" t="s">
        <v>71</v>
      </c>
      <c r="BB30" s="109" t="s">
        <v>71</v>
      </c>
      <c r="BC30" s="109" t="s">
        <v>71</v>
      </c>
      <c r="BD30" s="109" t="s">
        <v>71</v>
      </c>
      <c r="BE30" s="109" t="s">
        <v>71</v>
      </c>
      <c r="BF30" s="109" t="s">
        <v>71</v>
      </c>
      <c r="BG30" s="109" t="s">
        <v>71</v>
      </c>
      <c r="BH30" s="109" t="s">
        <v>71</v>
      </c>
      <c r="BI30" s="109" t="s">
        <v>71</v>
      </c>
      <c r="BJ30" s="109" t="s">
        <v>71</v>
      </c>
      <c r="BK30" s="109" t="s">
        <v>71</v>
      </c>
      <c r="BL30" s="109" t="s">
        <v>71</v>
      </c>
      <c r="BM30" s="109" t="s">
        <v>71</v>
      </c>
      <c r="BN30" s="109" t="s">
        <v>71</v>
      </c>
      <c r="BO30" s="109" t="s">
        <v>71</v>
      </c>
      <c r="BP30" s="109" t="s">
        <v>71</v>
      </c>
      <c r="BQ30" s="109" t="s">
        <v>71</v>
      </c>
      <c r="BR30" s="109" t="s">
        <v>71</v>
      </c>
      <c r="BS30" s="109" t="s">
        <v>71</v>
      </c>
      <c r="BT30" s="109" t="s">
        <v>71</v>
      </c>
      <c r="BU30" s="109" t="s">
        <v>71</v>
      </c>
      <c r="BV30" s="111" t="s">
        <v>71</v>
      </c>
      <c r="BW30" s="111" t="s">
        <v>60</v>
      </c>
      <c r="BX30" s="111" t="s">
        <v>71</v>
      </c>
      <c r="BY30" s="111" t="s">
        <v>60</v>
      </c>
      <c r="BZ30" s="111" t="s">
        <v>71</v>
      </c>
      <c r="CA30" s="111" t="s">
        <v>81</v>
      </c>
      <c r="CB30" s="111" t="s">
        <v>71</v>
      </c>
      <c r="CC30" s="111" t="s">
        <v>60</v>
      </c>
      <c r="CD30" s="111" t="s">
        <v>71</v>
      </c>
      <c r="CE30" s="111" t="s">
        <v>60</v>
      </c>
      <c r="CF30" s="111" t="s">
        <v>71</v>
      </c>
      <c r="CG30" s="111" t="s">
        <v>60</v>
      </c>
      <c r="CH30" s="111" t="s">
        <v>71</v>
      </c>
      <c r="CI30" s="111" t="s">
        <v>60</v>
      </c>
      <c r="CJ30" s="111" t="s">
        <v>71</v>
      </c>
      <c r="CK30" s="111" t="s">
        <v>60</v>
      </c>
      <c r="CL30" s="111" t="s">
        <v>71</v>
      </c>
      <c r="CM30" s="111" t="s">
        <v>60</v>
      </c>
      <c r="CN30" s="111" t="s">
        <v>71</v>
      </c>
      <c r="CO30" s="111" t="s">
        <v>60</v>
      </c>
      <c r="CP30" s="111" t="s">
        <v>71</v>
      </c>
      <c r="CQ30" s="111" t="s">
        <v>60</v>
      </c>
      <c r="CR30" s="111" t="s">
        <v>71</v>
      </c>
      <c r="CS30" s="111" t="s">
        <v>60</v>
      </c>
      <c r="CT30" s="111" t="s">
        <v>71</v>
      </c>
      <c r="CU30" s="111" t="s">
        <v>60</v>
      </c>
      <c r="CV30" s="111" t="s">
        <v>71</v>
      </c>
      <c r="CW30" s="111" t="s">
        <v>60</v>
      </c>
      <c r="CX30" s="111" t="s">
        <v>71</v>
      </c>
      <c r="CY30" s="111" t="s">
        <v>60</v>
      </c>
      <c r="CZ30" s="111" t="s">
        <v>71</v>
      </c>
      <c r="DA30" s="111" t="s">
        <v>60</v>
      </c>
      <c r="DB30" s="111" t="s">
        <v>71</v>
      </c>
      <c r="DC30" s="111" t="s">
        <v>60</v>
      </c>
      <c r="DD30" s="111" t="s">
        <v>71</v>
      </c>
      <c r="DE30" s="137" t="str">
        <f t="shared" si="8"/>
        <v>9&lt; YEARS OLD</v>
      </c>
      <c r="DF30" s="137">
        <f t="shared" si="14"/>
        <v>0</v>
      </c>
    </row>
    <row r="31" spans="1:110" x14ac:dyDescent="0.2">
      <c r="A31" s="160"/>
      <c r="B31" s="5">
        <f t="shared" si="16"/>
        <v>29</v>
      </c>
      <c r="C31" s="98" t="str">
        <f t="shared" si="17"/>
        <v>CNS65</v>
      </c>
      <c r="D31" s="98"/>
      <c r="E31" s="98" t="str">
        <f t="shared" si="0"/>
        <v>CNS65_CONTROL</v>
      </c>
      <c r="F31" s="98" t="s">
        <v>115</v>
      </c>
      <c r="G31" s="99">
        <v>65</v>
      </c>
      <c r="H31" s="100"/>
      <c r="I31" s="100"/>
      <c r="J31" s="101" t="s">
        <v>25</v>
      </c>
      <c r="K31" s="101" t="s">
        <v>26</v>
      </c>
      <c r="L31" s="101" t="s">
        <v>301</v>
      </c>
      <c r="M31" s="102" t="s">
        <v>81</v>
      </c>
      <c r="N31" s="102" t="s">
        <v>81</v>
      </c>
      <c r="O31" s="102" t="s">
        <v>81</v>
      </c>
      <c r="P31" s="102" t="s">
        <v>309</v>
      </c>
      <c r="Q31" s="102" t="s">
        <v>81</v>
      </c>
      <c r="R31" s="103" t="s">
        <v>92</v>
      </c>
      <c r="S31" s="103" t="s">
        <v>91</v>
      </c>
      <c r="T31" s="103"/>
      <c r="U31" s="101" t="s">
        <v>81</v>
      </c>
      <c r="V31" s="101" t="s">
        <v>60</v>
      </c>
      <c r="W31" s="104"/>
      <c r="X31" s="104"/>
      <c r="Y31" s="105" t="s">
        <v>71</v>
      </c>
      <c r="Z31" s="105" t="str">
        <f t="shared" si="12"/>
        <v>NaN</v>
      </c>
      <c r="AA31" s="105">
        <f t="shared" ca="1" si="18"/>
        <v>3498.4166666666665</v>
      </c>
      <c r="AB31" s="104"/>
      <c r="AC31" s="104"/>
      <c r="AD31" s="106" t="str">
        <f t="shared" si="19"/>
        <v>NaN</v>
      </c>
      <c r="AE31" s="105" t="s">
        <v>71</v>
      </c>
      <c r="AF31" s="105" t="s">
        <v>68</v>
      </c>
      <c r="AG31" s="101" t="s">
        <v>61</v>
      </c>
      <c r="AH31" s="101">
        <v>0</v>
      </c>
      <c r="AI31" s="101" t="s">
        <v>60</v>
      </c>
      <c r="AJ31" s="108" t="str">
        <f t="shared" ca="1" si="20"/>
        <v>NaN</v>
      </c>
      <c r="AK31" s="101" t="s">
        <v>81</v>
      </c>
      <c r="AL31" s="101" t="s">
        <v>60</v>
      </c>
      <c r="AM31" s="101" t="s">
        <v>60</v>
      </c>
      <c r="AN31" s="101" t="s">
        <v>60</v>
      </c>
      <c r="AO31" s="101" t="s">
        <v>71</v>
      </c>
      <c r="AP31" s="109" t="s">
        <v>71</v>
      </c>
      <c r="AQ31" s="109" t="s">
        <v>71</v>
      </c>
      <c r="AR31" s="110" t="str">
        <f>IF(ISERROR(VLOOKUP(H31,[1]Tabelle1!$C$3:$BR$42,16,0)),"N/A",VLOOKUP(H31,[1]Tabelle1!$C$3:$BR$42,16,0))</f>
        <v>N/A</v>
      </c>
      <c r="AS31" s="109" t="s">
        <v>71</v>
      </c>
      <c r="AT31" s="109" t="s">
        <v>71</v>
      </c>
      <c r="AU31" s="109" t="s">
        <v>71</v>
      </c>
      <c r="AV31" s="109" t="s">
        <v>71</v>
      </c>
      <c r="AW31" s="109" t="s">
        <v>71</v>
      </c>
      <c r="AX31" s="109" t="s">
        <v>71</v>
      </c>
      <c r="AY31" s="109" t="s">
        <v>71</v>
      </c>
      <c r="AZ31" s="109" t="s">
        <v>71</v>
      </c>
      <c r="BA31" s="109" t="s">
        <v>71</v>
      </c>
      <c r="BB31" s="109" t="s">
        <v>71</v>
      </c>
      <c r="BC31" s="109" t="s">
        <v>71</v>
      </c>
      <c r="BD31" s="109" t="s">
        <v>71</v>
      </c>
      <c r="BE31" s="109" t="s">
        <v>71</v>
      </c>
      <c r="BF31" s="109" t="s">
        <v>71</v>
      </c>
      <c r="BG31" s="109" t="s">
        <v>71</v>
      </c>
      <c r="BH31" s="109" t="s">
        <v>71</v>
      </c>
      <c r="BI31" s="109" t="s">
        <v>71</v>
      </c>
      <c r="BJ31" s="109" t="s">
        <v>71</v>
      </c>
      <c r="BK31" s="109" t="s">
        <v>71</v>
      </c>
      <c r="BL31" s="109" t="s">
        <v>71</v>
      </c>
      <c r="BM31" s="109" t="s">
        <v>71</v>
      </c>
      <c r="BN31" s="109" t="s">
        <v>71</v>
      </c>
      <c r="BO31" s="109" t="s">
        <v>71</v>
      </c>
      <c r="BP31" s="109" t="s">
        <v>71</v>
      </c>
      <c r="BQ31" s="109" t="s">
        <v>71</v>
      </c>
      <c r="BR31" s="109" t="s">
        <v>71</v>
      </c>
      <c r="BS31" s="109" t="s">
        <v>71</v>
      </c>
      <c r="BT31" s="109" t="s">
        <v>71</v>
      </c>
      <c r="BU31" s="109" t="s">
        <v>71</v>
      </c>
      <c r="BV31" s="111" t="s">
        <v>71</v>
      </c>
      <c r="BW31" s="111" t="s">
        <v>60</v>
      </c>
      <c r="BX31" s="111" t="s">
        <v>71</v>
      </c>
      <c r="BY31" s="111" t="s">
        <v>60</v>
      </c>
      <c r="BZ31" s="111" t="s">
        <v>71</v>
      </c>
      <c r="CA31" s="111" t="s">
        <v>81</v>
      </c>
      <c r="CB31" s="111" t="s">
        <v>71</v>
      </c>
      <c r="CC31" s="111" t="s">
        <v>60</v>
      </c>
      <c r="CD31" s="111" t="s">
        <v>71</v>
      </c>
      <c r="CE31" s="111" t="s">
        <v>60</v>
      </c>
      <c r="CF31" s="111" t="s">
        <v>71</v>
      </c>
      <c r="CG31" s="111" t="s">
        <v>60</v>
      </c>
      <c r="CH31" s="111" t="s">
        <v>71</v>
      </c>
      <c r="CI31" s="111" t="s">
        <v>60</v>
      </c>
      <c r="CJ31" s="111" t="s">
        <v>71</v>
      </c>
      <c r="CK31" s="111" t="s">
        <v>60</v>
      </c>
      <c r="CL31" s="111" t="s">
        <v>71</v>
      </c>
      <c r="CM31" s="111" t="s">
        <v>60</v>
      </c>
      <c r="CN31" s="111" t="s">
        <v>71</v>
      </c>
      <c r="CO31" s="111" t="s">
        <v>60</v>
      </c>
      <c r="CP31" s="111" t="s">
        <v>71</v>
      </c>
      <c r="CQ31" s="111" t="s">
        <v>60</v>
      </c>
      <c r="CR31" s="111" t="s">
        <v>71</v>
      </c>
      <c r="CS31" s="111" t="s">
        <v>60</v>
      </c>
      <c r="CT31" s="111" t="s">
        <v>71</v>
      </c>
      <c r="CU31" s="111" t="s">
        <v>60</v>
      </c>
      <c r="CV31" s="111" t="s">
        <v>71</v>
      </c>
      <c r="CW31" s="111" t="s">
        <v>60</v>
      </c>
      <c r="CX31" s="111" t="s">
        <v>71</v>
      </c>
      <c r="CY31" s="111" t="s">
        <v>60</v>
      </c>
      <c r="CZ31" s="111" t="s">
        <v>71</v>
      </c>
      <c r="DA31" s="111" t="s">
        <v>60</v>
      </c>
      <c r="DB31" s="111" t="s">
        <v>71</v>
      </c>
      <c r="DC31" s="111" t="s">
        <v>60</v>
      </c>
      <c r="DD31" s="111" t="s">
        <v>71</v>
      </c>
      <c r="DE31" s="137" t="str">
        <f t="shared" si="8"/>
        <v>9&lt; YEARS OLD</v>
      </c>
      <c r="DF31" s="137">
        <f t="shared" si="14"/>
        <v>0</v>
      </c>
    </row>
    <row r="32" spans="1:110" x14ac:dyDescent="0.2">
      <c r="A32" s="160"/>
      <c r="B32" s="5">
        <f t="shared" si="16"/>
        <v>30</v>
      </c>
      <c r="C32" s="98" t="str">
        <f t="shared" si="17"/>
        <v>CNS66</v>
      </c>
      <c r="D32" s="98"/>
      <c r="E32" s="98" t="str">
        <f t="shared" si="0"/>
        <v>CNS66_CONTROL</v>
      </c>
      <c r="F32" s="98" t="s">
        <v>116</v>
      </c>
      <c r="G32" s="99">
        <v>66</v>
      </c>
      <c r="H32" s="100"/>
      <c r="I32" s="100"/>
      <c r="J32" s="101" t="s">
        <v>25</v>
      </c>
      <c r="K32" s="101" t="s">
        <v>26</v>
      </c>
      <c r="L32" s="101" t="s">
        <v>301</v>
      </c>
      <c r="M32" s="102" t="s">
        <v>81</v>
      </c>
      <c r="N32" s="102" t="s">
        <v>81</v>
      </c>
      <c r="O32" s="102" t="s">
        <v>81</v>
      </c>
      <c r="P32" s="102" t="s">
        <v>309</v>
      </c>
      <c r="Q32" s="102" t="s">
        <v>81</v>
      </c>
      <c r="R32" s="103" t="s">
        <v>89</v>
      </c>
      <c r="S32" s="103" t="s">
        <v>93</v>
      </c>
      <c r="T32" s="103"/>
      <c r="U32" s="101" t="s">
        <v>81</v>
      </c>
      <c r="V32" s="101" t="s">
        <v>60</v>
      </c>
      <c r="W32" s="104"/>
      <c r="X32" s="104"/>
      <c r="Y32" s="105" t="s">
        <v>71</v>
      </c>
      <c r="Z32" s="105" t="str">
        <f t="shared" si="12"/>
        <v>NaN</v>
      </c>
      <c r="AA32" s="105">
        <f t="shared" ca="1" si="18"/>
        <v>3498.4166666666665</v>
      </c>
      <c r="AB32" s="104"/>
      <c r="AC32" s="104"/>
      <c r="AD32" s="106" t="str">
        <f t="shared" si="19"/>
        <v>NaN</v>
      </c>
      <c r="AE32" s="105" t="s">
        <v>71</v>
      </c>
      <c r="AF32" s="105" t="s">
        <v>68</v>
      </c>
      <c r="AG32" s="101" t="s">
        <v>61</v>
      </c>
      <c r="AH32" s="101">
        <v>0</v>
      </c>
      <c r="AI32" s="101" t="s">
        <v>60</v>
      </c>
      <c r="AJ32" s="108" t="str">
        <f t="shared" ca="1" si="20"/>
        <v>NaN</v>
      </c>
      <c r="AK32" s="101" t="s">
        <v>81</v>
      </c>
      <c r="AL32" s="101" t="s">
        <v>60</v>
      </c>
      <c r="AM32" s="101" t="s">
        <v>60</v>
      </c>
      <c r="AN32" s="101" t="s">
        <v>60</v>
      </c>
      <c r="AO32" s="109" t="s">
        <v>71</v>
      </c>
      <c r="AP32" s="109" t="s">
        <v>71</v>
      </c>
      <c r="AQ32" s="109" t="s">
        <v>71</v>
      </c>
      <c r="AR32" s="110" t="str">
        <f>IF(ISERROR(VLOOKUP(H32,[1]Tabelle1!$C$3:$BR$42,16,0)),"N/A",VLOOKUP(H32,[1]Tabelle1!$C$3:$BR$42,16,0))</f>
        <v>N/A</v>
      </c>
      <c r="AS32" s="109" t="s">
        <v>71</v>
      </c>
      <c r="AT32" s="109" t="s">
        <v>71</v>
      </c>
      <c r="AU32" s="109" t="s">
        <v>71</v>
      </c>
      <c r="AV32" s="109" t="s">
        <v>71</v>
      </c>
      <c r="AW32" s="109" t="s">
        <v>71</v>
      </c>
      <c r="AX32" s="109" t="s">
        <v>71</v>
      </c>
      <c r="AY32" s="109" t="s">
        <v>71</v>
      </c>
      <c r="AZ32" s="109" t="s">
        <v>71</v>
      </c>
      <c r="BA32" s="109" t="s">
        <v>71</v>
      </c>
      <c r="BB32" s="109" t="s">
        <v>71</v>
      </c>
      <c r="BC32" s="109" t="s">
        <v>71</v>
      </c>
      <c r="BD32" s="109" t="s">
        <v>71</v>
      </c>
      <c r="BE32" s="109" t="s">
        <v>71</v>
      </c>
      <c r="BF32" s="109" t="s">
        <v>71</v>
      </c>
      <c r="BG32" s="109" t="s">
        <v>71</v>
      </c>
      <c r="BH32" s="109" t="s">
        <v>71</v>
      </c>
      <c r="BI32" s="109" t="s">
        <v>71</v>
      </c>
      <c r="BJ32" s="109" t="s">
        <v>71</v>
      </c>
      <c r="BK32" s="109" t="s">
        <v>71</v>
      </c>
      <c r="BL32" s="109" t="s">
        <v>71</v>
      </c>
      <c r="BM32" s="109" t="s">
        <v>71</v>
      </c>
      <c r="BN32" s="109" t="s">
        <v>71</v>
      </c>
      <c r="BO32" s="109" t="s">
        <v>71</v>
      </c>
      <c r="BP32" s="109" t="s">
        <v>71</v>
      </c>
      <c r="BQ32" s="109" t="s">
        <v>71</v>
      </c>
      <c r="BR32" s="109" t="s">
        <v>71</v>
      </c>
      <c r="BS32" s="109" t="s">
        <v>71</v>
      </c>
      <c r="BT32" s="109" t="s">
        <v>71</v>
      </c>
      <c r="BU32" s="109" t="s">
        <v>71</v>
      </c>
      <c r="BV32" s="111" t="s">
        <v>71</v>
      </c>
      <c r="BW32" s="111" t="s">
        <v>60</v>
      </c>
      <c r="BX32" s="111" t="s">
        <v>71</v>
      </c>
      <c r="BY32" s="111" t="s">
        <v>60</v>
      </c>
      <c r="BZ32" s="111" t="s">
        <v>71</v>
      </c>
      <c r="CA32" s="111" t="s">
        <v>81</v>
      </c>
      <c r="CB32" s="111" t="s">
        <v>71</v>
      </c>
      <c r="CC32" s="111" t="s">
        <v>60</v>
      </c>
      <c r="CD32" s="111" t="s">
        <v>71</v>
      </c>
      <c r="CE32" s="111" t="s">
        <v>60</v>
      </c>
      <c r="CF32" s="111" t="s">
        <v>71</v>
      </c>
      <c r="CG32" s="111" t="s">
        <v>60</v>
      </c>
      <c r="CH32" s="111" t="s">
        <v>71</v>
      </c>
      <c r="CI32" s="111" t="s">
        <v>60</v>
      </c>
      <c r="CJ32" s="111" t="s">
        <v>71</v>
      </c>
      <c r="CK32" s="111" t="s">
        <v>60</v>
      </c>
      <c r="CL32" s="111" t="s">
        <v>71</v>
      </c>
      <c r="CM32" s="111" t="s">
        <v>60</v>
      </c>
      <c r="CN32" s="111" t="s">
        <v>71</v>
      </c>
      <c r="CO32" s="111" t="s">
        <v>60</v>
      </c>
      <c r="CP32" s="111" t="s">
        <v>71</v>
      </c>
      <c r="CQ32" s="111" t="s">
        <v>60</v>
      </c>
      <c r="CR32" s="111" t="s">
        <v>71</v>
      </c>
      <c r="CS32" s="111" t="s">
        <v>60</v>
      </c>
      <c r="CT32" s="111" t="s">
        <v>71</v>
      </c>
      <c r="CU32" s="111" t="s">
        <v>60</v>
      </c>
      <c r="CV32" s="111" t="s">
        <v>71</v>
      </c>
      <c r="CW32" s="111" t="s">
        <v>60</v>
      </c>
      <c r="CX32" s="111" t="s">
        <v>71</v>
      </c>
      <c r="CY32" s="111" t="s">
        <v>60</v>
      </c>
      <c r="CZ32" s="111" t="s">
        <v>71</v>
      </c>
      <c r="DA32" s="111" t="s">
        <v>60</v>
      </c>
      <c r="DB32" s="111" t="s">
        <v>71</v>
      </c>
      <c r="DC32" s="111" t="s">
        <v>60</v>
      </c>
      <c r="DD32" s="111" t="s">
        <v>71</v>
      </c>
      <c r="DE32" s="137" t="str">
        <f t="shared" si="8"/>
        <v>9&lt; YEARS OLD</v>
      </c>
      <c r="DF32" s="137">
        <f t="shared" si="14"/>
        <v>0</v>
      </c>
    </row>
    <row r="33" spans="1:121" x14ac:dyDescent="0.2">
      <c r="A33" s="160"/>
      <c r="B33" s="5">
        <f t="shared" si="16"/>
        <v>31</v>
      </c>
      <c r="C33" s="98" t="str">
        <f t="shared" si="17"/>
        <v>CNS67</v>
      </c>
      <c r="D33" s="98"/>
      <c r="E33" s="98" t="str">
        <f t="shared" ref="E33:E56" si="21">CONCATENATE(C33,"_",M33)</f>
        <v>CNS67_CONTROL</v>
      </c>
      <c r="F33" s="98" t="s">
        <v>117</v>
      </c>
      <c r="G33" s="99">
        <v>67</v>
      </c>
      <c r="H33" s="112"/>
      <c r="I33" s="112"/>
      <c r="J33" s="101" t="s">
        <v>25</v>
      </c>
      <c r="K33" s="101" t="s">
        <v>26</v>
      </c>
      <c r="L33" s="101" t="s">
        <v>301</v>
      </c>
      <c r="M33" s="102" t="s">
        <v>81</v>
      </c>
      <c r="N33" s="102" t="s">
        <v>81</v>
      </c>
      <c r="O33" s="102" t="s">
        <v>81</v>
      </c>
      <c r="P33" s="102" t="s">
        <v>309</v>
      </c>
      <c r="Q33" s="102" t="s">
        <v>81</v>
      </c>
      <c r="R33" s="103" t="s">
        <v>168</v>
      </c>
      <c r="S33" s="103" t="s">
        <v>169</v>
      </c>
      <c r="T33" s="103"/>
      <c r="U33" s="101" t="s">
        <v>81</v>
      </c>
      <c r="V33" s="101" t="s">
        <v>60</v>
      </c>
      <c r="W33" s="104"/>
      <c r="X33" s="104"/>
      <c r="Y33" s="105" t="s">
        <v>71</v>
      </c>
      <c r="Z33" s="105" t="str">
        <f t="shared" si="12"/>
        <v>NaN</v>
      </c>
      <c r="AA33" s="105">
        <f t="shared" ca="1" si="18"/>
        <v>3498.4166666666665</v>
      </c>
      <c r="AB33" s="104"/>
      <c r="AC33" s="104"/>
      <c r="AD33" s="106" t="str">
        <f t="shared" si="19"/>
        <v>NaN</v>
      </c>
      <c r="AE33" s="105" t="s">
        <v>71</v>
      </c>
      <c r="AF33" s="105" t="s">
        <v>68</v>
      </c>
      <c r="AG33" s="101" t="s">
        <v>61</v>
      </c>
      <c r="AH33" s="101">
        <v>0</v>
      </c>
      <c r="AI33" s="101" t="s">
        <v>60</v>
      </c>
      <c r="AJ33" s="108" t="str">
        <f t="shared" ca="1" si="20"/>
        <v>NaN</v>
      </c>
      <c r="AK33" s="101" t="s">
        <v>81</v>
      </c>
      <c r="AL33" s="101" t="s">
        <v>60</v>
      </c>
      <c r="AM33" s="101" t="s">
        <v>60</v>
      </c>
      <c r="AN33" s="101" t="s">
        <v>60</v>
      </c>
      <c r="AO33" s="109" t="s">
        <v>71</v>
      </c>
      <c r="AP33" s="109" t="s">
        <v>71</v>
      </c>
      <c r="AQ33" s="109" t="s">
        <v>71</v>
      </c>
      <c r="AR33" s="110" t="str">
        <f>IF(ISERROR(VLOOKUP(H33,[1]Tabelle1!$C$3:$BR$42,16,0)),"N/A",VLOOKUP(H33,[1]Tabelle1!$C$3:$BR$42,16,0))</f>
        <v>N/A</v>
      </c>
      <c r="AS33" s="109" t="s">
        <v>71</v>
      </c>
      <c r="AT33" s="109" t="s">
        <v>71</v>
      </c>
      <c r="AU33" s="109" t="s">
        <v>71</v>
      </c>
      <c r="AV33" s="109" t="s">
        <v>71</v>
      </c>
      <c r="AW33" s="109" t="s">
        <v>71</v>
      </c>
      <c r="AX33" s="109" t="s">
        <v>71</v>
      </c>
      <c r="AY33" s="109" t="s">
        <v>71</v>
      </c>
      <c r="AZ33" s="109" t="s">
        <v>71</v>
      </c>
      <c r="BA33" s="109" t="s">
        <v>71</v>
      </c>
      <c r="BB33" s="109" t="s">
        <v>71</v>
      </c>
      <c r="BC33" s="109" t="s">
        <v>71</v>
      </c>
      <c r="BD33" s="109" t="s">
        <v>71</v>
      </c>
      <c r="BE33" s="109" t="s">
        <v>71</v>
      </c>
      <c r="BF33" s="109" t="s">
        <v>71</v>
      </c>
      <c r="BG33" s="109" t="s">
        <v>71</v>
      </c>
      <c r="BH33" s="109" t="s">
        <v>71</v>
      </c>
      <c r="BI33" s="109" t="s">
        <v>71</v>
      </c>
      <c r="BJ33" s="109" t="s">
        <v>71</v>
      </c>
      <c r="BK33" s="109" t="s">
        <v>71</v>
      </c>
      <c r="BL33" s="109" t="s">
        <v>71</v>
      </c>
      <c r="BM33" s="109" t="s">
        <v>71</v>
      </c>
      <c r="BN33" s="109" t="s">
        <v>71</v>
      </c>
      <c r="BO33" s="109" t="s">
        <v>71</v>
      </c>
      <c r="BP33" s="109" t="s">
        <v>71</v>
      </c>
      <c r="BQ33" s="109" t="s">
        <v>71</v>
      </c>
      <c r="BR33" s="109" t="s">
        <v>71</v>
      </c>
      <c r="BS33" s="109" t="s">
        <v>71</v>
      </c>
      <c r="BT33" s="109" t="s">
        <v>71</v>
      </c>
      <c r="BU33" s="109" t="s">
        <v>71</v>
      </c>
      <c r="BV33" s="111" t="s">
        <v>71</v>
      </c>
      <c r="BW33" s="111" t="s">
        <v>60</v>
      </c>
      <c r="BX33" s="111" t="s">
        <v>71</v>
      </c>
      <c r="BY33" s="111" t="s">
        <v>60</v>
      </c>
      <c r="BZ33" s="111" t="s">
        <v>71</v>
      </c>
      <c r="CA33" s="111" t="s">
        <v>81</v>
      </c>
      <c r="CB33" s="111" t="s">
        <v>71</v>
      </c>
      <c r="CC33" s="111" t="s">
        <v>60</v>
      </c>
      <c r="CD33" s="111" t="s">
        <v>71</v>
      </c>
      <c r="CE33" s="111" t="s">
        <v>60</v>
      </c>
      <c r="CF33" s="111" t="s">
        <v>71</v>
      </c>
      <c r="CG33" s="111" t="s">
        <v>60</v>
      </c>
      <c r="CH33" s="111" t="s">
        <v>71</v>
      </c>
      <c r="CI33" s="111" t="s">
        <v>60</v>
      </c>
      <c r="CJ33" s="111" t="s">
        <v>71</v>
      </c>
      <c r="CK33" s="111" t="s">
        <v>60</v>
      </c>
      <c r="CL33" s="111" t="s">
        <v>71</v>
      </c>
      <c r="CM33" s="111" t="s">
        <v>60</v>
      </c>
      <c r="CN33" s="111" t="s">
        <v>71</v>
      </c>
      <c r="CO33" s="111" t="s">
        <v>60</v>
      </c>
      <c r="CP33" s="111" t="s">
        <v>71</v>
      </c>
      <c r="CQ33" s="111" t="s">
        <v>60</v>
      </c>
      <c r="CR33" s="111" t="s">
        <v>71</v>
      </c>
      <c r="CS33" s="111" t="s">
        <v>60</v>
      </c>
      <c r="CT33" s="111" t="s">
        <v>71</v>
      </c>
      <c r="CU33" s="111" t="s">
        <v>60</v>
      </c>
      <c r="CV33" s="111" t="s">
        <v>71</v>
      </c>
      <c r="CW33" s="111" t="s">
        <v>60</v>
      </c>
      <c r="CX33" s="111" t="s">
        <v>71</v>
      </c>
      <c r="CY33" s="111" t="s">
        <v>60</v>
      </c>
      <c r="CZ33" s="111" t="s">
        <v>71</v>
      </c>
      <c r="DA33" s="111" t="s">
        <v>60</v>
      </c>
      <c r="DB33" s="111" t="s">
        <v>71</v>
      </c>
      <c r="DC33" s="111" t="s">
        <v>60</v>
      </c>
      <c r="DD33" s="111" t="s">
        <v>71</v>
      </c>
      <c r="DE33" s="137" t="str">
        <f t="shared" si="8"/>
        <v>9&lt; YEARS OLD</v>
      </c>
      <c r="DF33" s="137">
        <f t="shared" si="14"/>
        <v>0</v>
      </c>
    </row>
    <row r="34" spans="1:121" x14ac:dyDescent="0.2">
      <c r="A34" s="160"/>
      <c r="B34" s="5">
        <f t="shared" si="16"/>
        <v>32</v>
      </c>
      <c r="C34" s="98" t="str">
        <f t="shared" si="17"/>
        <v>CNS68</v>
      </c>
      <c r="D34" s="98"/>
      <c r="E34" s="98" t="str">
        <f t="shared" si="21"/>
        <v>CNS68_NEOPLASM</v>
      </c>
      <c r="F34" s="98" t="s">
        <v>118</v>
      </c>
      <c r="G34" s="99">
        <v>68</v>
      </c>
      <c r="H34" s="112"/>
      <c r="I34" s="112"/>
      <c r="J34" s="101" t="s">
        <v>25</v>
      </c>
      <c r="K34" s="101" t="s">
        <v>26</v>
      </c>
      <c r="L34" s="101" t="s">
        <v>300</v>
      </c>
      <c r="M34" s="102" t="s">
        <v>316</v>
      </c>
      <c r="N34" s="102" t="s">
        <v>314</v>
      </c>
      <c r="O34" s="102" t="s">
        <v>147</v>
      </c>
      <c r="P34" s="102" t="s">
        <v>147</v>
      </c>
      <c r="Q34" s="102" t="s">
        <v>147</v>
      </c>
      <c r="R34" s="103" t="s">
        <v>80</v>
      </c>
      <c r="S34" s="103" t="s">
        <v>60</v>
      </c>
      <c r="T34" s="103"/>
      <c r="U34" s="101" t="s">
        <v>28</v>
      </c>
      <c r="V34" s="101" t="s">
        <v>174</v>
      </c>
      <c r="W34" s="104"/>
      <c r="X34" s="104"/>
      <c r="Y34" s="105">
        <v>10.583561643835617</v>
      </c>
      <c r="Z34" s="105">
        <f t="shared" si="12"/>
        <v>544.01095890410966</v>
      </c>
      <c r="AA34" s="105">
        <f t="shared" ca="1" si="18"/>
        <v>3498.4166666666665</v>
      </c>
      <c r="AB34" s="104"/>
      <c r="AC34" s="104"/>
      <c r="AD34" s="106" t="str">
        <f t="shared" si="19"/>
        <v>NaN</v>
      </c>
      <c r="AE34" s="105" t="s">
        <v>71</v>
      </c>
      <c r="AF34" s="105" t="s">
        <v>68</v>
      </c>
      <c r="AG34" s="101" t="s">
        <v>48</v>
      </c>
      <c r="AH34" s="101">
        <v>1</v>
      </c>
      <c r="AI34" s="101" t="s">
        <v>60</v>
      </c>
      <c r="AJ34" s="108">
        <f t="shared" ca="1" si="20"/>
        <v>115.01643835616439</v>
      </c>
      <c r="AK34" s="101" t="s">
        <v>63</v>
      </c>
      <c r="AL34" s="101" t="s">
        <v>60</v>
      </c>
      <c r="AM34" s="101" t="s">
        <v>60</v>
      </c>
      <c r="AN34" s="101" t="s">
        <v>60</v>
      </c>
      <c r="AO34" s="101" t="s">
        <v>71</v>
      </c>
      <c r="AP34" s="109" t="s">
        <v>71</v>
      </c>
      <c r="AQ34" s="109" t="s">
        <v>71</v>
      </c>
      <c r="AR34" s="110" t="str">
        <f>IF(ISERROR(VLOOKUP(H34,[1]Tabelle1!$C$3:$BR$42,16,0)),"N/A",VLOOKUP(H34,[1]Tabelle1!$C$3:$BR$42,16,0))</f>
        <v>N/A</v>
      </c>
      <c r="AS34" s="110" t="str">
        <f>IF(ISERROR(VLOOKUP(H34,[1]Tabelle1!$C$3:$BR$42,17,0)),"N/A",VLOOKUP(H34,[1]Tabelle1!$C$3:$BR$42,17,0))</f>
        <v>N/A</v>
      </c>
      <c r="AT34" s="109" t="s">
        <v>71</v>
      </c>
      <c r="AU34" s="109" t="s">
        <v>71</v>
      </c>
      <c r="AV34" s="110" t="str">
        <f>IF(ISERROR(VLOOKUP(H34,[1]Tabelle1!$C$3:$BR$42,18,0)),"N/A",VLOOKUP(H34,[1]Tabelle1!$C$3:$BR$42,18,0))</f>
        <v>N/A</v>
      </c>
      <c r="AW34" s="110" t="str">
        <f>IF(ISERROR(VLOOKUP(H34,[1]Tabelle1!$C$3:$BR$42,19,0)),"N/A",VLOOKUP(H34,[1]Tabelle1!$C$3:$BR$42,19,0))</f>
        <v>N/A</v>
      </c>
      <c r="AX34" s="110" t="str">
        <f>IF(ISERROR(VLOOKUP(H34,[1]Tabelle1!$C$3:$BR$42,20,0)),"N/A",VLOOKUP(H34,[1]Tabelle1!$C$3:$BR$42,20,0))</f>
        <v>N/A</v>
      </c>
      <c r="AY34" s="110" t="str">
        <f>IF(ISERROR(VLOOKUP(H34,[1]Tabelle1!$C$3:$BR$42,21,0)),"N/A",VLOOKUP(H34,[1]Tabelle1!$C$3:$BR$42,21,0))</f>
        <v>N/A</v>
      </c>
      <c r="AZ34" s="110" t="str">
        <f>IF(ISERROR(VLOOKUP(H34,[1]Tabelle1!$C$3:$BR$42,22,0)),"N/A",VLOOKUP(H34,[1]Tabelle1!$C$3:$BR$42,22,0))</f>
        <v>N/A</v>
      </c>
      <c r="BA34" s="110" t="str">
        <f>IF(ISERROR(VLOOKUP(H34,[1]Tabelle1!$C$3:$BR$42,23,0)),"N/A",VLOOKUP(H34,[1]Tabelle1!$C$3:$BR$42,23,0))</f>
        <v>N/A</v>
      </c>
      <c r="BB34" s="110" t="str">
        <f>IF(ISERROR(VLOOKUP(H34,[1]Tabelle1!$C$3:$BR$42,24,0)),"N/A",VLOOKUP(H34,[1]Tabelle1!$C$3:$BR$42,24,0))</f>
        <v>N/A</v>
      </c>
      <c r="BC34" s="110" t="str">
        <f>IF(ISERROR(VLOOKUP(H34,[1]Tabelle1!$C$3:$BR$42,25,0)),"N/A",VLOOKUP(H34,[1]Tabelle1!$C$3:$BR$42,25,0))</f>
        <v>N/A</v>
      </c>
      <c r="BD34" s="110" t="str">
        <f>IF(ISERROR(VLOOKUP(H34,[1]Tabelle1!$C$3:$BR$42,26,0)),"N/A",VLOOKUP(H34,[1]Tabelle1!$C$3:$BR$42,26,0))</f>
        <v>N/A</v>
      </c>
      <c r="BE34" s="110" t="str">
        <f>IF(ISERROR(VLOOKUP(H34,[1]Tabelle1!$C$3:$BR$42,27,0)),"N/A",VLOOKUP(H34,[1]Tabelle1!$C$3:$BR$42,27,0))</f>
        <v>N/A</v>
      </c>
      <c r="BF34" s="110" t="str">
        <f>IF(ISERROR(VLOOKUP(H34,[1]Tabelle1!$C$3:$BR$42,28,0)),"N/A",VLOOKUP(H34,[1]Tabelle1!$C$3:$BR$42,28,0))</f>
        <v>N/A</v>
      </c>
      <c r="BG34" s="110" t="str">
        <f>IF(ISERROR(VLOOKUP(H34,[1]Tabelle1!$C$3:$BR$42,29,0)),"N/A",VLOOKUP(H34,[1]Tabelle1!$C$3:$BR$42,29,0))</f>
        <v>N/A</v>
      </c>
      <c r="BH34" s="110" t="str">
        <f>IF(ISERROR(VLOOKUP(H34,[1]Tabelle1!$C$3:$BR$42,30,0)),"N/A",VLOOKUP(H34,[1]Tabelle1!$C$3:$BR$42,30,0))</f>
        <v>N/A</v>
      </c>
      <c r="BI34" s="110" t="str">
        <f>IF(ISERROR(VLOOKUP(H34,[1]Tabelle1!$C$3:$BR$42,31,0)),"N/A",VLOOKUP(H34,[1]Tabelle1!$C$3:$BR$42,31,0))</f>
        <v>N/A</v>
      </c>
      <c r="BJ34" s="110" t="str">
        <f>IF(ISERROR(VLOOKUP(H34,[1]Tabelle1!$C$3:$BR$42,32,0)),"N/A",VLOOKUP(H34,[1]Tabelle1!$C$3:$BR$42,32,0))</f>
        <v>N/A</v>
      </c>
      <c r="BK34" s="110" t="str">
        <f>IF(ISERROR(VLOOKUP(H34,[1]Tabelle1!$C$3:$BR$42,33,0)),"N/A",VLOOKUP(H34,[1]Tabelle1!$C$3:$BR$42,33,0))</f>
        <v>N/A</v>
      </c>
      <c r="BL34" s="110" t="str">
        <f>IF(ISERROR(VLOOKUP(H34,[1]Tabelle1!$C$3:$BR$42,34,0)),"N/A",VLOOKUP(H34,[1]Tabelle1!$C$3:$BR$42,34,0))</f>
        <v>N/A</v>
      </c>
      <c r="BM34" s="110" t="str">
        <f>IF(ISERROR(VLOOKUP(H34,[1]Tabelle1!$C$3:$BR$42,35,0)),"N/A",VLOOKUP(H34,[1]Tabelle1!$C$3:$BR$42,35,0))</f>
        <v>N/A</v>
      </c>
      <c r="BN34" s="110" t="str">
        <f>IF(ISERROR(VLOOKUP(H34,[1]Tabelle1!$C$3:$BR$42,36,0)),"N/A",VLOOKUP(H34,[1]Tabelle1!$C$3:$BR$42,36,0))</f>
        <v>N/A</v>
      </c>
      <c r="BO34" s="110" t="str">
        <f>IF(ISERROR(VLOOKUP(H34,[1]Tabelle1!$C$3:$BR$42,37,0)),"N/A",VLOOKUP(H34,[1]Tabelle1!$C$3:$BR$42,37,0))</f>
        <v>N/A</v>
      </c>
      <c r="BP34" s="110" t="str">
        <f>IF(ISERROR(VLOOKUP(H34,[1]Tabelle1!$C$3:$BR$42,38,0)),"N/A",VLOOKUP(H34,[1]Tabelle1!$C$3:$BR$42,38,0))</f>
        <v>N/A</v>
      </c>
      <c r="BQ34" s="110" t="str">
        <f>IF(ISERROR(VLOOKUP(H34,[1]Tabelle1!$C$3:$BR$42,39,0)),"N/A",VLOOKUP(H34,[1]Tabelle1!$C$3:$BR$42,39,0))</f>
        <v>N/A</v>
      </c>
      <c r="BR34" s="110" t="str">
        <f>IF(ISERROR(VLOOKUP(H34,[1]Tabelle1!$C$3:$BR$42,40,0)),"N/A",VLOOKUP(H34,[1]Tabelle1!$C$3:$BR$42,40,0))</f>
        <v>N/A</v>
      </c>
      <c r="BS34" s="110" t="str">
        <f>IF(ISERROR(VLOOKUP(H34,[1]Tabelle1!$C$3:$BR$42,41,0)),"N/A",VLOOKUP(H34,[1]Tabelle1!$C$3:$BR$42,41,0))</f>
        <v>N/A</v>
      </c>
      <c r="BT34" s="110" t="str">
        <f>IF(ISERROR(VLOOKUP(H34,[1]Tabelle1!$C$3:$BR$42,42,0)),"N/A",VLOOKUP(H34,[1]Tabelle1!$C$3:$BR$42,42,0))</f>
        <v>N/A</v>
      </c>
      <c r="BU34" s="101" t="s">
        <v>74</v>
      </c>
      <c r="BV34" s="111">
        <v>0</v>
      </c>
      <c r="BW34" s="101" t="s">
        <v>72</v>
      </c>
      <c r="BX34" s="111" t="s">
        <v>71</v>
      </c>
      <c r="BY34" s="101" t="s">
        <v>74</v>
      </c>
      <c r="BZ34" s="111">
        <v>0</v>
      </c>
      <c r="CA34" s="101" t="s">
        <v>72</v>
      </c>
      <c r="CB34" s="111">
        <v>0.02</v>
      </c>
      <c r="CC34" s="101" t="s">
        <v>74</v>
      </c>
      <c r="CD34" s="111">
        <v>0</v>
      </c>
      <c r="CE34" s="101" t="s">
        <v>60</v>
      </c>
      <c r="CF34" s="111" t="s">
        <v>71</v>
      </c>
      <c r="CG34" s="101" t="s">
        <v>74</v>
      </c>
      <c r="CH34" s="111">
        <v>0</v>
      </c>
      <c r="CI34" s="101" t="s">
        <v>60</v>
      </c>
      <c r="CJ34" s="111" t="s">
        <v>71</v>
      </c>
      <c r="CK34" s="101" t="s">
        <v>60</v>
      </c>
      <c r="CL34" s="111" t="s">
        <v>71</v>
      </c>
      <c r="CM34" s="101" t="s">
        <v>72</v>
      </c>
      <c r="CN34" s="111">
        <v>0.375</v>
      </c>
      <c r="CO34" s="101" t="s">
        <v>60</v>
      </c>
      <c r="CP34" s="111" t="s">
        <v>71</v>
      </c>
      <c r="CQ34" s="101" t="s">
        <v>74</v>
      </c>
      <c r="CR34" s="111">
        <v>0</v>
      </c>
      <c r="CS34" s="101" t="s">
        <v>60</v>
      </c>
      <c r="CT34" s="111" t="s">
        <v>71</v>
      </c>
      <c r="CU34" s="101" t="s">
        <v>60</v>
      </c>
      <c r="CV34" s="111" t="s">
        <v>71</v>
      </c>
      <c r="CW34" s="101"/>
      <c r="CX34" s="111" t="s">
        <v>71</v>
      </c>
      <c r="CY34" s="111" t="s">
        <v>60</v>
      </c>
      <c r="CZ34" s="111" t="s">
        <v>71</v>
      </c>
      <c r="DA34" s="111" t="s">
        <v>60</v>
      </c>
      <c r="DB34" s="111" t="s">
        <v>71</v>
      </c>
      <c r="DC34" s="111" t="s">
        <v>60</v>
      </c>
      <c r="DD34" s="111" t="s">
        <v>71</v>
      </c>
      <c r="DE34" s="137" t="str">
        <f t="shared" si="8"/>
        <v>9&lt; YEARS OLD</v>
      </c>
      <c r="DF34" s="137">
        <f t="shared" si="14"/>
        <v>1</v>
      </c>
    </row>
    <row r="35" spans="1:121" x14ac:dyDescent="0.2">
      <c r="A35" s="160" t="s">
        <v>325</v>
      </c>
      <c r="B35" s="5">
        <f t="shared" si="16"/>
        <v>33</v>
      </c>
      <c r="C35" s="114" t="str">
        <f t="shared" si="17"/>
        <v>CNS69</v>
      </c>
      <c r="D35" s="115" t="s">
        <v>149</v>
      </c>
      <c r="E35" s="114" t="str">
        <f t="shared" si="21"/>
        <v>CNS69_NEOPLASM</v>
      </c>
      <c r="F35" s="114"/>
      <c r="G35" s="113">
        <f>G34+1</f>
        <v>69</v>
      </c>
      <c r="H35" s="116"/>
      <c r="I35" s="116"/>
      <c r="J35" s="116" t="s">
        <v>60</v>
      </c>
      <c r="K35" s="116" t="s">
        <v>177</v>
      </c>
      <c r="L35" s="116" t="s">
        <v>300</v>
      </c>
      <c r="M35" s="117" t="s">
        <v>316</v>
      </c>
      <c r="N35" s="117" t="s">
        <v>314</v>
      </c>
      <c r="O35" s="117" t="s">
        <v>178</v>
      </c>
      <c r="P35" s="117" t="s">
        <v>178</v>
      </c>
      <c r="Q35" s="118" t="s">
        <v>60</v>
      </c>
      <c r="R35" s="118" t="s">
        <v>60</v>
      </c>
      <c r="S35" s="118" t="s">
        <v>60</v>
      </c>
      <c r="T35" s="116"/>
      <c r="U35" s="116" t="s">
        <v>60</v>
      </c>
      <c r="V35" s="116" t="s">
        <v>174</v>
      </c>
      <c r="W35" s="116"/>
      <c r="X35" s="116"/>
      <c r="Y35" s="119">
        <v>2</v>
      </c>
      <c r="Z35" s="120">
        <f t="shared" si="12"/>
        <v>132</v>
      </c>
      <c r="AA35" s="116" t="s">
        <v>71</v>
      </c>
      <c r="AB35" s="116" t="s">
        <v>60</v>
      </c>
      <c r="AC35" s="116" t="s">
        <v>60</v>
      </c>
      <c r="AD35" s="116" t="s">
        <v>71</v>
      </c>
      <c r="AE35" s="116" t="s">
        <v>71</v>
      </c>
      <c r="AF35" s="120" t="s">
        <v>68</v>
      </c>
      <c r="AG35" s="116" t="s">
        <v>60</v>
      </c>
      <c r="AH35" s="116" t="s">
        <v>71</v>
      </c>
      <c r="AI35" s="116" t="s">
        <v>60</v>
      </c>
      <c r="AJ35" s="116" t="s">
        <v>71</v>
      </c>
      <c r="AK35" s="116" t="s">
        <v>60</v>
      </c>
      <c r="AL35" s="116" t="s">
        <v>60</v>
      </c>
      <c r="AM35" s="116" t="s">
        <v>60</v>
      </c>
      <c r="AN35" s="116" t="s">
        <v>60</v>
      </c>
      <c r="AO35" s="116" t="s">
        <v>71</v>
      </c>
      <c r="AP35" s="116" t="s">
        <v>71</v>
      </c>
      <c r="AQ35" s="116" t="s">
        <v>71</v>
      </c>
      <c r="AR35" s="116" t="s">
        <v>71</v>
      </c>
      <c r="AS35" s="116" t="s">
        <v>71</v>
      </c>
      <c r="AT35" s="116" t="s">
        <v>71</v>
      </c>
      <c r="AU35" s="116" t="s">
        <v>71</v>
      </c>
      <c r="AV35" s="116" t="s">
        <v>71</v>
      </c>
      <c r="AW35" s="116" t="s">
        <v>71</v>
      </c>
      <c r="AX35" s="116" t="s">
        <v>71</v>
      </c>
      <c r="AY35" s="116" t="s">
        <v>71</v>
      </c>
      <c r="AZ35" s="116" t="s">
        <v>71</v>
      </c>
      <c r="BA35" s="116" t="s">
        <v>71</v>
      </c>
      <c r="BB35" s="116" t="s">
        <v>71</v>
      </c>
      <c r="BC35" s="116" t="s">
        <v>71</v>
      </c>
      <c r="BD35" s="116" t="s">
        <v>71</v>
      </c>
      <c r="BE35" s="116" t="s">
        <v>71</v>
      </c>
      <c r="BF35" s="116" t="s">
        <v>71</v>
      </c>
      <c r="BG35" s="116" t="s">
        <v>71</v>
      </c>
      <c r="BH35" s="116" t="s">
        <v>71</v>
      </c>
      <c r="BI35" s="116" t="s">
        <v>71</v>
      </c>
      <c r="BJ35" s="116" t="s">
        <v>71</v>
      </c>
      <c r="BK35" s="116" t="s">
        <v>71</v>
      </c>
      <c r="BL35" s="116" t="s">
        <v>71</v>
      </c>
      <c r="BM35" s="116" t="s">
        <v>71</v>
      </c>
      <c r="BN35" s="116" t="s">
        <v>71</v>
      </c>
      <c r="BO35" s="116" t="s">
        <v>71</v>
      </c>
      <c r="BP35" s="116" t="s">
        <v>71</v>
      </c>
      <c r="BQ35" s="116" t="s">
        <v>71</v>
      </c>
      <c r="BR35" s="116" t="s">
        <v>71</v>
      </c>
      <c r="BS35" s="116" t="s">
        <v>71</v>
      </c>
      <c r="BT35" s="116" t="s">
        <v>71</v>
      </c>
      <c r="BU35" s="116" t="s">
        <v>60</v>
      </c>
      <c r="BV35" s="121" t="s">
        <v>71</v>
      </c>
      <c r="BW35" s="116" t="s">
        <v>60</v>
      </c>
      <c r="BX35" s="116" t="s">
        <v>71</v>
      </c>
      <c r="BY35" s="116" t="s">
        <v>60</v>
      </c>
      <c r="BZ35" s="116" t="s">
        <v>71</v>
      </c>
      <c r="CA35" s="116" t="s">
        <v>60</v>
      </c>
      <c r="CB35" s="116" t="s">
        <v>71</v>
      </c>
      <c r="CC35" s="116" t="s">
        <v>60</v>
      </c>
      <c r="CD35" s="116" t="s">
        <v>71</v>
      </c>
      <c r="CE35" s="116" t="s">
        <v>60</v>
      </c>
      <c r="CF35" s="121" t="s">
        <v>71</v>
      </c>
      <c r="CG35" s="116" t="s">
        <v>60</v>
      </c>
      <c r="CH35" s="116" t="s">
        <v>71</v>
      </c>
      <c r="CI35" s="116" t="s">
        <v>60</v>
      </c>
      <c r="CJ35" s="116" t="s">
        <v>71</v>
      </c>
      <c r="CK35" s="116" t="s">
        <v>60</v>
      </c>
      <c r="CL35" s="116" t="s">
        <v>71</v>
      </c>
      <c r="CM35" s="116" t="s">
        <v>60</v>
      </c>
      <c r="CN35" s="116" t="s">
        <v>71</v>
      </c>
      <c r="CO35" s="116" t="s">
        <v>60</v>
      </c>
      <c r="CP35" s="116" t="s">
        <v>71</v>
      </c>
      <c r="CQ35" s="116" t="s">
        <v>60</v>
      </c>
      <c r="CR35" s="116" t="s">
        <v>71</v>
      </c>
      <c r="CS35" s="116" t="s">
        <v>60</v>
      </c>
      <c r="CT35" s="116" t="s">
        <v>71</v>
      </c>
      <c r="CU35" s="116" t="s">
        <v>60</v>
      </c>
      <c r="CV35" s="116" t="s">
        <v>71</v>
      </c>
      <c r="CW35" s="116" t="s">
        <v>60</v>
      </c>
      <c r="CX35" s="116" t="s">
        <v>71</v>
      </c>
      <c r="CY35" s="116" t="s">
        <v>60</v>
      </c>
      <c r="CZ35" s="116" t="s">
        <v>71</v>
      </c>
      <c r="DA35" s="116" t="s">
        <v>60</v>
      </c>
      <c r="DB35" s="116" t="s">
        <v>71</v>
      </c>
      <c r="DC35" s="116" t="s">
        <v>60</v>
      </c>
      <c r="DD35" s="116" t="s">
        <v>71</v>
      </c>
      <c r="DE35" s="137" t="str">
        <f t="shared" si="8"/>
        <v>3&gt; YEARS OLD</v>
      </c>
      <c r="DF35" s="137">
        <f t="shared" ref="DF35:DF50" si="22">IF(M35="CONTROL",0,1)</f>
        <v>1</v>
      </c>
      <c r="DG35" s="2"/>
      <c r="DH35" s="2"/>
      <c r="DI35" s="2"/>
      <c r="DJ35" s="3"/>
      <c r="DK35" s="3"/>
      <c r="DL35" s="3"/>
      <c r="DM35" s="3"/>
      <c r="DN35" s="3"/>
      <c r="DO35" s="3"/>
      <c r="DP35" s="3"/>
      <c r="DQ35" s="3"/>
    </row>
    <row r="36" spans="1:121" x14ac:dyDescent="0.2">
      <c r="A36" s="160"/>
      <c r="B36" s="5">
        <f t="shared" si="16"/>
        <v>34</v>
      </c>
      <c r="C36" s="114" t="str">
        <f t="shared" si="17"/>
        <v>CNS70</v>
      </c>
      <c r="D36" s="115" t="s">
        <v>150</v>
      </c>
      <c r="E36" s="114" t="str">
        <f t="shared" si="21"/>
        <v>CNS70_NEOPLASM</v>
      </c>
      <c r="F36" s="114"/>
      <c r="G36" s="113">
        <f>G35+1</f>
        <v>70</v>
      </c>
      <c r="H36" s="116"/>
      <c r="I36" s="116"/>
      <c r="J36" s="116" t="s">
        <v>60</v>
      </c>
      <c r="K36" s="116" t="s">
        <v>177</v>
      </c>
      <c r="L36" s="116" t="s">
        <v>300</v>
      </c>
      <c r="M36" s="117" t="s">
        <v>316</v>
      </c>
      <c r="N36" s="117" t="s">
        <v>314</v>
      </c>
      <c r="O36" s="117" t="s">
        <v>147</v>
      </c>
      <c r="P36" s="117" t="s">
        <v>147</v>
      </c>
      <c r="Q36" s="118" t="s">
        <v>60</v>
      </c>
      <c r="R36" s="118" t="s">
        <v>60</v>
      </c>
      <c r="S36" s="118" t="s">
        <v>60</v>
      </c>
      <c r="T36" s="116"/>
      <c r="U36" s="116" t="s">
        <v>60</v>
      </c>
      <c r="V36" s="116" t="s">
        <v>174</v>
      </c>
      <c r="W36" s="116"/>
      <c r="X36" s="116"/>
      <c r="Y36" s="119">
        <v>6</v>
      </c>
      <c r="Z36" s="120">
        <f t="shared" si="12"/>
        <v>324</v>
      </c>
      <c r="AA36" s="116" t="s">
        <v>71</v>
      </c>
      <c r="AB36" s="116" t="s">
        <v>60</v>
      </c>
      <c r="AC36" s="116" t="s">
        <v>60</v>
      </c>
      <c r="AD36" s="116" t="s">
        <v>71</v>
      </c>
      <c r="AE36" s="116" t="s">
        <v>71</v>
      </c>
      <c r="AF36" s="120" t="s">
        <v>68</v>
      </c>
      <c r="AG36" s="116" t="s">
        <v>60</v>
      </c>
      <c r="AH36" s="116" t="s">
        <v>71</v>
      </c>
      <c r="AI36" s="116" t="s">
        <v>60</v>
      </c>
      <c r="AJ36" s="116" t="s">
        <v>71</v>
      </c>
      <c r="AK36" s="116" t="s">
        <v>60</v>
      </c>
      <c r="AL36" s="116" t="s">
        <v>60</v>
      </c>
      <c r="AM36" s="116" t="s">
        <v>60</v>
      </c>
      <c r="AN36" s="116" t="s">
        <v>60</v>
      </c>
      <c r="AO36" s="116" t="s">
        <v>71</v>
      </c>
      <c r="AP36" s="116" t="s">
        <v>71</v>
      </c>
      <c r="AQ36" s="116" t="s">
        <v>71</v>
      </c>
      <c r="AR36" s="116" t="s">
        <v>71</v>
      </c>
      <c r="AS36" s="116" t="s">
        <v>71</v>
      </c>
      <c r="AT36" s="116" t="s">
        <v>71</v>
      </c>
      <c r="AU36" s="116" t="s">
        <v>71</v>
      </c>
      <c r="AV36" s="116" t="s">
        <v>71</v>
      </c>
      <c r="AW36" s="116" t="s">
        <v>71</v>
      </c>
      <c r="AX36" s="116" t="s">
        <v>71</v>
      </c>
      <c r="AY36" s="116" t="s">
        <v>71</v>
      </c>
      <c r="AZ36" s="116" t="s">
        <v>71</v>
      </c>
      <c r="BA36" s="116" t="s">
        <v>71</v>
      </c>
      <c r="BB36" s="116" t="s">
        <v>71</v>
      </c>
      <c r="BC36" s="116" t="s">
        <v>71</v>
      </c>
      <c r="BD36" s="116" t="s">
        <v>71</v>
      </c>
      <c r="BE36" s="116" t="s">
        <v>71</v>
      </c>
      <c r="BF36" s="116" t="s">
        <v>71</v>
      </c>
      <c r="BG36" s="116" t="s">
        <v>71</v>
      </c>
      <c r="BH36" s="116" t="s">
        <v>71</v>
      </c>
      <c r="BI36" s="116" t="s">
        <v>71</v>
      </c>
      <c r="BJ36" s="116" t="s">
        <v>71</v>
      </c>
      <c r="BK36" s="116" t="s">
        <v>71</v>
      </c>
      <c r="BL36" s="116" t="s">
        <v>71</v>
      </c>
      <c r="BM36" s="116" t="s">
        <v>71</v>
      </c>
      <c r="BN36" s="116" t="s">
        <v>71</v>
      </c>
      <c r="BO36" s="116" t="s">
        <v>71</v>
      </c>
      <c r="BP36" s="116" t="s">
        <v>71</v>
      </c>
      <c r="BQ36" s="116" t="s">
        <v>71</v>
      </c>
      <c r="BR36" s="116" t="s">
        <v>71</v>
      </c>
      <c r="BS36" s="116" t="s">
        <v>71</v>
      </c>
      <c r="BT36" s="116" t="s">
        <v>71</v>
      </c>
      <c r="BU36" s="116" t="s">
        <v>60</v>
      </c>
      <c r="BV36" s="121" t="s">
        <v>71</v>
      </c>
      <c r="BW36" s="116" t="s">
        <v>60</v>
      </c>
      <c r="BX36" s="116" t="s">
        <v>71</v>
      </c>
      <c r="BY36" s="116" t="s">
        <v>60</v>
      </c>
      <c r="BZ36" s="116" t="s">
        <v>71</v>
      </c>
      <c r="CA36" s="116" t="s">
        <v>60</v>
      </c>
      <c r="CB36" s="116" t="s">
        <v>71</v>
      </c>
      <c r="CC36" s="116" t="s">
        <v>60</v>
      </c>
      <c r="CD36" s="116" t="s">
        <v>71</v>
      </c>
      <c r="CE36" s="116" t="s">
        <v>60</v>
      </c>
      <c r="CF36" s="121" t="s">
        <v>71</v>
      </c>
      <c r="CG36" s="116" t="s">
        <v>60</v>
      </c>
      <c r="CH36" s="116" t="s">
        <v>71</v>
      </c>
      <c r="CI36" s="116" t="s">
        <v>60</v>
      </c>
      <c r="CJ36" s="116" t="s">
        <v>71</v>
      </c>
      <c r="CK36" s="116" t="s">
        <v>60</v>
      </c>
      <c r="CL36" s="116" t="s">
        <v>71</v>
      </c>
      <c r="CM36" s="116" t="s">
        <v>60</v>
      </c>
      <c r="CN36" s="116" t="s">
        <v>71</v>
      </c>
      <c r="CO36" s="116" t="s">
        <v>60</v>
      </c>
      <c r="CP36" s="116" t="s">
        <v>71</v>
      </c>
      <c r="CQ36" s="116" t="s">
        <v>60</v>
      </c>
      <c r="CR36" s="116" t="s">
        <v>71</v>
      </c>
      <c r="CS36" s="116" t="s">
        <v>60</v>
      </c>
      <c r="CT36" s="116" t="s">
        <v>71</v>
      </c>
      <c r="CU36" s="116" t="s">
        <v>60</v>
      </c>
      <c r="CV36" s="116" t="s">
        <v>71</v>
      </c>
      <c r="CW36" s="116" t="s">
        <v>60</v>
      </c>
      <c r="CX36" s="116" t="s">
        <v>71</v>
      </c>
      <c r="CY36" s="116" t="s">
        <v>60</v>
      </c>
      <c r="CZ36" s="116" t="s">
        <v>71</v>
      </c>
      <c r="DA36" s="116" t="s">
        <v>60</v>
      </c>
      <c r="DB36" s="116" t="s">
        <v>71</v>
      </c>
      <c r="DC36" s="116" t="s">
        <v>60</v>
      </c>
      <c r="DD36" s="116" t="s">
        <v>71</v>
      </c>
      <c r="DE36" s="137" t="str">
        <f t="shared" si="8"/>
        <v>3&lt;YEARS OLD&lt;9</v>
      </c>
      <c r="DF36" s="137">
        <f t="shared" si="22"/>
        <v>1</v>
      </c>
    </row>
    <row r="37" spans="1:121" x14ac:dyDescent="0.2">
      <c r="A37" s="160"/>
      <c r="B37" s="5">
        <f t="shared" si="16"/>
        <v>35</v>
      </c>
      <c r="C37" s="114" t="str">
        <f t="shared" si="17"/>
        <v>CNS71</v>
      </c>
      <c r="D37" s="115" t="s">
        <v>151</v>
      </c>
      <c r="E37" s="114" t="str">
        <f t="shared" si="21"/>
        <v>CNS71_NEOPLASM</v>
      </c>
      <c r="F37" s="115"/>
      <c r="G37" s="113">
        <f t="shared" ref="G37:G50" si="23">G36+1</f>
        <v>71</v>
      </c>
      <c r="H37" s="114"/>
      <c r="I37" s="114"/>
      <c r="J37" s="116" t="s">
        <v>60</v>
      </c>
      <c r="K37" s="116" t="s">
        <v>177</v>
      </c>
      <c r="L37" s="116" t="s">
        <v>300</v>
      </c>
      <c r="M37" s="117" t="s">
        <v>316</v>
      </c>
      <c r="N37" s="117" t="s">
        <v>314</v>
      </c>
      <c r="O37" s="117" t="s">
        <v>147</v>
      </c>
      <c r="P37" s="117" t="s">
        <v>147</v>
      </c>
      <c r="Q37" s="118" t="s">
        <v>60</v>
      </c>
      <c r="R37" s="118" t="s">
        <v>60</v>
      </c>
      <c r="S37" s="118" t="s">
        <v>60</v>
      </c>
      <c r="T37" s="115"/>
      <c r="U37" s="116" t="s">
        <v>60</v>
      </c>
      <c r="V37" s="116" t="s">
        <v>174</v>
      </c>
      <c r="W37" s="116"/>
      <c r="X37" s="116"/>
      <c r="Y37" s="119">
        <v>6</v>
      </c>
      <c r="Z37" s="120">
        <f t="shared" si="12"/>
        <v>324</v>
      </c>
      <c r="AA37" s="116" t="s">
        <v>71</v>
      </c>
      <c r="AB37" s="116" t="s">
        <v>60</v>
      </c>
      <c r="AC37" s="116" t="s">
        <v>60</v>
      </c>
      <c r="AD37" s="116" t="s">
        <v>71</v>
      </c>
      <c r="AE37" s="116" t="s">
        <v>71</v>
      </c>
      <c r="AF37" s="120" t="s">
        <v>68</v>
      </c>
      <c r="AG37" s="116" t="s">
        <v>60</v>
      </c>
      <c r="AH37" s="116" t="s">
        <v>71</v>
      </c>
      <c r="AI37" s="116" t="s">
        <v>60</v>
      </c>
      <c r="AJ37" s="116" t="s">
        <v>71</v>
      </c>
      <c r="AK37" s="116" t="s">
        <v>60</v>
      </c>
      <c r="AL37" s="116" t="s">
        <v>60</v>
      </c>
      <c r="AM37" s="116" t="s">
        <v>60</v>
      </c>
      <c r="AN37" s="116" t="s">
        <v>60</v>
      </c>
      <c r="AO37" s="116" t="s">
        <v>71</v>
      </c>
      <c r="AP37" s="116" t="s">
        <v>71</v>
      </c>
      <c r="AQ37" s="116" t="s">
        <v>71</v>
      </c>
      <c r="AR37" s="116" t="s">
        <v>71</v>
      </c>
      <c r="AS37" s="116" t="s">
        <v>71</v>
      </c>
      <c r="AT37" s="116" t="s">
        <v>71</v>
      </c>
      <c r="AU37" s="116" t="s">
        <v>71</v>
      </c>
      <c r="AV37" s="116" t="s">
        <v>71</v>
      </c>
      <c r="AW37" s="116" t="s">
        <v>71</v>
      </c>
      <c r="AX37" s="116" t="s">
        <v>71</v>
      </c>
      <c r="AY37" s="116" t="s">
        <v>71</v>
      </c>
      <c r="AZ37" s="116" t="s">
        <v>71</v>
      </c>
      <c r="BA37" s="116" t="s">
        <v>71</v>
      </c>
      <c r="BB37" s="116" t="s">
        <v>71</v>
      </c>
      <c r="BC37" s="116" t="s">
        <v>71</v>
      </c>
      <c r="BD37" s="116" t="s">
        <v>71</v>
      </c>
      <c r="BE37" s="116" t="s">
        <v>71</v>
      </c>
      <c r="BF37" s="116" t="s">
        <v>71</v>
      </c>
      <c r="BG37" s="116" t="s">
        <v>71</v>
      </c>
      <c r="BH37" s="116" t="s">
        <v>71</v>
      </c>
      <c r="BI37" s="116" t="s">
        <v>71</v>
      </c>
      <c r="BJ37" s="116" t="s">
        <v>71</v>
      </c>
      <c r="BK37" s="116" t="s">
        <v>71</v>
      </c>
      <c r="BL37" s="116" t="s">
        <v>71</v>
      </c>
      <c r="BM37" s="116" t="s">
        <v>71</v>
      </c>
      <c r="BN37" s="116" t="s">
        <v>71</v>
      </c>
      <c r="BO37" s="116" t="s">
        <v>71</v>
      </c>
      <c r="BP37" s="116" t="s">
        <v>71</v>
      </c>
      <c r="BQ37" s="116" t="s">
        <v>71</v>
      </c>
      <c r="BR37" s="116" t="s">
        <v>71</v>
      </c>
      <c r="BS37" s="116" t="s">
        <v>71</v>
      </c>
      <c r="BT37" s="116" t="s">
        <v>71</v>
      </c>
      <c r="BU37" s="116" t="s">
        <v>60</v>
      </c>
      <c r="BV37" s="121" t="s">
        <v>71</v>
      </c>
      <c r="BW37" s="116" t="s">
        <v>60</v>
      </c>
      <c r="BX37" s="116" t="s">
        <v>71</v>
      </c>
      <c r="BY37" s="116" t="s">
        <v>60</v>
      </c>
      <c r="BZ37" s="116" t="s">
        <v>71</v>
      </c>
      <c r="CA37" s="116" t="s">
        <v>60</v>
      </c>
      <c r="CB37" s="116" t="s">
        <v>71</v>
      </c>
      <c r="CC37" s="116" t="s">
        <v>60</v>
      </c>
      <c r="CD37" s="116" t="s">
        <v>71</v>
      </c>
      <c r="CE37" s="116" t="s">
        <v>60</v>
      </c>
      <c r="CF37" s="121" t="s">
        <v>71</v>
      </c>
      <c r="CG37" s="116" t="s">
        <v>60</v>
      </c>
      <c r="CH37" s="116" t="s">
        <v>71</v>
      </c>
      <c r="CI37" s="116" t="s">
        <v>60</v>
      </c>
      <c r="CJ37" s="116" t="s">
        <v>71</v>
      </c>
      <c r="CK37" s="116" t="s">
        <v>60</v>
      </c>
      <c r="CL37" s="116" t="s">
        <v>71</v>
      </c>
      <c r="CM37" s="116" t="s">
        <v>60</v>
      </c>
      <c r="CN37" s="116" t="s">
        <v>71</v>
      </c>
      <c r="CO37" s="116" t="s">
        <v>60</v>
      </c>
      <c r="CP37" s="116" t="s">
        <v>71</v>
      </c>
      <c r="CQ37" s="116" t="s">
        <v>60</v>
      </c>
      <c r="CR37" s="116" t="s">
        <v>71</v>
      </c>
      <c r="CS37" s="116" t="s">
        <v>60</v>
      </c>
      <c r="CT37" s="116" t="s">
        <v>71</v>
      </c>
      <c r="CU37" s="116" t="s">
        <v>60</v>
      </c>
      <c r="CV37" s="116" t="s">
        <v>71</v>
      </c>
      <c r="CW37" s="116" t="s">
        <v>60</v>
      </c>
      <c r="CX37" s="116" t="s">
        <v>71</v>
      </c>
      <c r="CY37" s="116" t="s">
        <v>60</v>
      </c>
      <c r="CZ37" s="116" t="s">
        <v>71</v>
      </c>
      <c r="DA37" s="116" t="s">
        <v>60</v>
      </c>
      <c r="DB37" s="116" t="s">
        <v>71</v>
      </c>
      <c r="DC37" s="116" t="s">
        <v>60</v>
      </c>
      <c r="DD37" s="116" t="s">
        <v>71</v>
      </c>
      <c r="DE37" s="137" t="str">
        <f t="shared" si="8"/>
        <v>3&lt;YEARS OLD&lt;9</v>
      </c>
      <c r="DF37" s="137">
        <f t="shared" si="22"/>
        <v>1</v>
      </c>
    </row>
    <row r="38" spans="1:121" x14ac:dyDescent="0.2">
      <c r="A38" s="160"/>
      <c r="B38" s="5">
        <f t="shared" si="16"/>
        <v>36</v>
      </c>
      <c r="C38" s="114" t="str">
        <f t="shared" si="17"/>
        <v>CNS72</v>
      </c>
      <c r="D38" s="115" t="s">
        <v>152</v>
      </c>
      <c r="E38" s="114" t="str">
        <f t="shared" si="21"/>
        <v>CNS72_NEOPLASM</v>
      </c>
      <c r="F38" s="115"/>
      <c r="G38" s="113">
        <f t="shared" si="23"/>
        <v>72</v>
      </c>
      <c r="H38" s="115"/>
      <c r="I38" s="115"/>
      <c r="J38" s="116" t="s">
        <v>60</v>
      </c>
      <c r="K38" s="116" t="s">
        <v>177</v>
      </c>
      <c r="L38" s="116" t="s">
        <v>300</v>
      </c>
      <c r="M38" s="117" t="s">
        <v>316</v>
      </c>
      <c r="N38" s="117" t="s">
        <v>314</v>
      </c>
      <c r="O38" s="117" t="s">
        <v>147</v>
      </c>
      <c r="P38" s="117" t="s">
        <v>147</v>
      </c>
      <c r="Q38" s="118" t="s">
        <v>60</v>
      </c>
      <c r="R38" s="118" t="s">
        <v>60</v>
      </c>
      <c r="S38" s="118" t="s">
        <v>60</v>
      </c>
      <c r="T38" s="115" t="s">
        <v>165</v>
      </c>
      <c r="U38" s="116" t="s">
        <v>60</v>
      </c>
      <c r="V38" s="116" t="s">
        <v>174</v>
      </c>
      <c r="W38" s="116"/>
      <c r="X38" s="116"/>
      <c r="Y38" s="119">
        <v>6</v>
      </c>
      <c r="Z38" s="120">
        <f t="shared" si="12"/>
        <v>324</v>
      </c>
      <c r="AA38" s="116" t="s">
        <v>71</v>
      </c>
      <c r="AB38" s="116" t="s">
        <v>60</v>
      </c>
      <c r="AC38" s="116" t="s">
        <v>60</v>
      </c>
      <c r="AD38" s="116" t="s">
        <v>71</v>
      </c>
      <c r="AE38" s="116" t="s">
        <v>71</v>
      </c>
      <c r="AF38" s="120" t="s">
        <v>68</v>
      </c>
      <c r="AG38" s="116" t="s">
        <v>60</v>
      </c>
      <c r="AH38" s="116" t="s">
        <v>71</v>
      </c>
      <c r="AI38" s="116" t="s">
        <v>60</v>
      </c>
      <c r="AJ38" s="116" t="s">
        <v>71</v>
      </c>
      <c r="AK38" s="116" t="s">
        <v>60</v>
      </c>
      <c r="AL38" s="116" t="s">
        <v>60</v>
      </c>
      <c r="AM38" s="116" t="s">
        <v>60</v>
      </c>
      <c r="AN38" s="116" t="s">
        <v>60</v>
      </c>
      <c r="AO38" s="116" t="s">
        <v>71</v>
      </c>
      <c r="AP38" s="116" t="s">
        <v>71</v>
      </c>
      <c r="AQ38" s="116" t="s">
        <v>71</v>
      </c>
      <c r="AR38" s="116" t="s">
        <v>71</v>
      </c>
      <c r="AS38" s="116" t="s">
        <v>71</v>
      </c>
      <c r="AT38" s="116" t="s">
        <v>71</v>
      </c>
      <c r="AU38" s="116" t="s">
        <v>71</v>
      </c>
      <c r="AV38" s="116" t="s">
        <v>71</v>
      </c>
      <c r="AW38" s="116" t="s">
        <v>71</v>
      </c>
      <c r="AX38" s="116" t="s">
        <v>71</v>
      </c>
      <c r="AY38" s="116" t="s">
        <v>71</v>
      </c>
      <c r="AZ38" s="116" t="s">
        <v>71</v>
      </c>
      <c r="BA38" s="116" t="s">
        <v>71</v>
      </c>
      <c r="BB38" s="116" t="s">
        <v>71</v>
      </c>
      <c r="BC38" s="116" t="s">
        <v>71</v>
      </c>
      <c r="BD38" s="116" t="s">
        <v>71</v>
      </c>
      <c r="BE38" s="116" t="s">
        <v>71</v>
      </c>
      <c r="BF38" s="116" t="s">
        <v>71</v>
      </c>
      <c r="BG38" s="116" t="s">
        <v>71</v>
      </c>
      <c r="BH38" s="116" t="s">
        <v>71</v>
      </c>
      <c r="BI38" s="116" t="s">
        <v>71</v>
      </c>
      <c r="BJ38" s="116" t="s">
        <v>71</v>
      </c>
      <c r="BK38" s="116" t="s">
        <v>71</v>
      </c>
      <c r="BL38" s="116" t="s">
        <v>71</v>
      </c>
      <c r="BM38" s="116" t="s">
        <v>71</v>
      </c>
      <c r="BN38" s="116" t="s">
        <v>71</v>
      </c>
      <c r="BO38" s="116" t="s">
        <v>71</v>
      </c>
      <c r="BP38" s="116" t="s">
        <v>71</v>
      </c>
      <c r="BQ38" s="116" t="s">
        <v>71</v>
      </c>
      <c r="BR38" s="116" t="s">
        <v>71</v>
      </c>
      <c r="BS38" s="116" t="s">
        <v>71</v>
      </c>
      <c r="BT38" s="116" t="s">
        <v>71</v>
      </c>
      <c r="BU38" s="116" t="s">
        <v>60</v>
      </c>
      <c r="BV38" s="121" t="s">
        <v>71</v>
      </c>
      <c r="BW38" s="116" t="s">
        <v>60</v>
      </c>
      <c r="BX38" s="116" t="s">
        <v>71</v>
      </c>
      <c r="BY38" s="116" t="s">
        <v>60</v>
      </c>
      <c r="BZ38" s="116" t="s">
        <v>71</v>
      </c>
      <c r="CA38" s="116" t="s">
        <v>60</v>
      </c>
      <c r="CB38" s="116" t="s">
        <v>71</v>
      </c>
      <c r="CC38" s="116" t="s">
        <v>60</v>
      </c>
      <c r="CD38" s="116" t="s">
        <v>71</v>
      </c>
      <c r="CE38" s="116" t="s">
        <v>60</v>
      </c>
      <c r="CF38" s="121" t="s">
        <v>71</v>
      </c>
      <c r="CG38" s="116" t="s">
        <v>60</v>
      </c>
      <c r="CH38" s="116" t="s">
        <v>71</v>
      </c>
      <c r="CI38" s="116" t="s">
        <v>60</v>
      </c>
      <c r="CJ38" s="116" t="s">
        <v>71</v>
      </c>
      <c r="CK38" s="116" t="s">
        <v>60</v>
      </c>
      <c r="CL38" s="116" t="s">
        <v>71</v>
      </c>
      <c r="CM38" s="116" t="s">
        <v>60</v>
      </c>
      <c r="CN38" s="116" t="s">
        <v>71</v>
      </c>
      <c r="CO38" s="116" t="s">
        <v>60</v>
      </c>
      <c r="CP38" s="116" t="s">
        <v>71</v>
      </c>
      <c r="CQ38" s="116" t="s">
        <v>60</v>
      </c>
      <c r="CR38" s="116" t="s">
        <v>71</v>
      </c>
      <c r="CS38" s="116" t="s">
        <v>60</v>
      </c>
      <c r="CT38" s="116" t="s">
        <v>71</v>
      </c>
      <c r="CU38" s="116" t="s">
        <v>60</v>
      </c>
      <c r="CV38" s="116" t="s">
        <v>71</v>
      </c>
      <c r="CW38" s="116" t="s">
        <v>60</v>
      </c>
      <c r="CX38" s="116" t="s">
        <v>71</v>
      </c>
      <c r="CY38" s="116" t="s">
        <v>60</v>
      </c>
      <c r="CZ38" s="116" t="s">
        <v>71</v>
      </c>
      <c r="DA38" s="116" t="s">
        <v>60</v>
      </c>
      <c r="DB38" s="116" t="s">
        <v>71</v>
      </c>
      <c r="DC38" s="116" t="s">
        <v>60</v>
      </c>
      <c r="DD38" s="116" t="s">
        <v>71</v>
      </c>
      <c r="DE38" s="137" t="str">
        <f t="shared" si="8"/>
        <v>3&lt;YEARS OLD&lt;9</v>
      </c>
      <c r="DF38" s="137">
        <f t="shared" si="22"/>
        <v>1</v>
      </c>
    </row>
    <row r="39" spans="1:121" x14ac:dyDescent="0.2">
      <c r="A39" s="160"/>
      <c r="B39" s="5">
        <f t="shared" si="16"/>
        <v>37</v>
      </c>
      <c r="C39" s="114" t="str">
        <f t="shared" si="17"/>
        <v>CNS73</v>
      </c>
      <c r="D39" s="115" t="s">
        <v>153</v>
      </c>
      <c r="E39" s="114" t="str">
        <f t="shared" si="21"/>
        <v>CNS73_NEOPLASM</v>
      </c>
      <c r="F39" s="114"/>
      <c r="G39" s="113">
        <f t="shared" si="23"/>
        <v>73</v>
      </c>
      <c r="H39" s="116"/>
      <c r="I39" s="116"/>
      <c r="J39" s="116" t="s">
        <v>60</v>
      </c>
      <c r="K39" s="116" t="s">
        <v>177</v>
      </c>
      <c r="L39" s="116" t="s">
        <v>300</v>
      </c>
      <c r="M39" s="117" t="s">
        <v>316</v>
      </c>
      <c r="N39" s="117" t="s">
        <v>314</v>
      </c>
      <c r="O39" s="117" t="s">
        <v>178</v>
      </c>
      <c r="P39" s="117" t="s">
        <v>178</v>
      </c>
      <c r="Q39" s="118" t="s">
        <v>60</v>
      </c>
      <c r="R39" s="118" t="s">
        <v>60</v>
      </c>
      <c r="S39" s="118" t="s">
        <v>60</v>
      </c>
      <c r="T39" s="115"/>
      <c r="U39" s="116" t="s">
        <v>60</v>
      </c>
      <c r="V39" s="116" t="s">
        <v>174</v>
      </c>
      <c r="W39" s="116"/>
      <c r="X39" s="116"/>
      <c r="Y39" s="119">
        <v>2</v>
      </c>
      <c r="Z39" s="120">
        <f t="shared" si="12"/>
        <v>132</v>
      </c>
      <c r="AA39" s="116" t="s">
        <v>71</v>
      </c>
      <c r="AB39" s="116" t="s">
        <v>60</v>
      </c>
      <c r="AC39" s="116" t="s">
        <v>60</v>
      </c>
      <c r="AD39" s="116" t="s">
        <v>71</v>
      </c>
      <c r="AE39" s="116" t="s">
        <v>71</v>
      </c>
      <c r="AF39" s="120" t="s">
        <v>68</v>
      </c>
      <c r="AG39" s="116" t="s">
        <v>60</v>
      </c>
      <c r="AH39" s="116" t="s">
        <v>71</v>
      </c>
      <c r="AI39" s="116" t="s">
        <v>60</v>
      </c>
      <c r="AJ39" s="116" t="s">
        <v>71</v>
      </c>
      <c r="AK39" s="116" t="s">
        <v>60</v>
      </c>
      <c r="AL39" s="116" t="s">
        <v>60</v>
      </c>
      <c r="AM39" s="116" t="s">
        <v>60</v>
      </c>
      <c r="AN39" s="116" t="s">
        <v>60</v>
      </c>
      <c r="AO39" s="116" t="s">
        <v>71</v>
      </c>
      <c r="AP39" s="116" t="s">
        <v>71</v>
      </c>
      <c r="AQ39" s="116" t="s">
        <v>71</v>
      </c>
      <c r="AR39" s="116" t="s">
        <v>71</v>
      </c>
      <c r="AS39" s="116" t="s">
        <v>71</v>
      </c>
      <c r="AT39" s="116" t="s">
        <v>71</v>
      </c>
      <c r="AU39" s="116" t="s">
        <v>71</v>
      </c>
      <c r="AV39" s="116" t="s">
        <v>71</v>
      </c>
      <c r="AW39" s="116" t="s">
        <v>71</v>
      </c>
      <c r="AX39" s="116" t="s">
        <v>71</v>
      </c>
      <c r="AY39" s="116" t="s">
        <v>71</v>
      </c>
      <c r="AZ39" s="116" t="s">
        <v>71</v>
      </c>
      <c r="BA39" s="116" t="s">
        <v>71</v>
      </c>
      <c r="BB39" s="116" t="s">
        <v>71</v>
      </c>
      <c r="BC39" s="116" t="s">
        <v>71</v>
      </c>
      <c r="BD39" s="116" t="s">
        <v>71</v>
      </c>
      <c r="BE39" s="116" t="s">
        <v>71</v>
      </c>
      <c r="BF39" s="116" t="s">
        <v>71</v>
      </c>
      <c r="BG39" s="116" t="s">
        <v>71</v>
      </c>
      <c r="BH39" s="116" t="s">
        <v>71</v>
      </c>
      <c r="BI39" s="116" t="s">
        <v>71</v>
      </c>
      <c r="BJ39" s="116" t="s">
        <v>71</v>
      </c>
      <c r="BK39" s="116" t="s">
        <v>71</v>
      </c>
      <c r="BL39" s="116" t="s">
        <v>71</v>
      </c>
      <c r="BM39" s="116" t="s">
        <v>71</v>
      </c>
      <c r="BN39" s="116" t="s">
        <v>71</v>
      </c>
      <c r="BO39" s="116" t="s">
        <v>71</v>
      </c>
      <c r="BP39" s="116" t="s">
        <v>71</v>
      </c>
      <c r="BQ39" s="116" t="s">
        <v>71</v>
      </c>
      <c r="BR39" s="116" t="s">
        <v>71</v>
      </c>
      <c r="BS39" s="116" t="s">
        <v>71</v>
      </c>
      <c r="BT39" s="116" t="s">
        <v>71</v>
      </c>
      <c r="BU39" s="116" t="s">
        <v>60</v>
      </c>
      <c r="BV39" s="121" t="s">
        <v>71</v>
      </c>
      <c r="BW39" s="116" t="s">
        <v>60</v>
      </c>
      <c r="BX39" s="116" t="s">
        <v>71</v>
      </c>
      <c r="BY39" s="116" t="s">
        <v>60</v>
      </c>
      <c r="BZ39" s="116" t="s">
        <v>71</v>
      </c>
      <c r="CA39" s="116" t="s">
        <v>60</v>
      </c>
      <c r="CB39" s="116" t="s">
        <v>71</v>
      </c>
      <c r="CC39" s="116" t="s">
        <v>60</v>
      </c>
      <c r="CD39" s="116" t="s">
        <v>71</v>
      </c>
      <c r="CE39" s="116" t="s">
        <v>60</v>
      </c>
      <c r="CF39" s="121" t="s">
        <v>71</v>
      </c>
      <c r="CG39" s="116" t="s">
        <v>60</v>
      </c>
      <c r="CH39" s="116" t="s">
        <v>71</v>
      </c>
      <c r="CI39" s="116" t="s">
        <v>60</v>
      </c>
      <c r="CJ39" s="116" t="s">
        <v>71</v>
      </c>
      <c r="CK39" s="116" t="s">
        <v>60</v>
      </c>
      <c r="CL39" s="116" t="s">
        <v>71</v>
      </c>
      <c r="CM39" s="116" t="s">
        <v>60</v>
      </c>
      <c r="CN39" s="116" t="s">
        <v>71</v>
      </c>
      <c r="CO39" s="116" t="s">
        <v>60</v>
      </c>
      <c r="CP39" s="116" t="s">
        <v>71</v>
      </c>
      <c r="CQ39" s="116" t="s">
        <v>60</v>
      </c>
      <c r="CR39" s="116" t="s">
        <v>71</v>
      </c>
      <c r="CS39" s="116" t="s">
        <v>60</v>
      </c>
      <c r="CT39" s="116" t="s">
        <v>71</v>
      </c>
      <c r="CU39" s="116" t="s">
        <v>60</v>
      </c>
      <c r="CV39" s="116" t="s">
        <v>71</v>
      </c>
      <c r="CW39" s="116" t="s">
        <v>60</v>
      </c>
      <c r="CX39" s="116" t="s">
        <v>71</v>
      </c>
      <c r="CY39" s="116" t="s">
        <v>60</v>
      </c>
      <c r="CZ39" s="116" t="s">
        <v>71</v>
      </c>
      <c r="DA39" s="116" t="s">
        <v>60</v>
      </c>
      <c r="DB39" s="116" t="s">
        <v>71</v>
      </c>
      <c r="DC39" s="116" t="s">
        <v>60</v>
      </c>
      <c r="DD39" s="116" t="s">
        <v>71</v>
      </c>
      <c r="DE39" s="137" t="str">
        <f t="shared" si="8"/>
        <v>3&gt; YEARS OLD</v>
      </c>
      <c r="DF39" s="137">
        <f t="shared" si="22"/>
        <v>1</v>
      </c>
    </row>
    <row r="40" spans="1:121" x14ac:dyDescent="0.2">
      <c r="A40" s="160"/>
      <c r="B40" s="5">
        <f t="shared" si="16"/>
        <v>38</v>
      </c>
      <c r="C40" s="114" t="str">
        <f t="shared" si="17"/>
        <v>CNS74</v>
      </c>
      <c r="D40" s="115" t="s">
        <v>154</v>
      </c>
      <c r="E40" s="114" t="str">
        <f t="shared" si="21"/>
        <v>CNS74_NEOPLASM</v>
      </c>
      <c r="F40" s="114"/>
      <c r="G40" s="113">
        <f t="shared" si="23"/>
        <v>74</v>
      </c>
      <c r="H40" s="116"/>
      <c r="I40" s="116"/>
      <c r="J40" s="116" t="s">
        <v>60</v>
      </c>
      <c r="K40" s="116" t="s">
        <v>177</v>
      </c>
      <c r="L40" s="116" t="s">
        <v>300</v>
      </c>
      <c r="M40" s="117" t="s">
        <v>316</v>
      </c>
      <c r="N40" s="117" t="s">
        <v>314</v>
      </c>
      <c r="O40" s="117" t="s">
        <v>178</v>
      </c>
      <c r="P40" s="117" t="s">
        <v>178</v>
      </c>
      <c r="Q40" s="118" t="s">
        <v>60</v>
      </c>
      <c r="R40" s="118" t="s">
        <v>60</v>
      </c>
      <c r="S40" s="118" t="s">
        <v>60</v>
      </c>
      <c r="T40" s="116"/>
      <c r="U40" s="116" t="s">
        <v>60</v>
      </c>
      <c r="V40" s="116" t="s">
        <v>174</v>
      </c>
      <c r="W40" s="116"/>
      <c r="X40" s="116"/>
      <c r="Y40" s="119">
        <v>2</v>
      </c>
      <c r="Z40" s="120">
        <f t="shared" si="12"/>
        <v>132</v>
      </c>
      <c r="AA40" s="116" t="s">
        <v>71</v>
      </c>
      <c r="AB40" s="116" t="s">
        <v>60</v>
      </c>
      <c r="AC40" s="116" t="s">
        <v>60</v>
      </c>
      <c r="AD40" s="116" t="s">
        <v>71</v>
      </c>
      <c r="AE40" s="116" t="s">
        <v>71</v>
      </c>
      <c r="AF40" s="120" t="s">
        <v>68</v>
      </c>
      <c r="AG40" s="116" t="s">
        <v>60</v>
      </c>
      <c r="AH40" s="116" t="s">
        <v>71</v>
      </c>
      <c r="AI40" s="116" t="s">
        <v>60</v>
      </c>
      <c r="AJ40" s="116" t="s">
        <v>71</v>
      </c>
      <c r="AK40" s="116" t="s">
        <v>60</v>
      </c>
      <c r="AL40" s="116" t="s">
        <v>60</v>
      </c>
      <c r="AM40" s="116" t="s">
        <v>60</v>
      </c>
      <c r="AN40" s="116" t="s">
        <v>60</v>
      </c>
      <c r="AO40" s="116" t="s">
        <v>71</v>
      </c>
      <c r="AP40" s="116" t="s">
        <v>71</v>
      </c>
      <c r="AQ40" s="116" t="s">
        <v>71</v>
      </c>
      <c r="AR40" s="116" t="s">
        <v>71</v>
      </c>
      <c r="AS40" s="116" t="s">
        <v>71</v>
      </c>
      <c r="AT40" s="116" t="s">
        <v>71</v>
      </c>
      <c r="AU40" s="116" t="s">
        <v>71</v>
      </c>
      <c r="AV40" s="116" t="s">
        <v>71</v>
      </c>
      <c r="AW40" s="116" t="s">
        <v>71</v>
      </c>
      <c r="AX40" s="116" t="s">
        <v>71</v>
      </c>
      <c r="AY40" s="116" t="s">
        <v>71</v>
      </c>
      <c r="AZ40" s="116" t="s">
        <v>71</v>
      </c>
      <c r="BA40" s="116" t="s">
        <v>71</v>
      </c>
      <c r="BB40" s="116" t="s">
        <v>71</v>
      </c>
      <c r="BC40" s="116" t="s">
        <v>71</v>
      </c>
      <c r="BD40" s="116" t="s">
        <v>71</v>
      </c>
      <c r="BE40" s="116" t="s">
        <v>71</v>
      </c>
      <c r="BF40" s="116" t="s">
        <v>71</v>
      </c>
      <c r="BG40" s="116" t="s">
        <v>71</v>
      </c>
      <c r="BH40" s="116" t="s">
        <v>71</v>
      </c>
      <c r="BI40" s="116" t="s">
        <v>71</v>
      </c>
      <c r="BJ40" s="116" t="s">
        <v>71</v>
      </c>
      <c r="BK40" s="116" t="s">
        <v>71</v>
      </c>
      <c r="BL40" s="116" t="s">
        <v>71</v>
      </c>
      <c r="BM40" s="116" t="s">
        <v>71</v>
      </c>
      <c r="BN40" s="116" t="s">
        <v>71</v>
      </c>
      <c r="BO40" s="116" t="s">
        <v>71</v>
      </c>
      <c r="BP40" s="116" t="s">
        <v>71</v>
      </c>
      <c r="BQ40" s="116" t="s">
        <v>71</v>
      </c>
      <c r="BR40" s="116" t="s">
        <v>71</v>
      </c>
      <c r="BS40" s="116" t="s">
        <v>71</v>
      </c>
      <c r="BT40" s="116" t="s">
        <v>71</v>
      </c>
      <c r="BU40" s="116" t="s">
        <v>60</v>
      </c>
      <c r="BV40" s="121" t="s">
        <v>71</v>
      </c>
      <c r="BW40" s="116" t="s">
        <v>60</v>
      </c>
      <c r="BX40" s="116" t="s">
        <v>71</v>
      </c>
      <c r="BY40" s="116" t="s">
        <v>60</v>
      </c>
      <c r="BZ40" s="116" t="s">
        <v>71</v>
      </c>
      <c r="CA40" s="116" t="s">
        <v>60</v>
      </c>
      <c r="CB40" s="116" t="s">
        <v>71</v>
      </c>
      <c r="CC40" s="116" t="s">
        <v>60</v>
      </c>
      <c r="CD40" s="116" t="s">
        <v>71</v>
      </c>
      <c r="CE40" s="116" t="s">
        <v>60</v>
      </c>
      <c r="CF40" s="121" t="s">
        <v>71</v>
      </c>
      <c r="CG40" s="116" t="s">
        <v>60</v>
      </c>
      <c r="CH40" s="116" t="s">
        <v>71</v>
      </c>
      <c r="CI40" s="116" t="s">
        <v>60</v>
      </c>
      <c r="CJ40" s="116" t="s">
        <v>71</v>
      </c>
      <c r="CK40" s="116" t="s">
        <v>60</v>
      </c>
      <c r="CL40" s="116" t="s">
        <v>71</v>
      </c>
      <c r="CM40" s="116" t="s">
        <v>60</v>
      </c>
      <c r="CN40" s="116" t="s">
        <v>71</v>
      </c>
      <c r="CO40" s="116" t="s">
        <v>60</v>
      </c>
      <c r="CP40" s="116" t="s">
        <v>71</v>
      </c>
      <c r="CQ40" s="116" t="s">
        <v>60</v>
      </c>
      <c r="CR40" s="116" t="s">
        <v>71</v>
      </c>
      <c r="CS40" s="116" t="s">
        <v>60</v>
      </c>
      <c r="CT40" s="116" t="s">
        <v>71</v>
      </c>
      <c r="CU40" s="116" t="s">
        <v>60</v>
      </c>
      <c r="CV40" s="116" t="s">
        <v>71</v>
      </c>
      <c r="CW40" s="116" t="s">
        <v>60</v>
      </c>
      <c r="CX40" s="116" t="s">
        <v>71</v>
      </c>
      <c r="CY40" s="116" t="s">
        <v>60</v>
      </c>
      <c r="CZ40" s="116" t="s">
        <v>71</v>
      </c>
      <c r="DA40" s="116" t="s">
        <v>60</v>
      </c>
      <c r="DB40" s="116" t="s">
        <v>71</v>
      </c>
      <c r="DC40" s="116" t="s">
        <v>60</v>
      </c>
      <c r="DD40" s="116" t="s">
        <v>71</v>
      </c>
      <c r="DE40" s="137" t="str">
        <f t="shared" si="8"/>
        <v>3&gt; YEARS OLD</v>
      </c>
      <c r="DF40" s="137">
        <f t="shared" si="22"/>
        <v>1</v>
      </c>
    </row>
    <row r="41" spans="1:121" x14ac:dyDescent="0.2">
      <c r="A41" s="160"/>
      <c r="B41" s="5">
        <f t="shared" si="16"/>
        <v>39</v>
      </c>
      <c r="C41" s="114" t="str">
        <f t="shared" si="17"/>
        <v>CNS75</v>
      </c>
      <c r="D41" s="115" t="s">
        <v>155</v>
      </c>
      <c r="E41" s="114" t="str">
        <f t="shared" si="21"/>
        <v>CNS75_NEOPLASM</v>
      </c>
      <c r="F41" s="115"/>
      <c r="G41" s="113">
        <f t="shared" si="23"/>
        <v>75</v>
      </c>
      <c r="H41" s="115"/>
      <c r="I41" s="115"/>
      <c r="J41" s="116" t="s">
        <v>60</v>
      </c>
      <c r="K41" s="116" t="s">
        <v>177</v>
      </c>
      <c r="L41" s="116" t="s">
        <v>300</v>
      </c>
      <c r="M41" s="117" t="s">
        <v>316</v>
      </c>
      <c r="N41" s="117" t="s">
        <v>314</v>
      </c>
      <c r="O41" s="117" t="s">
        <v>147</v>
      </c>
      <c r="P41" s="117" t="s">
        <v>147</v>
      </c>
      <c r="Q41" s="118" t="s">
        <v>60</v>
      </c>
      <c r="R41" s="118" t="s">
        <v>60</v>
      </c>
      <c r="S41" s="118" t="s">
        <v>60</v>
      </c>
      <c r="T41" s="115"/>
      <c r="U41" s="116" t="s">
        <v>60</v>
      </c>
      <c r="V41" s="116" t="s">
        <v>174</v>
      </c>
      <c r="W41" s="116"/>
      <c r="X41" s="116"/>
      <c r="Y41" s="119">
        <v>6</v>
      </c>
      <c r="Z41" s="120">
        <f t="shared" ref="Z41:Z52" si="24">IF(ISERROR((Y41*12*4)+36),"NaN",(Y41*12*4)+36)</f>
        <v>324</v>
      </c>
      <c r="AA41" s="116" t="s">
        <v>71</v>
      </c>
      <c r="AB41" s="116" t="s">
        <v>60</v>
      </c>
      <c r="AC41" s="116" t="s">
        <v>60</v>
      </c>
      <c r="AD41" s="116" t="s">
        <v>71</v>
      </c>
      <c r="AE41" s="116" t="s">
        <v>71</v>
      </c>
      <c r="AF41" s="120" t="s">
        <v>68</v>
      </c>
      <c r="AG41" s="116" t="s">
        <v>60</v>
      </c>
      <c r="AH41" s="116" t="s">
        <v>71</v>
      </c>
      <c r="AI41" s="116" t="s">
        <v>60</v>
      </c>
      <c r="AJ41" s="116" t="s">
        <v>71</v>
      </c>
      <c r="AK41" s="116" t="s">
        <v>60</v>
      </c>
      <c r="AL41" s="116" t="s">
        <v>60</v>
      </c>
      <c r="AM41" s="116" t="s">
        <v>60</v>
      </c>
      <c r="AN41" s="116" t="s">
        <v>60</v>
      </c>
      <c r="AO41" s="116" t="s">
        <v>71</v>
      </c>
      <c r="AP41" s="116" t="s">
        <v>71</v>
      </c>
      <c r="AQ41" s="116" t="s">
        <v>71</v>
      </c>
      <c r="AR41" s="116" t="s">
        <v>71</v>
      </c>
      <c r="AS41" s="116" t="s">
        <v>71</v>
      </c>
      <c r="AT41" s="116" t="s">
        <v>71</v>
      </c>
      <c r="AU41" s="116" t="s">
        <v>71</v>
      </c>
      <c r="AV41" s="116" t="s">
        <v>71</v>
      </c>
      <c r="AW41" s="116" t="s">
        <v>71</v>
      </c>
      <c r="AX41" s="116" t="s">
        <v>71</v>
      </c>
      <c r="AY41" s="116" t="s">
        <v>71</v>
      </c>
      <c r="AZ41" s="116" t="s">
        <v>71</v>
      </c>
      <c r="BA41" s="116" t="s">
        <v>71</v>
      </c>
      <c r="BB41" s="116" t="s">
        <v>71</v>
      </c>
      <c r="BC41" s="116" t="s">
        <v>71</v>
      </c>
      <c r="BD41" s="116" t="s">
        <v>71</v>
      </c>
      <c r="BE41" s="116" t="s">
        <v>71</v>
      </c>
      <c r="BF41" s="116" t="s">
        <v>71</v>
      </c>
      <c r="BG41" s="116" t="s">
        <v>71</v>
      </c>
      <c r="BH41" s="116" t="s">
        <v>71</v>
      </c>
      <c r="BI41" s="116" t="s">
        <v>71</v>
      </c>
      <c r="BJ41" s="116" t="s">
        <v>71</v>
      </c>
      <c r="BK41" s="116" t="s">
        <v>71</v>
      </c>
      <c r="BL41" s="116" t="s">
        <v>71</v>
      </c>
      <c r="BM41" s="116" t="s">
        <v>71</v>
      </c>
      <c r="BN41" s="116" t="s">
        <v>71</v>
      </c>
      <c r="BO41" s="116" t="s">
        <v>71</v>
      </c>
      <c r="BP41" s="116" t="s">
        <v>71</v>
      </c>
      <c r="BQ41" s="116" t="s">
        <v>71</v>
      </c>
      <c r="BR41" s="116" t="s">
        <v>71</v>
      </c>
      <c r="BS41" s="116" t="s">
        <v>71</v>
      </c>
      <c r="BT41" s="116" t="s">
        <v>71</v>
      </c>
      <c r="BU41" s="116" t="s">
        <v>60</v>
      </c>
      <c r="BV41" s="121" t="s">
        <v>71</v>
      </c>
      <c r="BW41" s="116" t="s">
        <v>60</v>
      </c>
      <c r="BX41" s="116" t="s">
        <v>71</v>
      </c>
      <c r="BY41" s="116" t="s">
        <v>60</v>
      </c>
      <c r="BZ41" s="116" t="s">
        <v>71</v>
      </c>
      <c r="CA41" s="116" t="s">
        <v>60</v>
      </c>
      <c r="CB41" s="116" t="s">
        <v>71</v>
      </c>
      <c r="CC41" s="116" t="s">
        <v>60</v>
      </c>
      <c r="CD41" s="116" t="s">
        <v>71</v>
      </c>
      <c r="CE41" s="116" t="s">
        <v>60</v>
      </c>
      <c r="CF41" s="121" t="s">
        <v>71</v>
      </c>
      <c r="CG41" s="116" t="s">
        <v>60</v>
      </c>
      <c r="CH41" s="116" t="s">
        <v>71</v>
      </c>
      <c r="CI41" s="116" t="s">
        <v>60</v>
      </c>
      <c r="CJ41" s="116" t="s">
        <v>71</v>
      </c>
      <c r="CK41" s="116" t="s">
        <v>60</v>
      </c>
      <c r="CL41" s="116" t="s">
        <v>71</v>
      </c>
      <c r="CM41" s="116" t="s">
        <v>60</v>
      </c>
      <c r="CN41" s="116" t="s">
        <v>71</v>
      </c>
      <c r="CO41" s="116" t="s">
        <v>60</v>
      </c>
      <c r="CP41" s="116" t="s">
        <v>71</v>
      </c>
      <c r="CQ41" s="116" t="s">
        <v>60</v>
      </c>
      <c r="CR41" s="116" t="s">
        <v>71</v>
      </c>
      <c r="CS41" s="116" t="s">
        <v>60</v>
      </c>
      <c r="CT41" s="116" t="s">
        <v>71</v>
      </c>
      <c r="CU41" s="116" t="s">
        <v>60</v>
      </c>
      <c r="CV41" s="116" t="s">
        <v>71</v>
      </c>
      <c r="CW41" s="116" t="s">
        <v>60</v>
      </c>
      <c r="CX41" s="116" t="s">
        <v>71</v>
      </c>
      <c r="CY41" s="116" t="s">
        <v>60</v>
      </c>
      <c r="CZ41" s="116" t="s">
        <v>71</v>
      </c>
      <c r="DA41" s="116" t="s">
        <v>60</v>
      </c>
      <c r="DB41" s="116" t="s">
        <v>71</v>
      </c>
      <c r="DC41" s="116" t="s">
        <v>60</v>
      </c>
      <c r="DD41" s="116" t="s">
        <v>71</v>
      </c>
      <c r="DE41" s="137" t="str">
        <f t="shared" si="8"/>
        <v>3&lt;YEARS OLD&lt;9</v>
      </c>
      <c r="DF41" s="137">
        <f t="shared" si="22"/>
        <v>1</v>
      </c>
    </row>
    <row r="42" spans="1:121" x14ac:dyDescent="0.2">
      <c r="A42" s="160"/>
      <c r="B42" s="5">
        <f t="shared" si="16"/>
        <v>40</v>
      </c>
      <c r="C42" s="114" t="str">
        <f t="shared" si="17"/>
        <v>CNS76</v>
      </c>
      <c r="D42" s="115" t="s">
        <v>156</v>
      </c>
      <c r="E42" s="114" t="str">
        <f t="shared" si="21"/>
        <v>CNS76_NEOPLASM</v>
      </c>
      <c r="F42" s="114"/>
      <c r="G42" s="113">
        <f t="shared" si="23"/>
        <v>76</v>
      </c>
      <c r="H42" s="116"/>
      <c r="I42" s="116"/>
      <c r="J42" s="116" t="s">
        <v>60</v>
      </c>
      <c r="K42" s="116" t="s">
        <v>177</v>
      </c>
      <c r="L42" s="116" t="s">
        <v>300</v>
      </c>
      <c r="M42" s="117" t="s">
        <v>316</v>
      </c>
      <c r="N42" s="117" t="s">
        <v>314</v>
      </c>
      <c r="O42" s="117" t="s">
        <v>178</v>
      </c>
      <c r="P42" s="117" t="s">
        <v>178</v>
      </c>
      <c r="Q42" s="118" t="s">
        <v>60</v>
      </c>
      <c r="R42" s="118" t="s">
        <v>60</v>
      </c>
      <c r="S42" s="118" t="s">
        <v>60</v>
      </c>
      <c r="T42" s="116"/>
      <c r="U42" s="116" t="s">
        <v>60</v>
      </c>
      <c r="V42" s="116" t="s">
        <v>174</v>
      </c>
      <c r="W42" s="116"/>
      <c r="X42" s="116"/>
      <c r="Y42" s="119">
        <v>2</v>
      </c>
      <c r="Z42" s="120">
        <f t="shared" si="24"/>
        <v>132</v>
      </c>
      <c r="AA42" s="116" t="s">
        <v>71</v>
      </c>
      <c r="AB42" s="116" t="s">
        <v>60</v>
      </c>
      <c r="AC42" s="116" t="s">
        <v>60</v>
      </c>
      <c r="AD42" s="116" t="s">
        <v>71</v>
      </c>
      <c r="AE42" s="116" t="s">
        <v>71</v>
      </c>
      <c r="AF42" s="120" t="s">
        <v>68</v>
      </c>
      <c r="AG42" s="116" t="s">
        <v>60</v>
      </c>
      <c r="AH42" s="116" t="s">
        <v>71</v>
      </c>
      <c r="AI42" s="116" t="s">
        <v>60</v>
      </c>
      <c r="AJ42" s="116" t="s">
        <v>71</v>
      </c>
      <c r="AK42" s="116" t="s">
        <v>60</v>
      </c>
      <c r="AL42" s="116" t="s">
        <v>60</v>
      </c>
      <c r="AM42" s="116" t="s">
        <v>60</v>
      </c>
      <c r="AN42" s="116" t="s">
        <v>60</v>
      </c>
      <c r="AO42" s="116" t="s">
        <v>71</v>
      </c>
      <c r="AP42" s="116" t="s">
        <v>71</v>
      </c>
      <c r="AQ42" s="116" t="s">
        <v>71</v>
      </c>
      <c r="AR42" s="116" t="s">
        <v>71</v>
      </c>
      <c r="AS42" s="116" t="s">
        <v>71</v>
      </c>
      <c r="AT42" s="116" t="s">
        <v>71</v>
      </c>
      <c r="AU42" s="116" t="s">
        <v>71</v>
      </c>
      <c r="AV42" s="116" t="s">
        <v>71</v>
      </c>
      <c r="AW42" s="116" t="s">
        <v>71</v>
      </c>
      <c r="AX42" s="116" t="s">
        <v>71</v>
      </c>
      <c r="AY42" s="116" t="s">
        <v>71</v>
      </c>
      <c r="AZ42" s="116" t="s">
        <v>71</v>
      </c>
      <c r="BA42" s="116" t="s">
        <v>71</v>
      </c>
      <c r="BB42" s="116" t="s">
        <v>71</v>
      </c>
      <c r="BC42" s="116" t="s">
        <v>71</v>
      </c>
      <c r="BD42" s="116" t="s">
        <v>71</v>
      </c>
      <c r="BE42" s="116" t="s">
        <v>71</v>
      </c>
      <c r="BF42" s="116" t="s">
        <v>71</v>
      </c>
      <c r="BG42" s="116" t="s">
        <v>71</v>
      </c>
      <c r="BH42" s="116" t="s">
        <v>71</v>
      </c>
      <c r="BI42" s="116" t="s">
        <v>71</v>
      </c>
      <c r="BJ42" s="116" t="s">
        <v>71</v>
      </c>
      <c r="BK42" s="116" t="s">
        <v>71</v>
      </c>
      <c r="BL42" s="116" t="s">
        <v>71</v>
      </c>
      <c r="BM42" s="116" t="s">
        <v>71</v>
      </c>
      <c r="BN42" s="116" t="s">
        <v>71</v>
      </c>
      <c r="BO42" s="116" t="s">
        <v>71</v>
      </c>
      <c r="BP42" s="116" t="s">
        <v>71</v>
      </c>
      <c r="BQ42" s="116" t="s">
        <v>71</v>
      </c>
      <c r="BR42" s="116" t="s">
        <v>71</v>
      </c>
      <c r="BS42" s="116" t="s">
        <v>71</v>
      </c>
      <c r="BT42" s="116" t="s">
        <v>71</v>
      </c>
      <c r="BU42" s="116" t="s">
        <v>60</v>
      </c>
      <c r="BV42" s="121" t="s">
        <v>71</v>
      </c>
      <c r="BW42" s="116" t="s">
        <v>60</v>
      </c>
      <c r="BX42" s="116" t="s">
        <v>71</v>
      </c>
      <c r="BY42" s="116" t="s">
        <v>60</v>
      </c>
      <c r="BZ42" s="116" t="s">
        <v>71</v>
      </c>
      <c r="CA42" s="116" t="s">
        <v>60</v>
      </c>
      <c r="CB42" s="116" t="s">
        <v>71</v>
      </c>
      <c r="CC42" s="116" t="s">
        <v>60</v>
      </c>
      <c r="CD42" s="116" t="s">
        <v>71</v>
      </c>
      <c r="CE42" s="116" t="s">
        <v>60</v>
      </c>
      <c r="CF42" s="121" t="s">
        <v>71</v>
      </c>
      <c r="CG42" s="116" t="s">
        <v>60</v>
      </c>
      <c r="CH42" s="116" t="s">
        <v>71</v>
      </c>
      <c r="CI42" s="116" t="s">
        <v>60</v>
      </c>
      <c r="CJ42" s="116" t="s">
        <v>71</v>
      </c>
      <c r="CK42" s="116" t="s">
        <v>60</v>
      </c>
      <c r="CL42" s="116" t="s">
        <v>71</v>
      </c>
      <c r="CM42" s="116" t="s">
        <v>60</v>
      </c>
      <c r="CN42" s="116" t="s">
        <v>71</v>
      </c>
      <c r="CO42" s="116" t="s">
        <v>60</v>
      </c>
      <c r="CP42" s="116" t="s">
        <v>71</v>
      </c>
      <c r="CQ42" s="116" t="s">
        <v>60</v>
      </c>
      <c r="CR42" s="116" t="s">
        <v>71</v>
      </c>
      <c r="CS42" s="116" t="s">
        <v>60</v>
      </c>
      <c r="CT42" s="116" t="s">
        <v>71</v>
      </c>
      <c r="CU42" s="116" t="s">
        <v>60</v>
      </c>
      <c r="CV42" s="116" t="s">
        <v>71</v>
      </c>
      <c r="CW42" s="116" t="s">
        <v>60</v>
      </c>
      <c r="CX42" s="116" t="s">
        <v>71</v>
      </c>
      <c r="CY42" s="116" t="s">
        <v>60</v>
      </c>
      <c r="CZ42" s="116" t="s">
        <v>71</v>
      </c>
      <c r="DA42" s="116" t="s">
        <v>60</v>
      </c>
      <c r="DB42" s="116" t="s">
        <v>71</v>
      </c>
      <c r="DC42" s="116" t="s">
        <v>60</v>
      </c>
      <c r="DD42" s="116" t="s">
        <v>71</v>
      </c>
      <c r="DE42" s="137" t="str">
        <f t="shared" si="8"/>
        <v>3&gt; YEARS OLD</v>
      </c>
      <c r="DF42" s="137">
        <f t="shared" si="22"/>
        <v>1</v>
      </c>
    </row>
    <row r="43" spans="1:121" x14ac:dyDescent="0.2">
      <c r="A43" s="160"/>
      <c r="B43" s="5">
        <f t="shared" si="16"/>
        <v>41</v>
      </c>
      <c r="C43" s="114" t="str">
        <f t="shared" si="17"/>
        <v>CNS77</v>
      </c>
      <c r="D43" s="115" t="s">
        <v>157</v>
      </c>
      <c r="E43" s="114" t="str">
        <f t="shared" si="21"/>
        <v>CNS77_CONTROL</v>
      </c>
      <c r="F43" s="114"/>
      <c r="G43" s="113">
        <f t="shared" si="23"/>
        <v>77</v>
      </c>
      <c r="H43" s="116"/>
      <c r="I43" s="116"/>
      <c r="J43" s="116" t="s">
        <v>60</v>
      </c>
      <c r="K43" s="116" t="s">
        <v>177</v>
      </c>
      <c r="L43" s="116" t="s">
        <v>301</v>
      </c>
      <c r="M43" s="117" t="s">
        <v>81</v>
      </c>
      <c r="N43" s="117" t="s">
        <v>81</v>
      </c>
      <c r="O43" s="117" t="s">
        <v>81</v>
      </c>
      <c r="P43" s="117" t="s">
        <v>309</v>
      </c>
      <c r="Q43" s="118" t="s">
        <v>81</v>
      </c>
      <c r="R43" s="115" t="s">
        <v>89</v>
      </c>
      <c r="S43" s="118" t="s">
        <v>297</v>
      </c>
      <c r="T43" s="116" t="s">
        <v>167</v>
      </c>
      <c r="U43" s="122" t="s">
        <v>81</v>
      </c>
      <c r="V43" s="116" t="s">
        <v>174</v>
      </c>
      <c r="W43" s="116"/>
      <c r="X43" s="116"/>
      <c r="Y43" s="119">
        <v>2</v>
      </c>
      <c r="Z43" s="120">
        <f t="shared" si="24"/>
        <v>132</v>
      </c>
      <c r="AA43" s="116" t="s">
        <v>71</v>
      </c>
      <c r="AB43" s="116" t="s">
        <v>60</v>
      </c>
      <c r="AC43" s="116" t="s">
        <v>60</v>
      </c>
      <c r="AD43" s="116" t="s">
        <v>71</v>
      </c>
      <c r="AE43" s="116" t="s">
        <v>71</v>
      </c>
      <c r="AF43" s="120" t="s">
        <v>68</v>
      </c>
      <c r="AG43" s="116" t="s">
        <v>81</v>
      </c>
      <c r="AH43" s="116" t="s">
        <v>71</v>
      </c>
      <c r="AI43" s="116" t="s">
        <v>60</v>
      </c>
      <c r="AJ43" s="116" t="s">
        <v>71</v>
      </c>
      <c r="AK43" s="116" t="s">
        <v>60</v>
      </c>
      <c r="AL43" s="116" t="s">
        <v>60</v>
      </c>
      <c r="AM43" s="116" t="s">
        <v>60</v>
      </c>
      <c r="AN43" s="116" t="s">
        <v>60</v>
      </c>
      <c r="AO43" s="116" t="s">
        <v>71</v>
      </c>
      <c r="AP43" s="116" t="s">
        <v>71</v>
      </c>
      <c r="AQ43" s="116" t="s">
        <v>71</v>
      </c>
      <c r="AR43" s="116" t="s">
        <v>71</v>
      </c>
      <c r="AS43" s="116" t="s">
        <v>71</v>
      </c>
      <c r="AT43" s="116" t="s">
        <v>71</v>
      </c>
      <c r="AU43" s="116" t="s">
        <v>71</v>
      </c>
      <c r="AV43" s="116" t="s">
        <v>71</v>
      </c>
      <c r="AW43" s="116" t="s">
        <v>71</v>
      </c>
      <c r="AX43" s="116" t="s">
        <v>71</v>
      </c>
      <c r="AY43" s="116" t="s">
        <v>71</v>
      </c>
      <c r="AZ43" s="116" t="s">
        <v>71</v>
      </c>
      <c r="BA43" s="116" t="s">
        <v>71</v>
      </c>
      <c r="BB43" s="116" t="s">
        <v>71</v>
      </c>
      <c r="BC43" s="116" t="s">
        <v>71</v>
      </c>
      <c r="BD43" s="116" t="s">
        <v>71</v>
      </c>
      <c r="BE43" s="116" t="s">
        <v>71</v>
      </c>
      <c r="BF43" s="116" t="s">
        <v>71</v>
      </c>
      <c r="BG43" s="116" t="s">
        <v>71</v>
      </c>
      <c r="BH43" s="116" t="s">
        <v>71</v>
      </c>
      <c r="BI43" s="116" t="s">
        <v>71</v>
      </c>
      <c r="BJ43" s="116" t="s">
        <v>71</v>
      </c>
      <c r="BK43" s="116" t="s">
        <v>71</v>
      </c>
      <c r="BL43" s="116" t="s">
        <v>71</v>
      </c>
      <c r="BM43" s="116" t="s">
        <v>71</v>
      </c>
      <c r="BN43" s="116" t="s">
        <v>71</v>
      </c>
      <c r="BO43" s="116" t="s">
        <v>71</v>
      </c>
      <c r="BP43" s="116" t="s">
        <v>71</v>
      </c>
      <c r="BQ43" s="116" t="s">
        <v>71</v>
      </c>
      <c r="BR43" s="116" t="s">
        <v>71</v>
      </c>
      <c r="BS43" s="116" t="s">
        <v>71</v>
      </c>
      <c r="BT43" s="116" t="s">
        <v>71</v>
      </c>
      <c r="BU43" s="116" t="s">
        <v>60</v>
      </c>
      <c r="BV43" s="121" t="s">
        <v>71</v>
      </c>
      <c r="BW43" s="116" t="s">
        <v>60</v>
      </c>
      <c r="BX43" s="116" t="s">
        <v>71</v>
      </c>
      <c r="BY43" s="116" t="s">
        <v>60</v>
      </c>
      <c r="BZ43" s="116" t="s">
        <v>71</v>
      </c>
      <c r="CA43" s="116" t="s">
        <v>60</v>
      </c>
      <c r="CB43" s="116" t="s">
        <v>71</v>
      </c>
      <c r="CC43" s="116" t="s">
        <v>60</v>
      </c>
      <c r="CD43" s="116" t="s">
        <v>71</v>
      </c>
      <c r="CE43" s="116" t="s">
        <v>60</v>
      </c>
      <c r="CF43" s="121" t="s">
        <v>71</v>
      </c>
      <c r="CG43" s="116" t="s">
        <v>60</v>
      </c>
      <c r="CH43" s="116" t="s">
        <v>71</v>
      </c>
      <c r="CI43" s="116" t="s">
        <v>60</v>
      </c>
      <c r="CJ43" s="116" t="s">
        <v>71</v>
      </c>
      <c r="CK43" s="116" t="s">
        <v>60</v>
      </c>
      <c r="CL43" s="116" t="s">
        <v>71</v>
      </c>
      <c r="CM43" s="116" t="s">
        <v>60</v>
      </c>
      <c r="CN43" s="116" t="s">
        <v>71</v>
      </c>
      <c r="CO43" s="116" t="s">
        <v>60</v>
      </c>
      <c r="CP43" s="116" t="s">
        <v>71</v>
      </c>
      <c r="CQ43" s="116" t="s">
        <v>60</v>
      </c>
      <c r="CR43" s="116" t="s">
        <v>71</v>
      </c>
      <c r="CS43" s="116" t="s">
        <v>60</v>
      </c>
      <c r="CT43" s="116" t="s">
        <v>71</v>
      </c>
      <c r="CU43" s="116" t="s">
        <v>60</v>
      </c>
      <c r="CV43" s="116" t="s">
        <v>71</v>
      </c>
      <c r="CW43" s="116" t="s">
        <v>60</v>
      </c>
      <c r="CX43" s="116" t="s">
        <v>71</v>
      </c>
      <c r="CY43" s="116" t="s">
        <v>60</v>
      </c>
      <c r="CZ43" s="116" t="s">
        <v>71</v>
      </c>
      <c r="DA43" s="116" t="s">
        <v>60</v>
      </c>
      <c r="DB43" s="116" t="s">
        <v>71</v>
      </c>
      <c r="DC43" s="116" t="s">
        <v>60</v>
      </c>
      <c r="DD43" s="116" t="s">
        <v>71</v>
      </c>
      <c r="DE43" s="137" t="str">
        <f t="shared" si="8"/>
        <v>3&gt; YEARS OLD</v>
      </c>
      <c r="DF43" s="137">
        <f t="shared" si="22"/>
        <v>0</v>
      </c>
    </row>
    <row r="44" spans="1:121" x14ac:dyDescent="0.2">
      <c r="A44" s="160"/>
      <c r="B44" s="5">
        <f t="shared" si="16"/>
        <v>42</v>
      </c>
      <c r="C44" s="114" t="str">
        <f t="shared" si="17"/>
        <v>CNS78</v>
      </c>
      <c r="D44" s="115" t="s">
        <v>158</v>
      </c>
      <c r="E44" s="114" t="str">
        <f t="shared" si="21"/>
        <v>CNS78_CONTROL</v>
      </c>
      <c r="F44" s="114"/>
      <c r="G44" s="113">
        <f t="shared" si="23"/>
        <v>78</v>
      </c>
      <c r="H44" s="116"/>
      <c r="I44" s="116"/>
      <c r="J44" s="116" t="s">
        <v>60</v>
      </c>
      <c r="K44" s="116" t="s">
        <v>177</v>
      </c>
      <c r="L44" s="116" t="s">
        <v>301</v>
      </c>
      <c r="M44" s="117" t="s">
        <v>81</v>
      </c>
      <c r="N44" s="117" t="s">
        <v>81</v>
      </c>
      <c r="O44" s="117" t="s">
        <v>81</v>
      </c>
      <c r="P44" s="117" t="s">
        <v>309</v>
      </c>
      <c r="Q44" s="118" t="s">
        <v>81</v>
      </c>
      <c r="R44" s="115" t="s">
        <v>89</v>
      </c>
      <c r="S44" s="118" t="s">
        <v>58</v>
      </c>
      <c r="T44" s="116" t="s">
        <v>167</v>
      </c>
      <c r="U44" s="122" t="s">
        <v>81</v>
      </c>
      <c r="V44" s="116" t="s">
        <v>174</v>
      </c>
      <c r="W44" s="116"/>
      <c r="X44" s="116"/>
      <c r="Y44" s="119">
        <v>2</v>
      </c>
      <c r="Z44" s="120">
        <f t="shared" si="24"/>
        <v>132</v>
      </c>
      <c r="AA44" s="116" t="s">
        <v>71</v>
      </c>
      <c r="AB44" s="116" t="s">
        <v>60</v>
      </c>
      <c r="AC44" s="116" t="s">
        <v>60</v>
      </c>
      <c r="AD44" s="116" t="s">
        <v>71</v>
      </c>
      <c r="AE44" s="116" t="s">
        <v>71</v>
      </c>
      <c r="AF44" s="120" t="s">
        <v>68</v>
      </c>
      <c r="AG44" s="116" t="s">
        <v>81</v>
      </c>
      <c r="AH44" s="116" t="s">
        <v>71</v>
      </c>
      <c r="AI44" s="116" t="s">
        <v>60</v>
      </c>
      <c r="AJ44" s="116" t="s">
        <v>71</v>
      </c>
      <c r="AK44" s="116" t="s">
        <v>60</v>
      </c>
      <c r="AL44" s="116" t="s">
        <v>60</v>
      </c>
      <c r="AM44" s="116" t="s">
        <v>60</v>
      </c>
      <c r="AN44" s="116" t="s">
        <v>60</v>
      </c>
      <c r="AO44" s="116" t="s">
        <v>71</v>
      </c>
      <c r="AP44" s="116" t="s">
        <v>71</v>
      </c>
      <c r="AQ44" s="116" t="s">
        <v>71</v>
      </c>
      <c r="AR44" s="116" t="s">
        <v>71</v>
      </c>
      <c r="AS44" s="116" t="s">
        <v>71</v>
      </c>
      <c r="AT44" s="116" t="s">
        <v>71</v>
      </c>
      <c r="AU44" s="116" t="s">
        <v>71</v>
      </c>
      <c r="AV44" s="116" t="s">
        <v>71</v>
      </c>
      <c r="AW44" s="116" t="s">
        <v>71</v>
      </c>
      <c r="AX44" s="116" t="s">
        <v>71</v>
      </c>
      <c r="AY44" s="116" t="s">
        <v>71</v>
      </c>
      <c r="AZ44" s="116" t="s">
        <v>71</v>
      </c>
      <c r="BA44" s="116" t="s">
        <v>71</v>
      </c>
      <c r="BB44" s="116" t="s">
        <v>71</v>
      </c>
      <c r="BC44" s="116" t="s">
        <v>71</v>
      </c>
      <c r="BD44" s="116" t="s">
        <v>71</v>
      </c>
      <c r="BE44" s="116" t="s">
        <v>71</v>
      </c>
      <c r="BF44" s="116" t="s">
        <v>71</v>
      </c>
      <c r="BG44" s="116" t="s">
        <v>71</v>
      </c>
      <c r="BH44" s="116" t="s">
        <v>71</v>
      </c>
      <c r="BI44" s="116" t="s">
        <v>71</v>
      </c>
      <c r="BJ44" s="116" t="s">
        <v>71</v>
      </c>
      <c r="BK44" s="116" t="s">
        <v>71</v>
      </c>
      <c r="BL44" s="116" t="s">
        <v>71</v>
      </c>
      <c r="BM44" s="116" t="s">
        <v>71</v>
      </c>
      <c r="BN44" s="116" t="s">
        <v>71</v>
      </c>
      <c r="BO44" s="116" t="s">
        <v>71</v>
      </c>
      <c r="BP44" s="116" t="s">
        <v>71</v>
      </c>
      <c r="BQ44" s="116" t="s">
        <v>71</v>
      </c>
      <c r="BR44" s="116" t="s">
        <v>71</v>
      </c>
      <c r="BS44" s="116" t="s">
        <v>71</v>
      </c>
      <c r="BT44" s="116" t="s">
        <v>71</v>
      </c>
      <c r="BU44" s="116" t="s">
        <v>60</v>
      </c>
      <c r="BV44" s="121" t="s">
        <v>71</v>
      </c>
      <c r="BW44" s="116" t="s">
        <v>60</v>
      </c>
      <c r="BX44" s="116" t="s">
        <v>71</v>
      </c>
      <c r="BY44" s="116" t="s">
        <v>60</v>
      </c>
      <c r="BZ44" s="116" t="s">
        <v>71</v>
      </c>
      <c r="CA44" s="116" t="s">
        <v>60</v>
      </c>
      <c r="CB44" s="116" t="s">
        <v>71</v>
      </c>
      <c r="CC44" s="116" t="s">
        <v>60</v>
      </c>
      <c r="CD44" s="116" t="s">
        <v>71</v>
      </c>
      <c r="CE44" s="116" t="s">
        <v>60</v>
      </c>
      <c r="CF44" s="121" t="s">
        <v>71</v>
      </c>
      <c r="CG44" s="116" t="s">
        <v>60</v>
      </c>
      <c r="CH44" s="116" t="s">
        <v>71</v>
      </c>
      <c r="CI44" s="116" t="s">
        <v>60</v>
      </c>
      <c r="CJ44" s="116" t="s">
        <v>71</v>
      </c>
      <c r="CK44" s="116" t="s">
        <v>60</v>
      </c>
      <c r="CL44" s="116" t="s">
        <v>71</v>
      </c>
      <c r="CM44" s="116" t="s">
        <v>60</v>
      </c>
      <c r="CN44" s="116" t="s">
        <v>71</v>
      </c>
      <c r="CO44" s="116" t="s">
        <v>60</v>
      </c>
      <c r="CP44" s="116" t="s">
        <v>71</v>
      </c>
      <c r="CQ44" s="116" t="s">
        <v>60</v>
      </c>
      <c r="CR44" s="116" t="s">
        <v>71</v>
      </c>
      <c r="CS44" s="116" t="s">
        <v>60</v>
      </c>
      <c r="CT44" s="116" t="s">
        <v>71</v>
      </c>
      <c r="CU44" s="116" t="s">
        <v>60</v>
      </c>
      <c r="CV44" s="116" t="s">
        <v>71</v>
      </c>
      <c r="CW44" s="116" t="s">
        <v>60</v>
      </c>
      <c r="CX44" s="116" t="s">
        <v>71</v>
      </c>
      <c r="CY44" s="116" t="s">
        <v>60</v>
      </c>
      <c r="CZ44" s="116" t="s">
        <v>71</v>
      </c>
      <c r="DA44" s="116" t="s">
        <v>60</v>
      </c>
      <c r="DB44" s="116" t="s">
        <v>71</v>
      </c>
      <c r="DC44" s="116" t="s">
        <v>60</v>
      </c>
      <c r="DD44" s="116" t="s">
        <v>71</v>
      </c>
      <c r="DE44" s="137" t="str">
        <f t="shared" si="8"/>
        <v>3&gt; YEARS OLD</v>
      </c>
      <c r="DF44" s="137">
        <f t="shared" si="22"/>
        <v>0</v>
      </c>
    </row>
    <row r="45" spans="1:121" x14ac:dyDescent="0.2">
      <c r="A45" s="160"/>
      <c r="B45" s="5">
        <f t="shared" si="16"/>
        <v>43</v>
      </c>
      <c r="C45" s="114" t="str">
        <f t="shared" si="17"/>
        <v>CNS79</v>
      </c>
      <c r="D45" s="115" t="s">
        <v>159</v>
      </c>
      <c r="E45" s="114" t="str">
        <f t="shared" si="21"/>
        <v>CNS79_CONTROL</v>
      </c>
      <c r="F45" s="114"/>
      <c r="G45" s="113">
        <f t="shared" si="23"/>
        <v>79</v>
      </c>
      <c r="H45" s="116"/>
      <c r="I45" s="116"/>
      <c r="J45" s="116" t="s">
        <v>60</v>
      </c>
      <c r="K45" s="116" t="s">
        <v>177</v>
      </c>
      <c r="L45" s="116" t="s">
        <v>301</v>
      </c>
      <c r="M45" s="117" t="s">
        <v>81</v>
      </c>
      <c r="N45" s="117" t="s">
        <v>81</v>
      </c>
      <c r="O45" s="117" t="s">
        <v>81</v>
      </c>
      <c r="P45" s="117" t="s">
        <v>309</v>
      </c>
      <c r="Q45" s="118" t="s">
        <v>81</v>
      </c>
      <c r="R45" s="115" t="s">
        <v>80</v>
      </c>
      <c r="S45" s="118" t="s">
        <v>60</v>
      </c>
      <c r="T45" s="116"/>
      <c r="U45" s="122" t="s">
        <v>81</v>
      </c>
      <c r="V45" s="116" t="s">
        <v>174</v>
      </c>
      <c r="W45" s="116"/>
      <c r="X45" s="116"/>
      <c r="Y45" s="119">
        <v>2</v>
      </c>
      <c r="Z45" s="120">
        <f t="shared" si="24"/>
        <v>132</v>
      </c>
      <c r="AA45" s="116" t="s">
        <v>71</v>
      </c>
      <c r="AB45" s="116" t="s">
        <v>60</v>
      </c>
      <c r="AC45" s="116" t="s">
        <v>60</v>
      </c>
      <c r="AD45" s="116" t="s">
        <v>71</v>
      </c>
      <c r="AE45" s="116" t="s">
        <v>71</v>
      </c>
      <c r="AF45" s="120" t="s">
        <v>68</v>
      </c>
      <c r="AG45" s="116" t="s">
        <v>81</v>
      </c>
      <c r="AH45" s="116" t="s">
        <v>71</v>
      </c>
      <c r="AI45" s="116" t="s">
        <v>60</v>
      </c>
      <c r="AJ45" s="116" t="s">
        <v>71</v>
      </c>
      <c r="AK45" s="116" t="s">
        <v>60</v>
      </c>
      <c r="AL45" s="116" t="s">
        <v>60</v>
      </c>
      <c r="AM45" s="116" t="s">
        <v>60</v>
      </c>
      <c r="AN45" s="116" t="s">
        <v>60</v>
      </c>
      <c r="AO45" s="116" t="s">
        <v>71</v>
      </c>
      <c r="AP45" s="116" t="s">
        <v>71</v>
      </c>
      <c r="AQ45" s="116" t="s">
        <v>71</v>
      </c>
      <c r="AR45" s="116" t="s">
        <v>71</v>
      </c>
      <c r="AS45" s="116" t="s">
        <v>71</v>
      </c>
      <c r="AT45" s="116" t="s">
        <v>71</v>
      </c>
      <c r="AU45" s="116" t="s">
        <v>71</v>
      </c>
      <c r="AV45" s="116" t="s">
        <v>71</v>
      </c>
      <c r="AW45" s="116" t="s">
        <v>71</v>
      </c>
      <c r="AX45" s="116" t="s">
        <v>71</v>
      </c>
      <c r="AY45" s="116" t="s">
        <v>71</v>
      </c>
      <c r="AZ45" s="116" t="s">
        <v>71</v>
      </c>
      <c r="BA45" s="116" t="s">
        <v>71</v>
      </c>
      <c r="BB45" s="116" t="s">
        <v>71</v>
      </c>
      <c r="BC45" s="116" t="s">
        <v>71</v>
      </c>
      <c r="BD45" s="116" t="s">
        <v>71</v>
      </c>
      <c r="BE45" s="116" t="s">
        <v>71</v>
      </c>
      <c r="BF45" s="116" t="s">
        <v>71</v>
      </c>
      <c r="BG45" s="116" t="s">
        <v>71</v>
      </c>
      <c r="BH45" s="116" t="s">
        <v>71</v>
      </c>
      <c r="BI45" s="116" t="s">
        <v>71</v>
      </c>
      <c r="BJ45" s="116" t="s">
        <v>71</v>
      </c>
      <c r="BK45" s="116" t="s">
        <v>71</v>
      </c>
      <c r="BL45" s="116" t="s">
        <v>71</v>
      </c>
      <c r="BM45" s="116" t="s">
        <v>71</v>
      </c>
      <c r="BN45" s="116" t="s">
        <v>71</v>
      </c>
      <c r="BO45" s="116" t="s">
        <v>71</v>
      </c>
      <c r="BP45" s="116" t="s">
        <v>71</v>
      </c>
      <c r="BQ45" s="116" t="s">
        <v>71</v>
      </c>
      <c r="BR45" s="116" t="s">
        <v>71</v>
      </c>
      <c r="BS45" s="116" t="s">
        <v>71</v>
      </c>
      <c r="BT45" s="116" t="s">
        <v>71</v>
      </c>
      <c r="BU45" s="116" t="s">
        <v>60</v>
      </c>
      <c r="BV45" s="121" t="s">
        <v>71</v>
      </c>
      <c r="BW45" s="116" t="s">
        <v>60</v>
      </c>
      <c r="BX45" s="116" t="s">
        <v>71</v>
      </c>
      <c r="BY45" s="116" t="s">
        <v>60</v>
      </c>
      <c r="BZ45" s="116" t="s">
        <v>71</v>
      </c>
      <c r="CA45" s="116" t="s">
        <v>60</v>
      </c>
      <c r="CB45" s="116" t="s">
        <v>71</v>
      </c>
      <c r="CC45" s="116" t="s">
        <v>60</v>
      </c>
      <c r="CD45" s="116" t="s">
        <v>71</v>
      </c>
      <c r="CE45" s="116" t="s">
        <v>60</v>
      </c>
      <c r="CF45" s="121" t="s">
        <v>71</v>
      </c>
      <c r="CG45" s="116" t="s">
        <v>60</v>
      </c>
      <c r="CH45" s="116" t="s">
        <v>71</v>
      </c>
      <c r="CI45" s="116" t="s">
        <v>60</v>
      </c>
      <c r="CJ45" s="116" t="s">
        <v>71</v>
      </c>
      <c r="CK45" s="116" t="s">
        <v>60</v>
      </c>
      <c r="CL45" s="116" t="s">
        <v>71</v>
      </c>
      <c r="CM45" s="116" t="s">
        <v>60</v>
      </c>
      <c r="CN45" s="116" t="s">
        <v>71</v>
      </c>
      <c r="CO45" s="116" t="s">
        <v>60</v>
      </c>
      <c r="CP45" s="116" t="s">
        <v>71</v>
      </c>
      <c r="CQ45" s="116" t="s">
        <v>60</v>
      </c>
      <c r="CR45" s="116" t="s">
        <v>71</v>
      </c>
      <c r="CS45" s="116" t="s">
        <v>60</v>
      </c>
      <c r="CT45" s="116" t="s">
        <v>71</v>
      </c>
      <c r="CU45" s="116" t="s">
        <v>60</v>
      </c>
      <c r="CV45" s="116" t="s">
        <v>71</v>
      </c>
      <c r="CW45" s="116" t="s">
        <v>60</v>
      </c>
      <c r="CX45" s="116" t="s">
        <v>71</v>
      </c>
      <c r="CY45" s="116" t="s">
        <v>60</v>
      </c>
      <c r="CZ45" s="116" t="s">
        <v>71</v>
      </c>
      <c r="DA45" s="116" t="s">
        <v>60</v>
      </c>
      <c r="DB45" s="116" t="s">
        <v>71</v>
      </c>
      <c r="DC45" s="116" t="s">
        <v>60</v>
      </c>
      <c r="DD45" s="116" t="s">
        <v>71</v>
      </c>
      <c r="DE45" s="137" t="str">
        <f t="shared" si="8"/>
        <v>3&gt; YEARS OLD</v>
      </c>
      <c r="DF45" s="137">
        <f t="shared" si="22"/>
        <v>0</v>
      </c>
    </row>
    <row r="46" spans="1:121" x14ac:dyDescent="0.2">
      <c r="A46" s="160"/>
      <c r="B46" s="5">
        <f t="shared" si="16"/>
        <v>44</v>
      </c>
      <c r="C46" s="114" t="str">
        <f t="shared" si="17"/>
        <v>CNS80</v>
      </c>
      <c r="D46" s="115" t="s">
        <v>160</v>
      </c>
      <c r="E46" s="114" t="str">
        <f t="shared" si="21"/>
        <v>CNS80_CONTROL</v>
      </c>
      <c r="F46" s="114"/>
      <c r="G46" s="113">
        <f t="shared" si="23"/>
        <v>80</v>
      </c>
      <c r="H46" s="116"/>
      <c r="I46" s="116"/>
      <c r="J46" s="116" t="s">
        <v>60</v>
      </c>
      <c r="K46" s="116" t="s">
        <v>177</v>
      </c>
      <c r="L46" s="116" t="s">
        <v>301</v>
      </c>
      <c r="M46" s="117" t="s">
        <v>81</v>
      </c>
      <c r="N46" s="117" t="s">
        <v>81</v>
      </c>
      <c r="O46" s="117" t="s">
        <v>81</v>
      </c>
      <c r="P46" s="117" t="s">
        <v>309</v>
      </c>
      <c r="Q46" s="118" t="s">
        <v>81</v>
      </c>
      <c r="R46" s="115" t="s">
        <v>80</v>
      </c>
      <c r="S46" s="118" t="s">
        <v>60</v>
      </c>
      <c r="T46" s="116"/>
      <c r="U46" s="122" t="s">
        <v>81</v>
      </c>
      <c r="V46" s="116" t="s">
        <v>174</v>
      </c>
      <c r="W46" s="116"/>
      <c r="X46" s="116"/>
      <c r="Y46" s="119">
        <v>2</v>
      </c>
      <c r="Z46" s="120">
        <f t="shared" si="24"/>
        <v>132</v>
      </c>
      <c r="AA46" s="116" t="s">
        <v>71</v>
      </c>
      <c r="AB46" s="116" t="s">
        <v>60</v>
      </c>
      <c r="AC46" s="116" t="s">
        <v>60</v>
      </c>
      <c r="AD46" s="116" t="s">
        <v>71</v>
      </c>
      <c r="AE46" s="116" t="s">
        <v>71</v>
      </c>
      <c r="AF46" s="120" t="s">
        <v>68</v>
      </c>
      <c r="AG46" s="116" t="s">
        <v>81</v>
      </c>
      <c r="AH46" s="116" t="s">
        <v>71</v>
      </c>
      <c r="AI46" s="116" t="s">
        <v>60</v>
      </c>
      <c r="AJ46" s="116" t="s">
        <v>71</v>
      </c>
      <c r="AK46" s="116" t="s">
        <v>60</v>
      </c>
      <c r="AL46" s="116" t="s">
        <v>60</v>
      </c>
      <c r="AM46" s="116" t="s">
        <v>60</v>
      </c>
      <c r="AN46" s="116" t="s">
        <v>60</v>
      </c>
      <c r="AO46" s="116" t="s">
        <v>71</v>
      </c>
      <c r="AP46" s="116" t="s">
        <v>71</v>
      </c>
      <c r="AQ46" s="116" t="s">
        <v>71</v>
      </c>
      <c r="AR46" s="116" t="s">
        <v>71</v>
      </c>
      <c r="AS46" s="116" t="s">
        <v>71</v>
      </c>
      <c r="AT46" s="116" t="s">
        <v>71</v>
      </c>
      <c r="AU46" s="116" t="s">
        <v>71</v>
      </c>
      <c r="AV46" s="116" t="s">
        <v>71</v>
      </c>
      <c r="AW46" s="116" t="s">
        <v>71</v>
      </c>
      <c r="AX46" s="116" t="s">
        <v>71</v>
      </c>
      <c r="AY46" s="116" t="s">
        <v>71</v>
      </c>
      <c r="AZ46" s="116" t="s">
        <v>71</v>
      </c>
      <c r="BA46" s="116" t="s">
        <v>71</v>
      </c>
      <c r="BB46" s="116" t="s">
        <v>71</v>
      </c>
      <c r="BC46" s="116" t="s">
        <v>71</v>
      </c>
      <c r="BD46" s="116" t="s">
        <v>71</v>
      </c>
      <c r="BE46" s="116" t="s">
        <v>71</v>
      </c>
      <c r="BF46" s="116" t="s">
        <v>71</v>
      </c>
      <c r="BG46" s="116" t="s">
        <v>71</v>
      </c>
      <c r="BH46" s="116" t="s">
        <v>71</v>
      </c>
      <c r="BI46" s="116" t="s">
        <v>71</v>
      </c>
      <c r="BJ46" s="116" t="s">
        <v>71</v>
      </c>
      <c r="BK46" s="116" t="s">
        <v>71</v>
      </c>
      <c r="BL46" s="116" t="s">
        <v>71</v>
      </c>
      <c r="BM46" s="116" t="s">
        <v>71</v>
      </c>
      <c r="BN46" s="116" t="s">
        <v>71</v>
      </c>
      <c r="BO46" s="116" t="s">
        <v>71</v>
      </c>
      <c r="BP46" s="116" t="s">
        <v>71</v>
      </c>
      <c r="BQ46" s="116" t="s">
        <v>71</v>
      </c>
      <c r="BR46" s="116" t="s">
        <v>71</v>
      </c>
      <c r="BS46" s="116" t="s">
        <v>71</v>
      </c>
      <c r="BT46" s="116" t="s">
        <v>71</v>
      </c>
      <c r="BU46" s="116" t="s">
        <v>60</v>
      </c>
      <c r="BV46" s="121" t="s">
        <v>71</v>
      </c>
      <c r="BW46" s="116" t="s">
        <v>60</v>
      </c>
      <c r="BX46" s="116" t="s">
        <v>71</v>
      </c>
      <c r="BY46" s="116" t="s">
        <v>60</v>
      </c>
      <c r="BZ46" s="116" t="s">
        <v>71</v>
      </c>
      <c r="CA46" s="116" t="s">
        <v>60</v>
      </c>
      <c r="CB46" s="116" t="s">
        <v>71</v>
      </c>
      <c r="CC46" s="116" t="s">
        <v>60</v>
      </c>
      <c r="CD46" s="116" t="s">
        <v>71</v>
      </c>
      <c r="CE46" s="116" t="s">
        <v>60</v>
      </c>
      <c r="CF46" s="121" t="s">
        <v>71</v>
      </c>
      <c r="CG46" s="116" t="s">
        <v>60</v>
      </c>
      <c r="CH46" s="116" t="s">
        <v>71</v>
      </c>
      <c r="CI46" s="116" t="s">
        <v>60</v>
      </c>
      <c r="CJ46" s="116" t="s">
        <v>71</v>
      </c>
      <c r="CK46" s="116" t="s">
        <v>60</v>
      </c>
      <c r="CL46" s="116" t="s">
        <v>71</v>
      </c>
      <c r="CM46" s="116" t="s">
        <v>60</v>
      </c>
      <c r="CN46" s="116" t="s">
        <v>71</v>
      </c>
      <c r="CO46" s="116" t="s">
        <v>60</v>
      </c>
      <c r="CP46" s="116" t="s">
        <v>71</v>
      </c>
      <c r="CQ46" s="116" t="s">
        <v>60</v>
      </c>
      <c r="CR46" s="116" t="s">
        <v>71</v>
      </c>
      <c r="CS46" s="116" t="s">
        <v>60</v>
      </c>
      <c r="CT46" s="116" t="s">
        <v>71</v>
      </c>
      <c r="CU46" s="116" t="s">
        <v>60</v>
      </c>
      <c r="CV46" s="116" t="s">
        <v>71</v>
      </c>
      <c r="CW46" s="116" t="s">
        <v>60</v>
      </c>
      <c r="CX46" s="116" t="s">
        <v>71</v>
      </c>
      <c r="CY46" s="116" t="s">
        <v>60</v>
      </c>
      <c r="CZ46" s="116" t="s">
        <v>71</v>
      </c>
      <c r="DA46" s="116" t="s">
        <v>60</v>
      </c>
      <c r="DB46" s="116" t="s">
        <v>71</v>
      </c>
      <c r="DC46" s="116" t="s">
        <v>60</v>
      </c>
      <c r="DD46" s="116" t="s">
        <v>71</v>
      </c>
      <c r="DE46" s="137" t="str">
        <f t="shared" si="8"/>
        <v>3&gt; YEARS OLD</v>
      </c>
      <c r="DF46" s="137">
        <f t="shared" si="22"/>
        <v>0</v>
      </c>
    </row>
    <row r="47" spans="1:121" x14ac:dyDescent="0.2">
      <c r="A47" s="160"/>
      <c r="B47" s="5">
        <f t="shared" si="16"/>
        <v>45</v>
      </c>
      <c r="C47" s="114" t="str">
        <f t="shared" si="17"/>
        <v>CNS81</v>
      </c>
      <c r="D47" s="115" t="s">
        <v>161</v>
      </c>
      <c r="E47" s="114" t="str">
        <f t="shared" si="21"/>
        <v>CNS81_CONTROL</v>
      </c>
      <c r="F47" s="114"/>
      <c r="G47" s="113">
        <f t="shared" si="23"/>
        <v>81</v>
      </c>
      <c r="H47" s="116"/>
      <c r="I47" s="116"/>
      <c r="J47" s="116" t="s">
        <v>60</v>
      </c>
      <c r="K47" s="116" t="s">
        <v>177</v>
      </c>
      <c r="L47" s="116" t="s">
        <v>301</v>
      </c>
      <c r="M47" s="117" t="s">
        <v>81</v>
      </c>
      <c r="N47" s="117" t="s">
        <v>81</v>
      </c>
      <c r="O47" s="117" t="s">
        <v>81</v>
      </c>
      <c r="P47" s="117" t="s">
        <v>310</v>
      </c>
      <c r="Q47" s="118" t="s">
        <v>81</v>
      </c>
      <c r="R47" s="115" t="s">
        <v>168</v>
      </c>
      <c r="S47" s="118" t="s">
        <v>169</v>
      </c>
      <c r="T47" s="116"/>
      <c r="U47" s="122" t="s">
        <v>81</v>
      </c>
      <c r="V47" s="122" t="s">
        <v>171</v>
      </c>
      <c r="W47" s="116"/>
      <c r="X47" s="116"/>
      <c r="Y47" s="119">
        <v>60</v>
      </c>
      <c r="Z47" s="120">
        <f t="shared" si="24"/>
        <v>2916</v>
      </c>
      <c r="AA47" s="116" t="s">
        <v>71</v>
      </c>
      <c r="AB47" s="116" t="s">
        <v>60</v>
      </c>
      <c r="AC47" s="116" t="s">
        <v>60</v>
      </c>
      <c r="AD47" s="116" t="s">
        <v>71</v>
      </c>
      <c r="AE47" s="116" t="s">
        <v>71</v>
      </c>
      <c r="AF47" s="120" t="s">
        <v>68</v>
      </c>
      <c r="AG47" s="116" t="s">
        <v>81</v>
      </c>
      <c r="AH47" s="116" t="s">
        <v>71</v>
      </c>
      <c r="AI47" s="116" t="s">
        <v>60</v>
      </c>
      <c r="AJ47" s="116" t="s">
        <v>71</v>
      </c>
      <c r="AK47" s="116" t="s">
        <v>60</v>
      </c>
      <c r="AL47" s="116" t="s">
        <v>60</v>
      </c>
      <c r="AM47" s="116" t="s">
        <v>60</v>
      </c>
      <c r="AN47" s="116" t="s">
        <v>60</v>
      </c>
      <c r="AO47" s="116" t="s">
        <v>71</v>
      </c>
      <c r="AP47" s="116" t="s">
        <v>71</v>
      </c>
      <c r="AQ47" s="116" t="s">
        <v>71</v>
      </c>
      <c r="AR47" s="116" t="s">
        <v>71</v>
      </c>
      <c r="AS47" s="116" t="s">
        <v>71</v>
      </c>
      <c r="AT47" s="116" t="s">
        <v>71</v>
      </c>
      <c r="AU47" s="116" t="s">
        <v>71</v>
      </c>
      <c r="AV47" s="116" t="s">
        <v>71</v>
      </c>
      <c r="AW47" s="116" t="s">
        <v>71</v>
      </c>
      <c r="AX47" s="116" t="s">
        <v>71</v>
      </c>
      <c r="AY47" s="116" t="s">
        <v>71</v>
      </c>
      <c r="AZ47" s="116" t="s">
        <v>71</v>
      </c>
      <c r="BA47" s="116" t="s">
        <v>71</v>
      </c>
      <c r="BB47" s="116" t="s">
        <v>71</v>
      </c>
      <c r="BC47" s="116" t="s">
        <v>71</v>
      </c>
      <c r="BD47" s="116" t="s">
        <v>71</v>
      </c>
      <c r="BE47" s="116" t="s">
        <v>71</v>
      </c>
      <c r="BF47" s="116" t="s">
        <v>71</v>
      </c>
      <c r="BG47" s="116" t="s">
        <v>71</v>
      </c>
      <c r="BH47" s="116" t="s">
        <v>71</v>
      </c>
      <c r="BI47" s="116" t="s">
        <v>71</v>
      </c>
      <c r="BJ47" s="116" t="s">
        <v>71</v>
      </c>
      <c r="BK47" s="116" t="s">
        <v>71</v>
      </c>
      <c r="BL47" s="116" t="s">
        <v>71</v>
      </c>
      <c r="BM47" s="116" t="s">
        <v>71</v>
      </c>
      <c r="BN47" s="116" t="s">
        <v>71</v>
      </c>
      <c r="BO47" s="116" t="s">
        <v>71</v>
      </c>
      <c r="BP47" s="116" t="s">
        <v>71</v>
      </c>
      <c r="BQ47" s="116" t="s">
        <v>71</v>
      </c>
      <c r="BR47" s="116" t="s">
        <v>71</v>
      </c>
      <c r="BS47" s="116" t="s">
        <v>71</v>
      </c>
      <c r="BT47" s="116" t="s">
        <v>71</v>
      </c>
      <c r="BU47" s="116" t="s">
        <v>60</v>
      </c>
      <c r="BV47" s="121" t="s">
        <v>71</v>
      </c>
      <c r="BW47" s="116" t="s">
        <v>60</v>
      </c>
      <c r="BX47" s="116" t="s">
        <v>71</v>
      </c>
      <c r="BY47" s="116" t="s">
        <v>60</v>
      </c>
      <c r="BZ47" s="116" t="s">
        <v>71</v>
      </c>
      <c r="CA47" s="116" t="s">
        <v>60</v>
      </c>
      <c r="CB47" s="116" t="s">
        <v>71</v>
      </c>
      <c r="CC47" s="116" t="s">
        <v>60</v>
      </c>
      <c r="CD47" s="116" t="s">
        <v>71</v>
      </c>
      <c r="CE47" s="116" t="s">
        <v>60</v>
      </c>
      <c r="CF47" s="121" t="s">
        <v>71</v>
      </c>
      <c r="CG47" s="116" t="s">
        <v>60</v>
      </c>
      <c r="CH47" s="116" t="s">
        <v>71</v>
      </c>
      <c r="CI47" s="116" t="s">
        <v>60</v>
      </c>
      <c r="CJ47" s="116" t="s">
        <v>71</v>
      </c>
      <c r="CK47" s="116" t="s">
        <v>60</v>
      </c>
      <c r="CL47" s="116" t="s">
        <v>71</v>
      </c>
      <c r="CM47" s="116" t="s">
        <v>60</v>
      </c>
      <c r="CN47" s="116" t="s">
        <v>71</v>
      </c>
      <c r="CO47" s="116" t="s">
        <v>60</v>
      </c>
      <c r="CP47" s="116" t="s">
        <v>71</v>
      </c>
      <c r="CQ47" s="116" t="s">
        <v>60</v>
      </c>
      <c r="CR47" s="116" t="s">
        <v>71</v>
      </c>
      <c r="CS47" s="116" t="s">
        <v>60</v>
      </c>
      <c r="CT47" s="116" t="s">
        <v>71</v>
      </c>
      <c r="CU47" s="116" t="s">
        <v>60</v>
      </c>
      <c r="CV47" s="116" t="s">
        <v>71</v>
      </c>
      <c r="CW47" s="116" t="s">
        <v>60</v>
      </c>
      <c r="CX47" s="116" t="s">
        <v>71</v>
      </c>
      <c r="CY47" s="116" t="s">
        <v>60</v>
      </c>
      <c r="CZ47" s="116" t="s">
        <v>71</v>
      </c>
      <c r="DA47" s="116" t="s">
        <v>60</v>
      </c>
      <c r="DB47" s="116" t="s">
        <v>71</v>
      </c>
      <c r="DC47" s="116" t="s">
        <v>60</v>
      </c>
      <c r="DD47" s="116" t="s">
        <v>71</v>
      </c>
      <c r="DE47" s="137" t="str">
        <f t="shared" si="8"/>
        <v>9&lt; YEARS OLD</v>
      </c>
      <c r="DF47" s="137">
        <f t="shared" si="22"/>
        <v>0</v>
      </c>
    </row>
    <row r="48" spans="1:121" x14ac:dyDescent="0.2">
      <c r="A48" s="160"/>
      <c r="B48" s="5">
        <f t="shared" si="16"/>
        <v>46</v>
      </c>
      <c r="C48" s="114" t="str">
        <f t="shared" si="17"/>
        <v>CNS82</v>
      </c>
      <c r="D48" s="115" t="s">
        <v>162</v>
      </c>
      <c r="E48" s="114" t="str">
        <f t="shared" si="21"/>
        <v>CNS82_CONTROL</v>
      </c>
      <c r="F48" s="115"/>
      <c r="G48" s="113">
        <f t="shared" si="23"/>
        <v>82</v>
      </c>
      <c r="H48" s="116"/>
      <c r="I48" s="116"/>
      <c r="J48" s="116" t="s">
        <v>60</v>
      </c>
      <c r="K48" s="116" t="s">
        <v>177</v>
      </c>
      <c r="L48" s="116" t="s">
        <v>301</v>
      </c>
      <c r="M48" s="117" t="s">
        <v>81</v>
      </c>
      <c r="N48" s="117" t="s">
        <v>81</v>
      </c>
      <c r="O48" s="117" t="s">
        <v>81</v>
      </c>
      <c r="P48" s="117" t="s">
        <v>310</v>
      </c>
      <c r="Q48" s="118" t="s">
        <v>81</v>
      </c>
      <c r="R48" s="115" t="s">
        <v>168</v>
      </c>
      <c r="S48" s="118" t="s">
        <v>169</v>
      </c>
      <c r="T48" s="116"/>
      <c r="U48" s="122" t="s">
        <v>81</v>
      </c>
      <c r="V48" s="122" t="s">
        <v>171</v>
      </c>
      <c r="W48" s="116"/>
      <c r="X48" s="116"/>
      <c r="Y48" s="119">
        <v>60</v>
      </c>
      <c r="Z48" s="120">
        <f t="shared" si="24"/>
        <v>2916</v>
      </c>
      <c r="AA48" s="116" t="s">
        <v>71</v>
      </c>
      <c r="AB48" s="116" t="s">
        <v>60</v>
      </c>
      <c r="AC48" s="116" t="s">
        <v>60</v>
      </c>
      <c r="AD48" s="116" t="s">
        <v>71</v>
      </c>
      <c r="AE48" s="116" t="s">
        <v>71</v>
      </c>
      <c r="AF48" s="120" t="s">
        <v>68</v>
      </c>
      <c r="AG48" s="116" t="s">
        <v>81</v>
      </c>
      <c r="AH48" s="116" t="s">
        <v>71</v>
      </c>
      <c r="AI48" s="116" t="s">
        <v>60</v>
      </c>
      <c r="AJ48" s="116" t="s">
        <v>71</v>
      </c>
      <c r="AK48" s="116" t="s">
        <v>60</v>
      </c>
      <c r="AL48" s="116" t="s">
        <v>60</v>
      </c>
      <c r="AM48" s="116" t="s">
        <v>60</v>
      </c>
      <c r="AN48" s="116" t="s">
        <v>60</v>
      </c>
      <c r="AO48" s="116" t="s">
        <v>71</v>
      </c>
      <c r="AP48" s="116" t="s">
        <v>71</v>
      </c>
      <c r="AQ48" s="116" t="s">
        <v>71</v>
      </c>
      <c r="AR48" s="116" t="s">
        <v>71</v>
      </c>
      <c r="AS48" s="116" t="s">
        <v>71</v>
      </c>
      <c r="AT48" s="116" t="s">
        <v>71</v>
      </c>
      <c r="AU48" s="116" t="s">
        <v>71</v>
      </c>
      <c r="AV48" s="116" t="s">
        <v>71</v>
      </c>
      <c r="AW48" s="116" t="s">
        <v>71</v>
      </c>
      <c r="AX48" s="116" t="s">
        <v>71</v>
      </c>
      <c r="AY48" s="116" t="s">
        <v>71</v>
      </c>
      <c r="AZ48" s="116" t="s">
        <v>71</v>
      </c>
      <c r="BA48" s="116" t="s">
        <v>71</v>
      </c>
      <c r="BB48" s="116" t="s">
        <v>71</v>
      </c>
      <c r="BC48" s="116" t="s">
        <v>71</v>
      </c>
      <c r="BD48" s="116" t="s">
        <v>71</v>
      </c>
      <c r="BE48" s="116" t="s">
        <v>71</v>
      </c>
      <c r="BF48" s="116" t="s">
        <v>71</v>
      </c>
      <c r="BG48" s="116" t="s">
        <v>71</v>
      </c>
      <c r="BH48" s="116" t="s">
        <v>71</v>
      </c>
      <c r="BI48" s="116" t="s">
        <v>71</v>
      </c>
      <c r="BJ48" s="116" t="s">
        <v>71</v>
      </c>
      <c r="BK48" s="116" t="s">
        <v>71</v>
      </c>
      <c r="BL48" s="116" t="s">
        <v>71</v>
      </c>
      <c r="BM48" s="116" t="s">
        <v>71</v>
      </c>
      <c r="BN48" s="116" t="s">
        <v>71</v>
      </c>
      <c r="BO48" s="116" t="s">
        <v>71</v>
      </c>
      <c r="BP48" s="116" t="s">
        <v>71</v>
      </c>
      <c r="BQ48" s="116" t="s">
        <v>71</v>
      </c>
      <c r="BR48" s="116" t="s">
        <v>71</v>
      </c>
      <c r="BS48" s="116" t="s">
        <v>71</v>
      </c>
      <c r="BT48" s="116" t="s">
        <v>71</v>
      </c>
      <c r="BU48" s="116" t="s">
        <v>60</v>
      </c>
      <c r="BV48" s="121" t="s">
        <v>71</v>
      </c>
      <c r="BW48" s="116" t="s">
        <v>60</v>
      </c>
      <c r="BX48" s="116" t="s">
        <v>71</v>
      </c>
      <c r="BY48" s="116" t="s">
        <v>60</v>
      </c>
      <c r="BZ48" s="116" t="s">
        <v>71</v>
      </c>
      <c r="CA48" s="116" t="s">
        <v>60</v>
      </c>
      <c r="CB48" s="116" t="s">
        <v>71</v>
      </c>
      <c r="CC48" s="116" t="s">
        <v>60</v>
      </c>
      <c r="CD48" s="116" t="s">
        <v>71</v>
      </c>
      <c r="CE48" s="116" t="s">
        <v>60</v>
      </c>
      <c r="CF48" s="121" t="s">
        <v>71</v>
      </c>
      <c r="CG48" s="116" t="s">
        <v>60</v>
      </c>
      <c r="CH48" s="116" t="s">
        <v>71</v>
      </c>
      <c r="CI48" s="116" t="s">
        <v>60</v>
      </c>
      <c r="CJ48" s="116" t="s">
        <v>71</v>
      </c>
      <c r="CK48" s="116" t="s">
        <v>60</v>
      </c>
      <c r="CL48" s="116" t="s">
        <v>71</v>
      </c>
      <c r="CM48" s="116" t="s">
        <v>60</v>
      </c>
      <c r="CN48" s="116" t="s">
        <v>71</v>
      </c>
      <c r="CO48" s="116" t="s">
        <v>60</v>
      </c>
      <c r="CP48" s="116" t="s">
        <v>71</v>
      </c>
      <c r="CQ48" s="116" t="s">
        <v>60</v>
      </c>
      <c r="CR48" s="116" t="s">
        <v>71</v>
      </c>
      <c r="CS48" s="116" t="s">
        <v>60</v>
      </c>
      <c r="CT48" s="116" t="s">
        <v>71</v>
      </c>
      <c r="CU48" s="116" t="s">
        <v>60</v>
      </c>
      <c r="CV48" s="116" t="s">
        <v>71</v>
      </c>
      <c r="CW48" s="116" t="s">
        <v>60</v>
      </c>
      <c r="CX48" s="116" t="s">
        <v>71</v>
      </c>
      <c r="CY48" s="116" t="s">
        <v>60</v>
      </c>
      <c r="CZ48" s="116" t="s">
        <v>71</v>
      </c>
      <c r="DA48" s="116" t="s">
        <v>60</v>
      </c>
      <c r="DB48" s="116" t="s">
        <v>71</v>
      </c>
      <c r="DC48" s="116" t="s">
        <v>60</v>
      </c>
      <c r="DD48" s="116" t="s">
        <v>71</v>
      </c>
      <c r="DE48" s="137" t="str">
        <f t="shared" si="8"/>
        <v>9&lt; YEARS OLD</v>
      </c>
      <c r="DF48" s="137">
        <f t="shared" si="22"/>
        <v>0</v>
      </c>
    </row>
    <row r="49" spans="1:110" x14ac:dyDescent="0.2">
      <c r="A49" s="160"/>
      <c r="B49" s="5">
        <f t="shared" si="16"/>
        <v>47</v>
      </c>
      <c r="C49" s="114" t="str">
        <f t="shared" si="17"/>
        <v>CNS83</v>
      </c>
      <c r="D49" s="115" t="s">
        <v>163</v>
      </c>
      <c r="E49" s="114" t="str">
        <f t="shared" si="21"/>
        <v>CNS83_CONTROL</v>
      </c>
      <c r="F49" s="115"/>
      <c r="G49" s="113">
        <f t="shared" si="23"/>
        <v>83</v>
      </c>
      <c r="H49" s="116"/>
      <c r="I49" s="116"/>
      <c r="J49" s="116" t="s">
        <v>60</v>
      </c>
      <c r="K49" s="116" t="s">
        <v>177</v>
      </c>
      <c r="L49" s="116" t="s">
        <v>301</v>
      </c>
      <c r="M49" s="117" t="s">
        <v>81</v>
      </c>
      <c r="N49" s="117" t="s">
        <v>81</v>
      </c>
      <c r="O49" s="117" t="s">
        <v>81</v>
      </c>
      <c r="P49" s="117" t="s">
        <v>311</v>
      </c>
      <c r="Q49" s="118" t="s">
        <v>81</v>
      </c>
      <c r="R49" s="115" t="s">
        <v>168</v>
      </c>
      <c r="S49" s="118" t="s">
        <v>169</v>
      </c>
      <c r="T49" s="116"/>
      <c r="U49" s="122" t="s">
        <v>81</v>
      </c>
      <c r="V49" s="122" t="s">
        <v>172</v>
      </c>
      <c r="W49" s="116"/>
      <c r="X49" s="116"/>
      <c r="Y49" s="119">
        <v>0</v>
      </c>
      <c r="Z49" s="120">
        <f t="shared" si="24"/>
        <v>36</v>
      </c>
      <c r="AA49" s="116" t="s">
        <v>71</v>
      </c>
      <c r="AB49" s="116" t="s">
        <v>60</v>
      </c>
      <c r="AC49" s="116" t="s">
        <v>60</v>
      </c>
      <c r="AD49" s="116" t="s">
        <v>71</v>
      </c>
      <c r="AE49" s="116" t="s">
        <v>71</v>
      </c>
      <c r="AF49" s="120" t="s">
        <v>68</v>
      </c>
      <c r="AG49" s="116" t="s">
        <v>81</v>
      </c>
      <c r="AH49" s="116" t="s">
        <v>71</v>
      </c>
      <c r="AI49" s="116" t="s">
        <v>60</v>
      </c>
      <c r="AJ49" s="116" t="s">
        <v>71</v>
      </c>
      <c r="AK49" s="116" t="s">
        <v>60</v>
      </c>
      <c r="AL49" s="116" t="s">
        <v>60</v>
      </c>
      <c r="AM49" s="116" t="s">
        <v>60</v>
      </c>
      <c r="AN49" s="116" t="s">
        <v>60</v>
      </c>
      <c r="AO49" s="116" t="s">
        <v>71</v>
      </c>
      <c r="AP49" s="116" t="s">
        <v>71</v>
      </c>
      <c r="AQ49" s="116" t="s">
        <v>71</v>
      </c>
      <c r="AR49" s="116" t="s">
        <v>71</v>
      </c>
      <c r="AS49" s="116" t="s">
        <v>71</v>
      </c>
      <c r="AT49" s="116" t="s">
        <v>71</v>
      </c>
      <c r="AU49" s="116" t="s">
        <v>71</v>
      </c>
      <c r="AV49" s="116" t="s">
        <v>71</v>
      </c>
      <c r="AW49" s="116" t="s">
        <v>71</v>
      </c>
      <c r="AX49" s="116" t="s">
        <v>71</v>
      </c>
      <c r="AY49" s="116" t="s">
        <v>71</v>
      </c>
      <c r="AZ49" s="116" t="s">
        <v>71</v>
      </c>
      <c r="BA49" s="116" t="s">
        <v>71</v>
      </c>
      <c r="BB49" s="116" t="s">
        <v>71</v>
      </c>
      <c r="BC49" s="116" t="s">
        <v>71</v>
      </c>
      <c r="BD49" s="116" t="s">
        <v>71</v>
      </c>
      <c r="BE49" s="116" t="s">
        <v>71</v>
      </c>
      <c r="BF49" s="116" t="s">
        <v>71</v>
      </c>
      <c r="BG49" s="116" t="s">
        <v>71</v>
      </c>
      <c r="BH49" s="116" t="s">
        <v>71</v>
      </c>
      <c r="BI49" s="116" t="s">
        <v>71</v>
      </c>
      <c r="BJ49" s="116" t="s">
        <v>71</v>
      </c>
      <c r="BK49" s="116" t="s">
        <v>71</v>
      </c>
      <c r="BL49" s="116" t="s">
        <v>71</v>
      </c>
      <c r="BM49" s="116" t="s">
        <v>71</v>
      </c>
      <c r="BN49" s="116" t="s">
        <v>71</v>
      </c>
      <c r="BO49" s="116" t="s">
        <v>71</v>
      </c>
      <c r="BP49" s="116" t="s">
        <v>71</v>
      </c>
      <c r="BQ49" s="116" t="s">
        <v>71</v>
      </c>
      <c r="BR49" s="116" t="s">
        <v>71</v>
      </c>
      <c r="BS49" s="116" t="s">
        <v>71</v>
      </c>
      <c r="BT49" s="116" t="s">
        <v>71</v>
      </c>
      <c r="BU49" s="116" t="s">
        <v>60</v>
      </c>
      <c r="BV49" s="121" t="s">
        <v>71</v>
      </c>
      <c r="BW49" s="116" t="s">
        <v>60</v>
      </c>
      <c r="BX49" s="116" t="s">
        <v>71</v>
      </c>
      <c r="BY49" s="116" t="s">
        <v>60</v>
      </c>
      <c r="BZ49" s="116" t="s">
        <v>71</v>
      </c>
      <c r="CA49" s="116" t="s">
        <v>60</v>
      </c>
      <c r="CB49" s="116" t="s">
        <v>71</v>
      </c>
      <c r="CC49" s="116" t="s">
        <v>60</v>
      </c>
      <c r="CD49" s="116" t="s">
        <v>71</v>
      </c>
      <c r="CE49" s="116" t="s">
        <v>60</v>
      </c>
      <c r="CF49" s="121" t="s">
        <v>71</v>
      </c>
      <c r="CG49" s="116" t="s">
        <v>60</v>
      </c>
      <c r="CH49" s="116" t="s">
        <v>71</v>
      </c>
      <c r="CI49" s="116" t="s">
        <v>60</v>
      </c>
      <c r="CJ49" s="116" t="s">
        <v>71</v>
      </c>
      <c r="CK49" s="116" t="s">
        <v>60</v>
      </c>
      <c r="CL49" s="116" t="s">
        <v>71</v>
      </c>
      <c r="CM49" s="116" t="s">
        <v>60</v>
      </c>
      <c r="CN49" s="116" t="s">
        <v>71</v>
      </c>
      <c r="CO49" s="116" t="s">
        <v>60</v>
      </c>
      <c r="CP49" s="116" t="s">
        <v>71</v>
      </c>
      <c r="CQ49" s="116" t="s">
        <v>60</v>
      </c>
      <c r="CR49" s="116" t="s">
        <v>71</v>
      </c>
      <c r="CS49" s="116" t="s">
        <v>60</v>
      </c>
      <c r="CT49" s="116" t="s">
        <v>71</v>
      </c>
      <c r="CU49" s="116" t="s">
        <v>60</v>
      </c>
      <c r="CV49" s="116" t="s">
        <v>71</v>
      </c>
      <c r="CW49" s="116" t="s">
        <v>60</v>
      </c>
      <c r="CX49" s="116" t="s">
        <v>71</v>
      </c>
      <c r="CY49" s="116" t="s">
        <v>60</v>
      </c>
      <c r="CZ49" s="116" t="s">
        <v>71</v>
      </c>
      <c r="DA49" s="116" t="s">
        <v>60</v>
      </c>
      <c r="DB49" s="116" t="s">
        <v>71</v>
      </c>
      <c r="DC49" s="116" t="s">
        <v>60</v>
      </c>
      <c r="DD49" s="116" t="s">
        <v>71</v>
      </c>
      <c r="DE49" s="137" t="str">
        <f t="shared" si="8"/>
        <v>FETAL</v>
      </c>
      <c r="DF49" s="137">
        <f t="shared" si="22"/>
        <v>0</v>
      </c>
    </row>
    <row r="50" spans="1:110" x14ac:dyDescent="0.2">
      <c r="A50" s="160"/>
      <c r="B50" s="5">
        <f t="shared" si="16"/>
        <v>48</v>
      </c>
      <c r="C50" s="114" t="str">
        <f t="shared" si="17"/>
        <v>CNS84</v>
      </c>
      <c r="D50" s="115" t="s">
        <v>164</v>
      </c>
      <c r="E50" s="114" t="str">
        <f t="shared" si="21"/>
        <v>CNS84_CONTROL</v>
      </c>
      <c r="F50" s="115"/>
      <c r="G50" s="113">
        <f t="shared" si="23"/>
        <v>84</v>
      </c>
      <c r="H50" s="116"/>
      <c r="I50" s="116"/>
      <c r="J50" s="116" t="s">
        <v>60</v>
      </c>
      <c r="K50" s="116" t="s">
        <v>177</v>
      </c>
      <c r="L50" s="116" t="s">
        <v>301</v>
      </c>
      <c r="M50" s="117" t="s">
        <v>81</v>
      </c>
      <c r="N50" s="117" t="s">
        <v>81</v>
      </c>
      <c r="O50" s="117" t="s">
        <v>81</v>
      </c>
      <c r="P50" s="117" t="s">
        <v>311</v>
      </c>
      <c r="Q50" s="118" t="s">
        <v>81</v>
      </c>
      <c r="R50" s="115" t="s">
        <v>168</v>
      </c>
      <c r="S50" s="118" t="s">
        <v>169</v>
      </c>
      <c r="T50" s="116"/>
      <c r="U50" s="122" t="s">
        <v>81</v>
      </c>
      <c r="V50" s="122" t="s">
        <v>172</v>
      </c>
      <c r="W50" s="116"/>
      <c r="X50" s="116"/>
      <c r="Y50" s="119">
        <v>0</v>
      </c>
      <c r="Z50" s="120">
        <f t="shared" si="24"/>
        <v>36</v>
      </c>
      <c r="AA50" s="116" t="s">
        <v>71</v>
      </c>
      <c r="AB50" s="116" t="s">
        <v>60</v>
      </c>
      <c r="AC50" s="116" t="s">
        <v>60</v>
      </c>
      <c r="AD50" s="116" t="s">
        <v>71</v>
      </c>
      <c r="AE50" s="116" t="s">
        <v>71</v>
      </c>
      <c r="AF50" s="120" t="s">
        <v>68</v>
      </c>
      <c r="AG50" s="116" t="s">
        <v>81</v>
      </c>
      <c r="AH50" s="116" t="s">
        <v>71</v>
      </c>
      <c r="AI50" s="116" t="s">
        <v>60</v>
      </c>
      <c r="AJ50" s="116" t="s">
        <v>71</v>
      </c>
      <c r="AK50" s="116" t="s">
        <v>60</v>
      </c>
      <c r="AL50" s="116" t="s">
        <v>60</v>
      </c>
      <c r="AM50" s="116" t="s">
        <v>60</v>
      </c>
      <c r="AN50" s="116" t="s">
        <v>60</v>
      </c>
      <c r="AO50" s="116" t="s">
        <v>71</v>
      </c>
      <c r="AP50" s="116" t="s">
        <v>71</v>
      </c>
      <c r="AQ50" s="116" t="s">
        <v>71</v>
      </c>
      <c r="AR50" s="116" t="s">
        <v>71</v>
      </c>
      <c r="AS50" s="116" t="s">
        <v>71</v>
      </c>
      <c r="AT50" s="116" t="s">
        <v>71</v>
      </c>
      <c r="AU50" s="116" t="s">
        <v>71</v>
      </c>
      <c r="AV50" s="116" t="s">
        <v>71</v>
      </c>
      <c r="AW50" s="116" t="s">
        <v>71</v>
      </c>
      <c r="AX50" s="116" t="s">
        <v>71</v>
      </c>
      <c r="AY50" s="116" t="s">
        <v>71</v>
      </c>
      <c r="AZ50" s="116" t="s">
        <v>71</v>
      </c>
      <c r="BA50" s="116" t="s">
        <v>71</v>
      </c>
      <c r="BB50" s="116" t="s">
        <v>71</v>
      </c>
      <c r="BC50" s="116" t="s">
        <v>71</v>
      </c>
      <c r="BD50" s="116" t="s">
        <v>71</v>
      </c>
      <c r="BE50" s="116" t="s">
        <v>71</v>
      </c>
      <c r="BF50" s="116" t="s">
        <v>71</v>
      </c>
      <c r="BG50" s="116" t="s">
        <v>71</v>
      </c>
      <c r="BH50" s="116" t="s">
        <v>71</v>
      </c>
      <c r="BI50" s="116" t="s">
        <v>71</v>
      </c>
      <c r="BJ50" s="116" t="s">
        <v>71</v>
      </c>
      <c r="BK50" s="116" t="s">
        <v>71</v>
      </c>
      <c r="BL50" s="116" t="s">
        <v>71</v>
      </c>
      <c r="BM50" s="116" t="s">
        <v>71</v>
      </c>
      <c r="BN50" s="116" t="s">
        <v>71</v>
      </c>
      <c r="BO50" s="116" t="s">
        <v>71</v>
      </c>
      <c r="BP50" s="116" t="s">
        <v>71</v>
      </c>
      <c r="BQ50" s="116" t="s">
        <v>71</v>
      </c>
      <c r="BR50" s="116" t="s">
        <v>71</v>
      </c>
      <c r="BS50" s="116" t="s">
        <v>71</v>
      </c>
      <c r="BT50" s="116" t="s">
        <v>71</v>
      </c>
      <c r="BU50" s="116" t="s">
        <v>60</v>
      </c>
      <c r="BV50" s="121" t="s">
        <v>71</v>
      </c>
      <c r="BW50" s="116" t="s">
        <v>60</v>
      </c>
      <c r="BX50" s="116" t="s">
        <v>71</v>
      </c>
      <c r="BY50" s="116" t="s">
        <v>60</v>
      </c>
      <c r="BZ50" s="116" t="s">
        <v>71</v>
      </c>
      <c r="CA50" s="116" t="s">
        <v>60</v>
      </c>
      <c r="CB50" s="116" t="s">
        <v>71</v>
      </c>
      <c r="CC50" s="116" t="s">
        <v>60</v>
      </c>
      <c r="CD50" s="116" t="s">
        <v>71</v>
      </c>
      <c r="CE50" s="116" t="s">
        <v>60</v>
      </c>
      <c r="CF50" s="121" t="s">
        <v>71</v>
      </c>
      <c r="CG50" s="116" t="s">
        <v>60</v>
      </c>
      <c r="CH50" s="116" t="s">
        <v>71</v>
      </c>
      <c r="CI50" s="116" t="s">
        <v>60</v>
      </c>
      <c r="CJ50" s="116" t="s">
        <v>71</v>
      </c>
      <c r="CK50" s="116" t="s">
        <v>60</v>
      </c>
      <c r="CL50" s="116" t="s">
        <v>71</v>
      </c>
      <c r="CM50" s="116" t="s">
        <v>60</v>
      </c>
      <c r="CN50" s="116" t="s">
        <v>71</v>
      </c>
      <c r="CO50" s="116" t="s">
        <v>60</v>
      </c>
      <c r="CP50" s="116" t="s">
        <v>71</v>
      </c>
      <c r="CQ50" s="116" t="s">
        <v>60</v>
      </c>
      <c r="CR50" s="116" t="s">
        <v>71</v>
      </c>
      <c r="CS50" s="116" t="s">
        <v>60</v>
      </c>
      <c r="CT50" s="116" t="s">
        <v>71</v>
      </c>
      <c r="CU50" s="116" t="s">
        <v>60</v>
      </c>
      <c r="CV50" s="116" t="s">
        <v>71</v>
      </c>
      <c r="CW50" s="116" t="s">
        <v>60</v>
      </c>
      <c r="CX50" s="116" t="s">
        <v>71</v>
      </c>
      <c r="CY50" s="116" t="s">
        <v>60</v>
      </c>
      <c r="CZ50" s="116" t="s">
        <v>71</v>
      </c>
      <c r="DA50" s="116" t="s">
        <v>60</v>
      </c>
      <c r="DB50" s="116" t="s">
        <v>71</v>
      </c>
      <c r="DC50" s="116" t="s">
        <v>60</v>
      </c>
      <c r="DD50" s="116" t="s">
        <v>71</v>
      </c>
      <c r="DE50" s="137" t="str">
        <f t="shared" si="8"/>
        <v>FETAL</v>
      </c>
      <c r="DF50" s="137">
        <f t="shared" si="22"/>
        <v>0</v>
      </c>
    </row>
    <row r="51" spans="1:110" x14ac:dyDescent="0.2">
      <c r="A51" s="160" t="s">
        <v>319</v>
      </c>
      <c r="B51" s="5">
        <f t="shared" si="16"/>
        <v>49</v>
      </c>
      <c r="C51" s="124" t="str">
        <f t="shared" ref="C51" si="25">CONCATENATE("CNS",G51)</f>
        <v>CNS85</v>
      </c>
      <c r="D51" s="125" t="s">
        <v>179</v>
      </c>
      <c r="E51" s="124" t="str">
        <f t="shared" si="21"/>
        <v>CNS85_NEOPLASM</v>
      </c>
      <c r="F51" s="124"/>
      <c r="G51" s="123">
        <f>G50+1</f>
        <v>85</v>
      </c>
      <c r="H51" s="124"/>
      <c r="I51" s="124"/>
      <c r="J51" s="126" t="s">
        <v>60</v>
      </c>
      <c r="K51" s="126" t="s">
        <v>180</v>
      </c>
      <c r="L51" s="126" t="s">
        <v>300</v>
      </c>
      <c r="M51" s="124" t="s">
        <v>316</v>
      </c>
      <c r="N51" s="124" t="s">
        <v>314</v>
      </c>
      <c r="O51" s="124" t="s">
        <v>181</v>
      </c>
      <c r="P51" s="124" t="s">
        <v>181</v>
      </c>
      <c r="Q51" s="124" t="s">
        <v>184</v>
      </c>
      <c r="R51" s="126" t="s">
        <v>182</v>
      </c>
      <c r="S51" s="124" t="s">
        <v>60</v>
      </c>
      <c r="T51" s="124"/>
      <c r="U51" s="126" t="s">
        <v>60</v>
      </c>
      <c r="V51" s="126" t="s">
        <v>176</v>
      </c>
      <c r="W51" s="126"/>
      <c r="X51" s="126"/>
      <c r="Y51" s="129">
        <v>15.9</v>
      </c>
      <c r="Z51" s="129">
        <f t="shared" si="24"/>
        <v>799.2</v>
      </c>
      <c r="AA51" s="126" t="s">
        <v>71</v>
      </c>
      <c r="AB51" s="126" t="s">
        <v>60</v>
      </c>
      <c r="AC51" s="126" t="s">
        <v>60</v>
      </c>
      <c r="AD51" s="126" t="s">
        <v>71</v>
      </c>
      <c r="AE51" s="126" t="s">
        <v>71</v>
      </c>
      <c r="AF51" s="127" t="s">
        <v>68</v>
      </c>
      <c r="AG51" s="126" t="s">
        <v>60</v>
      </c>
      <c r="AH51" s="126" t="s">
        <v>71</v>
      </c>
      <c r="AI51" s="126" t="s">
        <v>60</v>
      </c>
      <c r="AJ51" s="126" t="s">
        <v>71</v>
      </c>
      <c r="AK51" s="126" t="s">
        <v>60</v>
      </c>
      <c r="AL51" s="126" t="s">
        <v>60</v>
      </c>
      <c r="AM51" s="126" t="s">
        <v>60</v>
      </c>
      <c r="AN51" s="126" t="s">
        <v>60</v>
      </c>
      <c r="AO51" s="126" t="s">
        <v>71</v>
      </c>
      <c r="AP51" s="126" t="s">
        <v>71</v>
      </c>
      <c r="AQ51" s="126" t="s">
        <v>71</v>
      </c>
      <c r="AR51" s="126" t="s">
        <v>71</v>
      </c>
      <c r="AS51" s="126" t="s">
        <v>71</v>
      </c>
      <c r="AT51" s="126" t="s">
        <v>71</v>
      </c>
      <c r="AU51" s="126" t="s">
        <v>71</v>
      </c>
      <c r="AV51" s="126" t="s">
        <v>71</v>
      </c>
      <c r="AW51" s="126" t="s">
        <v>71</v>
      </c>
      <c r="AX51" s="126" t="s">
        <v>71</v>
      </c>
      <c r="AY51" s="126" t="s">
        <v>71</v>
      </c>
      <c r="AZ51" s="126" t="s">
        <v>71</v>
      </c>
      <c r="BA51" s="126" t="s">
        <v>71</v>
      </c>
      <c r="BB51" s="126" t="s">
        <v>71</v>
      </c>
      <c r="BC51" s="126" t="s">
        <v>71</v>
      </c>
      <c r="BD51" s="126" t="s">
        <v>71</v>
      </c>
      <c r="BE51" s="126" t="s">
        <v>71</v>
      </c>
      <c r="BF51" s="126" t="s">
        <v>71</v>
      </c>
      <c r="BG51" s="126" t="s">
        <v>71</v>
      </c>
      <c r="BH51" s="126" t="s">
        <v>71</v>
      </c>
      <c r="BI51" s="126" t="s">
        <v>71</v>
      </c>
      <c r="BJ51" s="126" t="s">
        <v>71</v>
      </c>
      <c r="BK51" s="126" t="s">
        <v>71</v>
      </c>
      <c r="BL51" s="126" t="s">
        <v>71</v>
      </c>
      <c r="BM51" s="126" t="s">
        <v>71</v>
      </c>
      <c r="BN51" s="126" t="s">
        <v>71</v>
      </c>
      <c r="BO51" s="126" t="s">
        <v>71</v>
      </c>
      <c r="BP51" s="126" t="s">
        <v>71</v>
      </c>
      <c r="BQ51" s="126" t="s">
        <v>71</v>
      </c>
      <c r="BR51" s="126" t="s">
        <v>71</v>
      </c>
      <c r="BS51" s="126" t="s">
        <v>71</v>
      </c>
      <c r="BT51" s="126" t="s">
        <v>71</v>
      </c>
      <c r="BU51" s="126" t="s">
        <v>60</v>
      </c>
      <c r="BV51" s="126" t="s">
        <v>71</v>
      </c>
      <c r="BW51" s="126" t="s">
        <v>60</v>
      </c>
      <c r="BX51" s="126" t="s">
        <v>71</v>
      </c>
      <c r="BY51" s="126" t="s">
        <v>60</v>
      </c>
      <c r="BZ51" s="126" t="s">
        <v>71</v>
      </c>
      <c r="CA51" s="126" t="s">
        <v>60</v>
      </c>
      <c r="CB51" s="126" t="s">
        <v>71</v>
      </c>
      <c r="CC51" s="126" t="s">
        <v>60</v>
      </c>
      <c r="CD51" s="126" t="s">
        <v>71</v>
      </c>
      <c r="CE51" s="126" t="s">
        <v>60</v>
      </c>
      <c r="CF51" s="126" t="s">
        <v>71</v>
      </c>
      <c r="CG51" s="126" t="s">
        <v>60</v>
      </c>
      <c r="CH51" s="126" t="s">
        <v>71</v>
      </c>
      <c r="CI51" s="126" t="s">
        <v>60</v>
      </c>
      <c r="CJ51" s="126" t="s">
        <v>71</v>
      </c>
      <c r="CK51" s="126" t="s">
        <v>60</v>
      </c>
      <c r="CL51" s="126" t="s">
        <v>71</v>
      </c>
      <c r="CM51" s="126" t="s">
        <v>60</v>
      </c>
      <c r="CN51" s="126" t="s">
        <v>71</v>
      </c>
      <c r="CO51" s="126" t="s">
        <v>60</v>
      </c>
      <c r="CP51" s="126" t="s">
        <v>71</v>
      </c>
      <c r="CQ51" s="126" t="s">
        <v>60</v>
      </c>
      <c r="CR51" s="126" t="s">
        <v>71</v>
      </c>
      <c r="CS51" s="126" t="s">
        <v>60</v>
      </c>
      <c r="CT51" s="126" t="s">
        <v>71</v>
      </c>
      <c r="CU51" s="126" t="s">
        <v>60</v>
      </c>
      <c r="CV51" s="126" t="s">
        <v>71</v>
      </c>
      <c r="CW51" s="126" t="s">
        <v>60</v>
      </c>
      <c r="CX51" s="126" t="s">
        <v>71</v>
      </c>
      <c r="CY51" s="126" t="s">
        <v>60</v>
      </c>
      <c r="CZ51" s="126" t="s">
        <v>71</v>
      </c>
      <c r="DA51" s="126" t="s">
        <v>60</v>
      </c>
      <c r="DB51" s="126" t="s">
        <v>71</v>
      </c>
      <c r="DC51" s="126" t="s">
        <v>60</v>
      </c>
      <c r="DD51" s="126" t="s">
        <v>71</v>
      </c>
      <c r="DE51" s="137" t="str">
        <f t="shared" si="8"/>
        <v>9&lt; YEARS OLD</v>
      </c>
      <c r="DF51" s="137">
        <f t="shared" ref="DF51:DF56" si="26">IF(M51="CONTROL",0,1)</f>
        <v>1</v>
      </c>
    </row>
    <row r="52" spans="1:110" x14ac:dyDescent="0.2">
      <c r="A52" s="160"/>
      <c r="B52" s="5">
        <f t="shared" si="16"/>
        <v>50</v>
      </c>
      <c r="C52" s="124" t="str">
        <f t="shared" ref="C52" si="27">CONCATENATE("CNS",G52)</f>
        <v>CNS86</v>
      </c>
      <c r="D52" s="125" t="s">
        <v>183</v>
      </c>
      <c r="E52" s="124" t="str">
        <f t="shared" si="21"/>
        <v>CNS86_NEOPLASM</v>
      </c>
      <c r="F52" s="124"/>
      <c r="G52" s="123">
        <f t="shared" ref="G52:G67" si="28">G51+1</f>
        <v>86</v>
      </c>
      <c r="H52" s="124"/>
      <c r="I52" s="124"/>
      <c r="J52" s="126" t="s">
        <v>60</v>
      </c>
      <c r="K52" s="126" t="s">
        <v>180</v>
      </c>
      <c r="L52" s="126" t="s">
        <v>300</v>
      </c>
      <c r="M52" s="124" t="s">
        <v>316</v>
      </c>
      <c r="N52" s="124" t="s">
        <v>314</v>
      </c>
      <c r="O52" s="124" t="s">
        <v>181</v>
      </c>
      <c r="P52" s="124" t="s">
        <v>181</v>
      </c>
      <c r="Q52" s="124" t="s">
        <v>184</v>
      </c>
      <c r="R52" s="126" t="s">
        <v>182</v>
      </c>
      <c r="S52" s="124" t="s">
        <v>60</v>
      </c>
      <c r="T52" s="124"/>
      <c r="U52" s="126" t="s">
        <v>60</v>
      </c>
      <c r="V52" s="126" t="s">
        <v>174</v>
      </c>
      <c r="W52" s="126"/>
      <c r="X52" s="126"/>
      <c r="Y52" s="129">
        <v>10.4</v>
      </c>
      <c r="Z52" s="129">
        <f t="shared" si="24"/>
        <v>535.20000000000005</v>
      </c>
      <c r="AA52" s="126" t="s">
        <v>71</v>
      </c>
      <c r="AB52" s="126" t="s">
        <v>60</v>
      </c>
      <c r="AC52" s="126" t="s">
        <v>60</v>
      </c>
      <c r="AD52" s="126" t="s">
        <v>71</v>
      </c>
      <c r="AE52" s="126" t="s">
        <v>71</v>
      </c>
      <c r="AF52" s="127" t="s">
        <v>68</v>
      </c>
      <c r="AG52" s="126" t="s">
        <v>60</v>
      </c>
      <c r="AH52" s="126" t="s">
        <v>71</v>
      </c>
      <c r="AI52" s="126" t="s">
        <v>60</v>
      </c>
      <c r="AJ52" s="126" t="s">
        <v>71</v>
      </c>
      <c r="AK52" s="126" t="s">
        <v>60</v>
      </c>
      <c r="AL52" s="126" t="s">
        <v>60</v>
      </c>
      <c r="AM52" s="126" t="s">
        <v>60</v>
      </c>
      <c r="AN52" s="126" t="s">
        <v>60</v>
      </c>
      <c r="AO52" s="126" t="s">
        <v>71</v>
      </c>
      <c r="AP52" s="126" t="s">
        <v>71</v>
      </c>
      <c r="AQ52" s="126" t="s">
        <v>71</v>
      </c>
      <c r="AR52" s="126" t="s">
        <v>71</v>
      </c>
      <c r="AS52" s="126" t="s">
        <v>71</v>
      </c>
      <c r="AT52" s="126" t="s">
        <v>71</v>
      </c>
      <c r="AU52" s="126" t="s">
        <v>71</v>
      </c>
      <c r="AV52" s="126" t="s">
        <v>71</v>
      </c>
      <c r="AW52" s="126" t="s">
        <v>71</v>
      </c>
      <c r="AX52" s="126" t="s">
        <v>71</v>
      </c>
      <c r="AY52" s="126" t="s">
        <v>71</v>
      </c>
      <c r="AZ52" s="126" t="s">
        <v>71</v>
      </c>
      <c r="BA52" s="126" t="s">
        <v>71</v>
      </c>
      <c r="BB52" s="126" t="s">
        <v>71</v>
      </c>
      <c r="BC52" s="126" t="s">
        <v>71</v>
      </c>
      <c r="BD52" s="126" t="s">
        <v>71</v>
      </c>
      <c r="BE52" s="126" t="s">
        <v>71</v>
      </c>
      <c r="BF52" s="126" t="s">
        <v>71</v>
      </c>
      <c r="BG52" s="126" t="s">
        <v>71</v>
      </c>
      <c r="BH52" s="126" t="s">
        <v>71</v>
      </c>
      <c r="BI52" s="126" t="s">
        <v>71</v>
      </c>
      <c r="BJ52" s="126" t="s">
        <v>71</v>
      </c>
      <c r="BK52" s="126" t="s">
        <v>71</v>
      </c>
      <c r="BL52" s="126" t="s">
        <v>71</v>
      </c>
      <c r="BM52" s="126" t="s">
        <v>71</v>
      </c>
      <c r="BN52" s="126" t="s">
        <v>71</v>
      </c>
      <c r="BO52" s="126" t="s">
        <v>71</v>
      </c>
      <c r="BP52" s="126" t="s">
        <v>71</v>
      </c>
      <c r="BQ52" s="126" t="s">
        <v>71</v>
      </c>
      <c r="BR52" s="126" t="s">
        <v>71</v>
      </c>
      <c r="BS52" s="126" t="s">
        <v>71</v>
      </c>
      <c r="BT52" s="126" t="s">
        <v>71</v>
      </c>
      <c r="BU52" s="126" t="s">
        <v>60</v>
      </c>
      <c r="BV52" s="126" t="s">
        <v>71</v>
      </c>
      <c r="BW52" s="126" t="s">
        <v>60</v>
      </c>
      <c r="BX52" s="126" t="s">
        <v>71</v>
      </c>
      <c r="BY52" s="126" t="s">
        <v>60</v>
      </c>
      <c r="BZ52" s="126" t="s">
        <v>71</v>
      </c>
      <c r="CA52" s="126" t="s">
        <v>60</v>
      </c>
      <c r="CB52" s="126" t="s">
        <v>71</v>
      </c>
      <c r="CC52" s="126" t="s">
        <v>60</v>
      </c>
      <c r="CD52" s="126" t="s">
        <v>71</v>
      </c>
      <c r="CE52" s="126" t="s">
        <v>60</v>
      </c>
      <c r="CF52" s="126" t="s">
        <v>71</v>
      </c>
      <c r="CG52" s="126" t="s">
        <v>60</v>
      </c>
      <c r="CH52" s="126" t="s">
        <v>71</v>
      </c>
      <c r="CI52" s="126" t="s">
        <v>60</v>
      </c>
      <c r="CJ52" s="126" t="s">
        <v>71</v>
      </c>
      <c r="CK52" s="126" t="s">
        <v>60</v>
      </c>
      <c r="CL52" s="126" t="s">
        <v>71</v>
      </c>
      <c r="CM52" s="126" t="s">
        <v>60</v>
      </c>
      <c r="CN52" s="126" t="s">
        <v>71</v>
      </c>
      <c r="CO52" s="126" t="s">
        <v>60</v>
      </c>
      <c r="CP52" s="126" t="s">
        <v>71</v>
      </c>
      <c r="CQ52" s="126" t="s">
        <v>60</v>
      </c>
      <c r="CR52" s="126" t="s">
        <v>71</v>
      </c>
      <c r="CS52" s="126" t="s">
        <v>60</v>
      </c>
      <c r="CT52" s="126" t="s">
        <v>71</v>
      </c>
      <c r="CU52" s="126" t="s">
        <v>60</v>
      </c>
      <c r="CV52" s="126" t="s">
        <v>71</v>
      </c>
      <c r="CW52" s="126" t="s">
        <v>60</v>
      </c>
      <c r="CX52" s="126" t="s">
        <v>71</v>
      </c>
      <c r="CY52" s="126" t="s">
        <v>60</v>
      </c>
      <c r="CZ52" s="126" t="s">
        <v>71</v>
      </c>
      <c r="DA52" s="126" t="s">
        <v>60</v>
      </c>
      <c r="DB52" s="126" t="s">
        <v>71</v>
      </c>
      <c r="DC52" s="126" t="s">
        <v>60</v>
      </c>
      <c r="DD52" s="126" t="s">
        <v>71</v>
      </c>
      <c r="DE52" s="137" t="str">
        <f t="shared" si="8"/>
        <v>9&lt; YEARS OLD</v>
      </c>
      <c r="DF52" s="137">
        <f t="shared" si="26"/>
        <v>1</v>
      </c>
    </row>
    <row r="53" spans="1:110" x14ac:dyDescent="0.2">
      <c r="A53" s="160"/>
      <c r="B53" s="5">
        <f t="shared" si="16"/>
        <v>51</v>
      </c>
      <c r="C53" s="124" t="str">
        <f t="shared" ref="C53:C61" si="29">CONCATENATE("CNS",G53)</f>
        <v>CNS87</v>
      </c>
      <c r="D53" s="125" t="s">
        <v>185</v>
      </c>
      <c r="E53" s="124" t="str">
        <f t="shared" si="21"/>
        <v>CNS87_NEOPLASM</v>
      </c>
      <c r="F53" s="124"/>
      <c r="G53" s="123">
        <f t="shared" si="28"/>
        <v>87</v>
      </c>
      <c r="H53" s="124"/>
      <c r="I53" s="124"/>
      <c r="J53" s="126" t="s">
        <v>60</v>
      </c>
      <c r="K53" s="126" t="s">
        <v>180</v>
      </c>
      <c r="L53" s="126" t="s">
        <v>300</v>
      </c>
      <c r="M53" s="124" t="s">
        <v>316</v>
      </c>
      <c r="N53" s="124" t="s">
        <v>314</v>
      </c>
      <c r="O53" s="124" t="s">
        <v>181</v>
      </c>
      <c r="P53" s="124" t="s">
        <v>181</v>
      </c>
      <c r="Q53" s="124" t="s">
        <v>184</v>
      </c>
      <c r="R53" s="126" t="s">
        <v>182</v>
      </c>
      <c r="S53" s="124" t="s">
        <v>60</v>
      </c>
      <c r="T53" s="124"/>
      <c r="U53" s="126" t="s">
        <v>60</v>
      </c>
      <c r="V53" s="126" t="s">
        <v>176</v>
      </c>
      <c r="W53" s="126"/>
      <c r="X53" s="126"/>
      <c r="Y53" s="129">
        <v>14.2</v>
      </c>
      <c r="Z53" s="129">
        <f t="shared" ref="Z53:Z61" si="30">IF(ISERROR((Y53*12*4)+36),"NaN",(Y53*12*4)+36)</f>
        <v>717.59999999999991</v>
      </c>
      <c r="AA53" s="126" t="s">
        <v>71</v>
      </c>
      <c r="AB53" s="126" t="s">
        <v>60</v>
      </c>
      <c r="AC53" s="126" t="s">
        <v>60</v>
      </c>
      <c r="AD53" s="126" t="s">
        <v>71</v>
      </c>
      <c r="AE53" s="126" t="s">
        <v>71</v>
      </c>
      <c r="AF53" s="127" t="s">
        <v>68</v>
      </c>
      <c r="AG53" s="126" t="s">
        <v>60</v>
      </c>
      <c r="AH53" s="126" t="s">
        <v>71</v>
      </c>
      <c r="AI53" s="126" t="s">
        <v>60</v>
      </c>
      <c r="AJ53" s="126" t="s">
        <v>71</v>
      </c>
      <c r="AK53" s="126" t="s">
        <v>60</v>
      </c>
      <c r="AL53" s="126" t="s">
        <v>60</v>
      </c>
      <c r="AM53" s="126" t="s">
        <v>60</v>
      </c>
      <c r="AN53" s="126" t="s">
        <v>60</v>
      </c>
      <c r="AO53" s="126" t="s">
        <v>71</v>
      </c>
      <c r="AP53" s="126" t="s">
        <v>71</v>
      </c>
      <c r="AQ53" s="126" t="s">
        <v>71</v>
      </c>
      <c r="AR53" s="126" t="s">
        <v>71</v>
      </c>
      <c r="AS53" s="126" t="s">
        <v>71</v>
      </c>
      <c r="AT53" s="126" t="s">
        <v>71</v>
      </c>
      <c r="AU53" s="126" t="s">
        <v>71</v>
      </c>
      <c r="AV53" s="126" t="s">
        <v>71</v>
      </c>
      <c r="AW53" s="126" t="s">
        <v>71</v>
      </c>
      <c r="AX53" s="126" t="s">
        <v>71</v>
      </c>
      <c r="AY53" s="126" t="s">
        <v>71</v>
      </c>
      <c r="AZ53" s="126" t="s">
        <v>71</v>
      </c>
      <c r="BA53" s="126" t="s">
        <v>71</v>
      </c>
      <c r="BB53" s="126" t="s">
        <v>71</v>
      </c>
      <c r="BC53" s="126" t="s">
        <v>71</v>
      </c>
      <c r="BD53" s="126" t="s">
        <v>71</v>
      </c>
      <c r="BE53" s="126" t="s">
        <v>71</v>
      </c>
      <c r="BF53" s="126" t="s">
        <v>71</v>
      </c>
      <c r="BG53" s="126" t="s">
        <v>71</v>
      </c>
      <c r="BH53" s="126" t="s">
        <v>71</v>
      </c>
      <c r="BI53" s="126" t="s">
        <v>71</v>
      </c>
      <c r="BJ53" s="126" t="s">
        <v>71</v>
      </c>
      <c r="BK53" s="126" t="s">
        <v>71</v>
      </c>
      <c r="BL53" s="126" t="s">
        <v>71</v>
      </c>
      <c r="BM53" s="126" t="s">
        <v>71</v>
      </c>
      <c r="BN53" s="126" t="s">
        <v>71</v>
      </c>
      <c r="BO53" s="126" t="s">
        <v>71</v>
      </c>
      <c r="BP53" s="126" t="s">
        <v>71</v>
      </c>
      <c r="BQ53" s="126" t="s">
        <v>71</v>
      </c>
      <c r="BR53" s="126" t="s">
        <v>71</v>
      </c>
      <c r="BS53" s="126" t="s">
        <v>71</v>
      </c>
      <c r="BT53" s="126" t="s">
        <v>71</v>
      </c>
      <c r="BU53" s="126" t="s">
        <v>60</v>
      </c>
      <c r="BV53" s="126" t="s">
        <v>71</v>
      </c>
      <c r="BW53" s="126" t="s">
        <v>60</v>
      </c>
      <c r="BX53" s="126" t="s">
        <v>71</v>
      </c>
      <c r="BY53" s="126" t="s">
        <v>60</v>
      </c>
      <c r="BZ53" s="126" t="s">
        <v>71</v>
      </c>
      <c r="CA53" s="126" t="s">
        <v>60</v>
      </c>
      <c r="CB53" s="126" t="s">
        <v>71</v>
      </c>
      <c r="CC53" s="126" t="s">
        <v>60</v>
      </c>
      <c r="CD53" s="126" t="s">
        <v>71</v>
      </c>
      <c r="CE53" s="126" t="s">
        <v>60</v>
      </c>
      <c r="CF53" s="126" t="s">
        <v>71</v>
      </c>
      <c r="CG53" s="126" t="s">
        <v>60</v>
      </c>
      <c r="CH53" s="126" t="s">
        <v>71</v>
      </c>
      <c r="CI53" s="126" t="s">
        <v>60</v>
      </c>
      <c r="CJ53" s="126" t="s">
        <v>71</v>
      </c>
      <c r="CK53" s="126" t="s">
        <v>60</v>
      </c>
      <c r="CL53" s="126" t="s">
        <v>71</v>
      </c>
      <c r="CM53" s="126" t="s">
        <v>60</v>
      </c>
      <c r="CN53" s="126" t="s">
        <v>71</v>
      </c>
      <c r="CO53" s="126" t="s">
        <v>60</v>
      </c>
      <c r="CP53" s="126" t="s">
        <v>71</v>
      </c>
      <c r="CQ53" s="126" t="s">
        <v>60</v>
      </c>
      <c r="CR53" s="126" t="s">
        <v>71</v>
      </c>
      <c r="CS53" s="126" t="s">
        <v>60</v>
      </c>
      <c r="CT53" s="126" t="s">
        <v>71</v>
      </c>
      <c r="CU53" s="126" t="s">
        <v>60</v>
      </c>
      <c r="CV53" s="126" t="s">
        <v>71</v>
      </c>
      <c r="CW53" s="126" t="s">
        <v>60</v>
      </c>
      <c r="CX53" s="126" t="s">
        <v>71</v>
      </c>
      <c r="CY53" s="126" t="s">
        <v>60</v>
      </c>
      <c r="CZ53" s="126" t="s">
        <v>71</v>
      </c>
      <c r="DA53" s="126" t="s">
        <v>60</v>
      </c>
      <c r="DB53" s="126" t="s">
        <v>71</v>
      </c>
      <c r="DC53" s="126" t="s">
        <v>60</v>
      </c>
      <c r="DD53" s="126" t="s">
        <v>71</v>
      </c>
      <c r="DE53" s="137" t="str">
        <f t="shared" si="8"/>
        <v>9&lt; YEARS OLD</v>
      </c>
      <c r="DF53" s="137">
        <f t="shared" si="26"/>
        <v>1</v>
      </c>
    </row>
    <row r="54" spans="1:110" x14ac:dyDescent="0.2">
      <c r="A54" s="160"/>
      <c r="B54" s="5">
        <f t="shared" si="16"/>
        <v>52</v>
      </c>
      <c r="C54" s="124" t="str">
        <f t="shared" si="29"/>
        <v>CNS88</v>
      </c>
      <c r="D54" s="125" t="s">
        <v>186</v>
      </c>
      <c r="E54" s="124" t="str">
        <f t="shared" si="21"/>
        <v>CNS88_NEOPLASM</v>
      </c>
      <c r="F54" s="124"/>
      <c r="G54" s="123">
        <f t="shared" si="28"/>
        <v>88</v>
      </c>
      <c r="H54" s="124"/>
      <c r="I54" s="124"/>
      <c r="J54" s="126" t="s">
        <v>60</v>
      </c>
      <c r="K54" s="126" t="s">
        <v>180</v>
      </c>
      <c r="L54" s="126" t="s">
        <v>300</v>
      </c>
      <c r="M54" s="124" t="s">
        <v>316</v>
      </c>
      <c r="N54" s="124" t="s">
        <v>314</v>
      </c>
      <c r="O54" s="124" t="s">
        <v>181</v>
      </c>
      <c r="P54" s="124" t="s">
        <v>181</v>
      </c>
      <c r="Q54" s="124" t="s">
        <v>184</v>
      </c>
      <c r="R54" s="126" t="s">
        <v>182</v>
      </c>
      <c r="S54" s="124" t="s">
        <v>60</v>
      </c>
      <c r="T54" s="124"/>
      <c r="U54" s="126" t="s">
        <v>60</v>
      </c>
      <c r="V54" s="126" t="s">
        <v>174</v>
      </c>
      <c r="W54" s="126"/>
      <c r="X54" s="126"/>
      <c r="Y54" s="129">
        <v>10.4</v>
      </c>
      <c r="Z54" s="129">
        <f t="shared" si="30"/>
        <v>535.20000000000005</v>
      </c>
      <c r="AA54" s="126" t="s">
        <v>71</v>
      </c>
      <c r="AB54" s="126" t="s">
        <v>60</v>
      </c>
      <c r="AC54" s="126" t="s">
        <v>60</v>
      </c>
      <c r="AD54" s="126" t="s">
        <v>71</v>
      </c>
      <c r="AE54" s="126" t="s">
        <v>71</v>
      </c>
      <c r="AF54" s="127" t="s">
        <v>68</v>
      </c>
      <c r="AG54" s="126" t="s">
        <v>60</v>
      </c>
      <c r="AH54" s="126" t="s">
        <v>71</v>
      </c>
      <c r="AI54" s="126" t="s">
        <v>60</v>
      </c>
      <c r="AJ54" s="126" t="s">
        <v>71</v>
      </c>
      <c r="AK54" s="126" t="s">
        <v>60</v>
      </c>
      <c r="AL54" s="126" t="s">
        <v>60</v>
      </c>
      <c r="AM54" s="126" t="s">
        <v>60</v>
      </c>
      <c r="AN54" s="126" t="s">
        <v>60</v>
      </c>
      <c r="AO54" s="126" t="s">
        <v>71</v>
      </c>
      <c r="AP54" s="126" t="s">
        <v>71</v>
      </c>
      <c r="AQ54" s="126" t="s">
        <v>71</v>
      </c>
      <c r="AR54" s="126" t="s">
        <v>71</v>
      </c>
      <c r="AS54" s="126" t="s">
        <v>71</v>
      </c>
      <c r="AT54" s="126" t="s">
        <v>71</v>
      </c>
      <c r="AU54" s="126" t="s">
        <v>71</v>
      </c>
      <c r="AV54" s="126" t="s">
        <v>71</v>
      </c>
      <c r="AW54" s="126" t="s">
        <v>71</v>
      </c>
      <c r="AX54" s="126" t="s">
        <v>71</v>
      </c>
      <c r="AY54" s="126" t="s">
        <v>71</v>
      </c>
      <c r="AZ54" s="126" t="s">
        <v>71</v>
      </c>
      <c r="BA54" s="126" t="s">
        <v>71</v>
      </c>
      <c r="BB54" s="126" t="s">
        <v>71</v>
      </c>
      <c r="BC54" s="126" t="s">
        <v>71</v>
      </c>
      <c r="BD54" s="126" t="s">
        <v>71</v>
      </c>
      <c r="BE54" s="126" t="s">
        <v>71</v>
      </c>
      <c r="BF54" s="126" t="s">
        <v>71</v>
      </c>
      <c r="BG54" s="126" t="s">
        <v>71</v>
      </c>
      <c r="BH54" s="126" t="s">
        <v>71</v>
      </c>
      <c r="BI54" s="126" t="s">
        <v>71</v>
      </c>
      <c r="BJ54" s="126" t="s">
        <v>71</v>
      </c>
      <c r="BK54" s="126" t="s">
        <v>71</v>
      </c>
      <c r="BL54" s="126" t="s">
        <v>71</v>
      </c>
      <c r="BM54" s="126" t="s">
        <v>71</v>
      </c>
      <c r="BN54" s="126" t="s">
        <v>71</v>
      </c>
      <c r="BO54" s="126" t="s">
        <v>71</v>
      </c>
      <c r="BP54" s="126" t="s">
        <v>71</v>
      </c>
      <c r="BQ54" s="126" t="s">
        <v>71</v>
      </c>
      <c r="BR54" s="126" t="s">
        <v>71</v>
      </c>
      <c r="BS54" s="126" t="s">
        <v>71</v>
      </c>
      <c r="BT54" s="126" t="s">
        <v>71</v>
      </c>
      <c r="BU54" s="126" t="s">
        <v>60</v>
      </c>
      <c r="BV54" s="126" t="s">
        <v>71</v>
      </c>
      <c r="BW54" s="126" t="s">
        <v>60</v>
      </c>
      <c r="BX54" s="126" t="s">
        <v>71</v>
      </c>
      <c r="BY54" s="126" t="s">
        <v>60</v>
      </c>
      <c r="BZ54" s="126" t="s">
        <v>71</v>
      </c>
      <c r="CA54" s="126" t="s">
        <v>60</v>
      </c>
      <c r="CB54" s="126" t="s">
        <v>71</v>
      </c>
      <c r="CC54" s="126" t="s">
        <v>60</v>
      </c>
      <c r="CD54" s="126" t="s">
        <v>71</v>
      </c>
      <c r="CE54" s="126" t="s">
        <v>60</v>
      </c>
      <c r="CF54" s="126" t="s">
        <v>71</v>
      </c>
      <c r="CG54" s="126" t="s">
        <v>60</v>
      </c>
      <c r="CH54" s="126" t="s">
        <v>71</v>
      </c>
      <c r="CI54" s="126" t="s">
        <v>60</v>
      </c>
      <c r="CJ54" s="126" t="s">
        <v>71</v>
      </c>
      <c r="CK54" s="126" t="s">
        <v>60</v>
      </c>
      <c r="CL54" s="126" t="s">
        <v>71</v>
      </c>
      <c r="CM54" s="126" t="s">
        <v>60</v>
      </c>
      <c r="CN54" s="126" t="s">
        <v>71</v>
      </c>
      <c r="CO54" s="126" t="s">
        <v>60</v>
      </c>
      <c r="CP54" s="126" t="s">
        <v>71</v>
      </c>
      <c r="CQ54" s="126" t="s">
        <v>60</v>
      </c>
      <c r="CR54" s="126" t="s">
        <v>71</v>
      </c>
      <c r="CS54" s="126" t="s">
        <v>60</v>
      </c>
      <c r="CT54" s="126" t="s">
        <v>71</v>
      </c>
      <c r="CU54" s="126" t="s">
        <v>60</v>
      </c>
      <c r="CV54" s="126" t="s">
        <v>71</v>
      </c>
      <c r="CW54" s="126" t="s">
        <v>60</v>
      </c>
      <c r="CX54" s="126" t="s">
        <v>71</v>
      </c>
      <c r="CY54" s="126" t="s">
        <v>60</v>
      </c>
      <c r="CZ54" s="126" t="s">
        <v>71</v>
      </c>
      <c r="DA54" s="126" t="s">
        <v>60</v>
      </c>
      <c r="DB54" s="126" t="s">
        <v>71</v>
      </c>
      <c r="DC54" s="126" t="s">
        <v>60</v>
      </c>
      <c r="DD54" s="126" t="s">
        <v>71</v>
      </c>
      <c r="DE54" s="137" t="str">
        <f t="shared" si="8"/>
        <v>9&lt; YEARS OLD</v>
      </c>
      <c r="DF54" s="137">
        <f t="shared" si="26"/>
        <v>1</v>
      </c>
    </row>
    <row r="55" spans="1:110" x14ac:dyDescent="0.2">
      <c r="A55" s="160"/>
      <c r="B55" s="5">
        <f t="shared" si="16"/>
        <v>53</v>
      </c>
      <c r="C55" s="124" t="str">
        <f t="shared" si="29"/>
        <v>CNS89</v>
      </c>
      <c r="D55" s="125" t="s">
        <v>187</v>
      </c>
      <c r="E55" s="124" t="str">
        <f t="shared" si="21"/>
        <v>CNS89_NEOPLASM</v>
      </c>
      <c r="F55" s="124"/>
      <c r="G55" s="123">
        <f t="shared" si="28"/>
        <v>89</v>
      </c>
      <c r="H55" s="124"/>
      <c r="I55" s="124"/>
      <c r="J55" s="126" t="s">
        <v>60</v>
      </c>
      <c r="K55" s="126" t="s">
        <v>180</v>
      </c>
      <c r="L55" s="126" t="s">
        <v>300</v>
      </c>
      <c r="M55" s="124" t="s">
        <v>316</v>
      </c>
      <c r="N55" s="124" t="s">
        <v>314</v>
      </c>
      <c r="O55" s="124" t="s">
        <v>181</v>
      </c>
      <c r="P55" s="124" t="s">
        <v>181</v>
      </c>
      <c r="Q55" s="124" t="s">
        <v>184</v>
      </c>
      <c r="R55" s="126" t="s">
        <v>182</v>
      </c>
      <c r="S55" s="124" t="s">
        <v>60</v>
      </c>
      <c r="T55" s="124"/>
      <c r="U55" s="126" t="s">
        <v>60</v>
      </c>
      <c r="V55" s="126" t="s">
        <v>174</v>
      </c>
      <c r="W55" s="126"/>
      <c r="X55" s="126"/>
      <c r="Y55" s="129">
        <v>11.5</v>
      </c>
      <c r="Z55" s="129">
        <f t="shared" si="30"/>
        <v>588</v>
      </c>
      <c r="AA55" s="126" t="s">
        <v>71</v>
      </c>
      <c r="AB55" s="126" t="s">
        <v>60</v>
      </c>
      <c r="AC55" s="126" t="s">
        <v>60</v>
      </c>
      <c r="AD55" s="126" t="s">
        <v>71</v>
      </c>
      <c r="AE55" s="126" t="s">
        <v>71</v>
      </c>
      <c r="AF55" s="127" t="s">
        <v>68</v>
      </c>
      <c r="AG55" s="126" t="s">
        <v>60</v>
      </c>
      <c r="AH55" s="126" t="s">
        <v>71</v>
      </c>
      <c r="AI55" s="126" t="s">
        <v>60</v>
      </c>
      <c r="AJ55" s="126" t="s">
        <v>71</v>
      </c>
      <c r="AK55" s="126" t="s">
        <v>60</v>
      </c>
      <c r="AL55" s="126" t="s">
        <v>60</v>
      </c>
      <c r="AM55" s="126" t="s">
        <v>60</v>
      </c>
      <c r="AN55" s="126" t="s">
        <v>60</v>
      </c>
      <c r="AO55" s="126" t="s">
        <v>71</v>
      </c>
      <c r="AP55" s="126" t="s">
        <v>71</v>
      </c>
      <c r="AQ55" s="126" t="s">
        <v>71</v>
      </c>
      <c r="AR55" s="126" t="s">
        <v>71</v>
      </c>
      <c r="AS55" s="126" t="s">
        <v>71</v>
      </c>
      <c r="AT55" s="126" t="s">
        <v>71</v>
      </c>
      <c r="AU55" s="126" t="s">
        <v>71</v>
      </c>
      <c r="AV55" s="126" t="s">
        <v>71</v>
      </c>
      <c r="AW55" s="126" t="s">
        <v>71</v>
      </c>
      <c r="AX55" s="126" t="s">
        <v>71</v>
      </c>
      <c r="AY55" s="126" t="s">
        <v>71</v>
      </c>
      <c r="AZ55" s="126" t="s">
        <v>71</v>
      </c>
      <c r="BA55" s="126" t="s">
        <v>71</v>
      </c>
      <c r="BB55" s="126" t="s">
        <v>71</v>
      </c>
      <c r="BC55" s="126" t="s">
        <v>71</v>
      </c>
      <c r="BD55" s="126" t="s">
        <v>71</v>
      </c>
      <c r="BE55" s="126" t="s">
        <v>71</v>
      </c>
      <c r="BF55" s="126" t="s">
        <v>71</v>
      </c>
      <c r="BG55" s="126" t="s">
        <v>71</v>
      </c>
      <c r="BH55" s="126" t="s">
        <v>71</v>
      </c>
      <c r="BI55" s="126" t="s">
        <v>71</v>
      </c>
      <c r="BJ55" s="126" t="s">
        <v>71</v>
      </c>
      <c r="BK55" s="126" t="s">
        <v>71</v>
      </c>
      <c r="BL55" s="126" t="s">
        <v>71</v>
      </c>
      <c r="BM55" s="126" t="s">
        <v>71</v>
      </c>
      <c r="BN55" s="126" t="s">
        <v>71</v>
      </c>
      <c r="BO55" s="126" t="s">
        <v>71</v>
      </c>
      <c r="BP55" s="126" t="s">
        <v>71</v>
      </c>
      <c r="BQ55" s="126" t="s">
        <v>71</v>
      </c>
      <c r="BR55" s="126" t="s">
        <v>71</v>
      </c>
      <c r="BS55" s="126" t="s">
        <v>71</v>
      </c>
      <c r="BT55" s="126" t="s">
        <v>71</v>
      </c>
      <c r="BU55" s="126" t="s">
        <v>60</v>
      </c>
      <c r="BV55" s="126" t="s">
        <v>71</v>
      </c>
      <c r="BW55" s="126" t="s">
        <v>60</v>
      </c>
      <c r="BX55" s="126" t="s">
        <v>71</v>
      </c>
      <c r="BY55" s="126" t="s">
        <v>60</v>
      </c>
      <c r="BZ55" s="126" t="s">
        <v>71</v>
      </c>
      <c r="CA55" s="126" t="s">
        <v>60</v>
      </c>
      <c r="CB55" s="126" t="s">
        <v>71</v>
      </c>
      <c r="CC55" s="126" t="s">
        <v>60</v>
      </c>
      <c r="CD55" s="126" t="s">
        <v>71</v>
      </c>
      <c r="CE55" s="126" t="s">
        <v>60</v>
      </c>
      <c r="CF55" s="126" t="s">
        <v>71</v>
      </c>
      <c r="CG55" s="126" t="s">
        <v>60</v>
      </c>
      <c r="CH55" s="126" t="s">
        <v>71</v>
      </c>
      <c r="CI55" s="126" t="s">
        <v>60</v>
      </c>
      <c r="CJ55" s="126" t="s">
        <v>71</v>
      </c>
      <c r="CK55" s="126" t="s">
        <v>60</v>
      </c>
      <c r="CL55" s="126" t="s">
        <v>71</v>
      </c>
      <c r="CM55" s="126" t="s">
        <v>60</v>
      </c>
      <c r="CN55" s="126" t="s">
        <v>71</v>
      </c>
      <c r="CO55" s="126" t="s">
        <v>60</v>
      </c>
      <c r="CP55" s="126" t="s">
        <v>71</v>
      </c>
      <c r="CQ55" s="126" t="s">
        <v>60</v>
      </c>
      <c r="CR55" s="126" t="s">
        <v>71</v>
      </c>
      <c r="CS55" s="126" t="s">
        <v>60</v>
      </c>
      <c r="CT55" s="126" t="s">
        <v>71</v>
      </c>
      <c r="CU55" s="126" t="s">
        <v>60</v>
      </c>
      <c r="CV55" s="126" t="s">
        <v>71</v>
      </c>
      <c r="CW55" s="126" t="s">
        <v>60</v>
      </c>
      <c r="CX55" s="126" t="s">
        <v>71</v>
      </c>
      <c r="CY55" s="126" t="s">
        <v>60</v>
      </c>
      <c r="CZ55" s="126" t="s">
        <v>71</v>
      </c>
      <c r="DA55" s="126" t="s">
        <v>60</v>
      </c>
      <c r="DB55" s="126" t="s">
        <v>71</v>
      </c>
      <c r="DC55" s="126" t="s">
        <v>60</v>
      </c>
      <c r="DD55" s="126" t="s">
        <v>71</v>
      </c>
      <c r="DE55" s="137" t="str">
        <f t="shared" si="8"/>
        <v>9&lt; YEARS OLD</v>
      </c>
      <c r="DF55" s="137">
        <f t="shared" si="26"/>
        <v>1</v>
      </c>
    </row>
    <row r="56" spans="1:110" x14ac:dyDescent="0.2">
      <c r="A56" s="160"/>
      <c r="B56" s="5">
        <f t="shared" si="16"/>
        <v>54</v>
      </c>
      <c r="C56" s="124" t="str">
        <f t="shared" si="29"/>
        <v>CNS90</v>
      </c>
      <c r="D56" s="125" t="s">
        <v>188</v>
      </c>
      <c r="E56" s="124" t="str">
        <f t="shared" si="21"/>
        <v>CNS90_NEOPLASM</v>
      </c>
      <c r="F56" s="124"/>
      <c r="G56" s="123">
        <f t="shared" si="28"/>
        <v>90</v>
      </c>
      <c r="H56" s="124"/>
      <c r="I56" s="124"/>
      <c r="J56" s="126" t="s">
        <v>60</v>
      </c>
      <c r="K56" s="126" t="s">
        <v>180</v>
      </c>
      <c r="L56" s="126" t="s">
        <v>300</v>
      </c>
      <c r="M56" s="124" t="s">
        <v>316</v>
      </c>
      <c r="N56" s="124" t="s">
        <v>314</v>
      </c>
      <c r="O56" s="124" t="s">
        <v>181</v>
      </c>
      <c r="P56" s="124" t="s">
        <v>181</v>
      </c>
      <c r="Q56" s="124" t="s">
        <v>184</v>
      </c>
      <c r="R56" s="126" t="s">
        <v>182</v>
      </c>
      <c r="S56" s="124" t="s">
        <v>60</v>
      </c>
      <c r="T56" s="124"/>
      <c r="U56" s="126" t="s">
        <v>60</v>
      </c>
      <c r="V56" s="126" t="s">
        <v>176</v>
      </c>
      <c r="W56" s="126"/>
      <c r="X56" s="126"/>
      <c r="Y56" s="129">
        <v>14</v>
      </c>
      <c r="Z56" s="129">
        <f t="shared" si="30"/>
        <v>708</v>
      </c>
      <c r="AA56" s="126" t="s">
        <v>71</v>
      </c>
      <c r="AB56" s="126" t="s">
        <v>60</v>
      </c>
      <c r="AC56" s="126" t="s">
        <v>60</v>
      </c>
      <c r="AD56" s="126" t="s">
        <v>71</v>
      </c>
      <c r="AE56" s="126" t="s">
        <v>71</v>
      </c>
      <c r="AF56" s="127" t="s">
        <v>68</v>
      </c>
      <c r="AG56" s="126" t="s">
        <v>60</v>
      </c>
      <c r="AH56" s="126" t="s">
        <v>71</v>
      </c>
      <c r="AI56" s="126" t="s">
        <v>60</v>
      </c>
      <c r="AJ56" s="126" t="s">
        <v>71</v>
      </c>
      <c r="AK56" s="126" t="s">
        <v>60</v>
      </c>
      <c r="AL56" s="126" t="s">
        <v>60</v>
      </c>
      <c r="AM56" s="126" t="s">
        <v>60</v>
      </c>
      <c r="AN56" s="126" t="s">
        <v>60</v>
      </c>
      <c r="AO56" s="126" t="s">
        <v>71</v>
      </c>
      <c r="AP56" s="126" t="s">
        <v>71</v>
      </c>
      <c r="AQ56" s="126" t="s">
        <v>71</v>
      </c>
      <c r="AR56" s="126" t="s">
        <v>71</v>
      </c>
      <c r="AS56" s="126" t="s">
        <v>71</v>
      </c>
      <c r="AT56" s="126" t="s">
        <v>71</v>
      </c>
      <c r="AU56" s="126" t="s">
        <v>71</v>
      </c>
      <c r="AV56" s="126" t="s">
        <v>71</v>
      </c>
      <c r="AW56" s="126" t="s">
        <v>71</v>
      </c>
      <c r="AX56" s="126" t="s">
        <v>71</v>
      </c>
      <c r="AY56" s="126" t="s">
        <v>71</v>
      </c>
      <c r="AZ56" s="126" t="s">
        <v>71</v>
      </c>
      <c r="BA56" s="126" t="s">
        <v>71</v>
      </c>
      <c r="BB56" s="126" t="s">
        <v>71</v>
      </c>
      <c r="BC56" s="126" t="s">
        <v>71</v>
      </c>
      <c r="BD56" s="126" t="s">
        <v>71</v>
      </c>
      <c r="BE56" s="126" t="s">
        <v>71</v>
      </c>
      <c r="BF56" s="126" t="s">
        <v>71</v>
      </c>
      <c r="BG56" s="126" t="s">
        <v>71</v>
      </c>
      <c r="BH56" s="126" t="s">
        <v>71</v>
      </c>
      <c r="BI56" s="126" t="s">
        <v>71</v>
      </c>
      <c r="BJ56" s="126" t="s">
        <v>71</v>
      </c>
      <c r="BK56" s="126" t="s">
        <v>71</v>
      </c>
      <c r="BL56" s="126" t="s">
        <v>71</v>
      </c>
      <c r="BM56" s="126" t="s">
        <v>71</v>
      </c>
      <c r="BN56" s="126" t="s">
        <v>71</v>
      </c>
      <c r="BO56" s="126" t="s">
        <v>71</v>
      </c>
      <c r="BP56" s="126" t="s">
        <v>71</v>
      </c>
      <c r="BQ56" s="126" t="s">
        <v>71</v>
      </c>
      <c r="BR56" s="126" t="s">
        <v>71</v>
      </c>
      <c r="BS56" s="126" t="s">
        <v>71</v>
      </c>
      <c r="BT56" s="126" t="s">
        <v>71</v>
      </c>
      <c r="BU56" s="126" t="s">
        <v>60</v>
      </c>
      <c r="BV56" s="126" t="s">
        <v>71</v>
      </c>
      <c r="BW56" s="126" t="s">
        <v>60</v>
      </c>
      <c r="BX56" s="126" t="s">
        <v>71</v>
      </c>
      <c r="BY56" s="126" t="s">
        <v>60</v>
      </c>
      <c r="BZ56" s="126" t="s">
        <v>71</v>
      </c>
      <c r="CA56" s="126" t="s">
        <v>60</v>
      </c>
      <c r="CB56" s="126" t="s">
        <v>71</v>
      </c>
      <c r="CC56" s="126" t="s">
        <v>60</v>
      </c>
      <c r="CD56" s="126" t="s">
        <v>71</v>
      </c>
      <c r="CE56" s="126" t="s">
        <v>60</v>
      </c>
      <c r="CF56" s="126" t="s">
        <v>71</v>
      </c>
      <c r="CG56" s="126" t="s">
        <v>60</v>
      </c>
      <c r="CH56" s="126" t="s">
        <v>71</v>
      </c>
      <c r="CI56" s="126" t="s">
        <v>60</v>
      </c>
      <c r="CJ56" s="126" t="s">
        <v>71</v>
      </c>
      <c r="CK56" s="126" t="s">
        <v>60</v>
      </c>
      <c r="CL56" s="126" t="s">
        <v>71</v>
      </c>
      <c r="CM56" s="126" t="s">
        <v>60</v>
      </c>
      <c r="CN56" s="126" t="s">
        <v>71</v>
      </c>
      <c r="CO56" s="126" t="s">
        <v>60</v>
      </c>
      <c r="CP56" s="126" t="s">
        <v>71</v>
      </c>
      <c r="CQ56" s="126" t="s">
        <v>60</v>
      </c>
      <c r="CR56" s="126" t="s">
        <v>71</v>
      </c>
      <c r="CS56" s="126" t="s">
        <v>60</v>
      </c>
      <c r="CT56" s="126" t="s">
        <v>71</v>
      </c>
      <c r="CU56" s="126" t="s">
        <v>60</v>
      </c>
      <c r="CV56" s="126" t="s">
        <v>71</v>
      </c>
      <c r="CW56" s="126" t="s">
        <v>60</v>
      </c>
      <c r="CX56" s="126" t="s">
        <v>71</v>
      </c>
      <c r="CY56" s="126" t="s">
        <v>60</v>
      </c>
      <c r="CZ56" s="126" t="s">
        <v>71</v>
      </c>
      <c r="DA56" s="126" t="s">
        <v>60</v>
      </c>
      <c r="DB56" s="126" t="s">
        <v>71</v>
      </c>
      <c r="DC56" s="126" t="s">
        <v>60</v>
      </c>
      <c r="DD56" s="126" t="s">
        <v>71</v>
      </c>
      <c r="DE56" s="137" t="str">
        <f t="shared" si="8"/>
        <v>9&lt; YEARS OLD</v>
      </c>
      <c r="DF56" s="137">
        <f t="shared" si="26"/>
        <v>1</v>
      </c>
    </row>
    <row r="57" spans="1:110" x14ac:dyDescent="0.2">
      <c r="A57" s="160"/>
      <c r="B57" s="5">
        <f t="shared" si="16"/>
        <v>55</v>
      </c>
      <c r="C57" s="124" t="str">
        <f t="shared" si="29"/>
        <v>CNS91</v>
      </c>
      <c r="D57" s="125" t="s">
        <v>189</v>
      </c>
      <c r="E57" s="124" t="str">
        <f t="shared" ref="E57:E62" si="31">CONCATENATE(C57,"_",O57)</f>
        <v>CNS91_GERMINOMA</v>
      </c>
      <c r="F57" s="124"/>
      <c r="G57" s="123">
        <f t="shared" si="28"/>
        <v>91</v>
      </c>
      <c r="H57" s="124"/>
      <c r="I57" s="124"/>
      <c r="J57" s="126" t="s">
        <v>60</v>
      </c>
      <c r="K57" s="126" t="s">
        <v>180</v>
      </c>
      <c r="L57" s="126" t="s">
        <v>300</v>
      </c>
      <c r="M57" s="124" t="s">
        <v>316</v>
      </c>
      <c r="N57" s="124" t="s">
        <v>314</v>
      </c>
      <c r="O57" s="124" t="s">
        <v>181</v>
      </c>
      <c r="P57" s="124" t="s">
        <v>181</v>
      </c>
      <c r="Q57" s="124" t="s">
        <v>302</v>
      </c>
      <c r="R57" s="126" t="s">
        <v>182</v>
      </c>
      <c r="S57" s="124" t="s">
        <v>60</v>
      </c>
      <c r="T57" s="124"/>
      <c r="U57" s="126" t="s">
        <v>60</v>
      </c>
      <c r="V57" s="126" t="s">
        <v>174</v>
      </c>
      <c r="W57" s="126"/>
      <c r="X57" s="126"/>
      <c r="Y57" s="129">
        <v>4.3</v>
      </c>
      <c r="Z57" s="129">
        <f t="shared" si="30"/>
        <v>242.39999999999998</v>
      </c>
      <c r="AA57" s="126" t="s">
        <v>71</v>
      </c>
      <c r="AB57" s="126" t="s">
        <v>60</v>
      </c>
      <c r="AC57" s="126" t="s">
        <v>60</v>
      </c>
      <c r="AD57" s="126" t="s">
        <v>71</v>
      </c>
      <c r="AE57" s="126" t="s">
        <v>71</v>
      </c>
      <c r="AF57" s="127" t="s">
        <v>68</v>
      </c>
      <c r="AG57" s="126" t="s">
        <v>60</v>
      </c>
      <c r="AH57" s="126" t="s">
        <v>71</v>
      </c>
      <c r="AI57" s="126" t="s">
        <v>60</v>
      </c>
      <c r="AJ57" s="126" t="s">
        <v>71</v>
      </c>
      <c r="AK57" s="126" t="s">
        <v>60</v>
      </c>
      <c r="AL57" s="126" t="s">
        <v>60</v>
      </c>
      <c r="AM57" s="126" t="s">
        <v>60</v>
      </c>
      <c r="AN57" s="126" t="s">
        <v>60</v>
      </c>
      <c r="AO57" s="126" t="s">
        <v>71</v>
      </c>
      <c r="AP57" s="126" t="s">
        <v>71</v>
      </c>
      <c r="AQ57" s="126" t="s">
        <v>71</v>
      </c>
      <c r="AR57" s="126" t="s">
        <v>71</v>
      </c>
      <c r="AS57" s="126" t="s">
        <v>71</v>
      </c>
      <c r="AT57" s="126" t="s">
        <v>71</v>
      </c>
      <c r="AU57" s="126" t="s">
        <v>71</v>
      </c>
      <c r="AV57" s="126" t="s">
        <v>71</v>
      </c>
      <c r="AW57" s="126" t="s">
        <v>71</v>
      </c>
      <c r="AX57" s="126" t="s">
        <v>71</v>
      </c>
      <c r="AY57" s="126" t="s">
        <v>71</v>
      </c>
      <c r="AZ57" s="126" t="s">
        <v>71</v>
      </c>
      <c r="BA57" s="126" t="s">
        <v>71</v>
      </c>
      <c r="BB57" s="126" t="s">
        <v>71</v>
      </c>
      <c r="BC57" s="126" t="s">
        <v>71</v>
      </c>
      <c r="BD57" s="126" t="s">
        <v>71</v>
      </c>
      <c r="BE57" s="126" t="s">
        <v>71</v>
      </c>
      <c r="BF57" s="126" t="s">
        <v>71</v>
      </c>
      <c r="BG57" s="126" t="s">
        <v>71</v>
      </c>
      <c r="BH57" s="126" t="s">
        <v>71</v>
      </c>
      <c r="BI57" s="126" t="s">
        <v>71</v>
      </c>
      <c r="BJ57" s="126" t="s">
        <v>71</v>
      </c>
      <c r="BK57" s="126" t="s">
        <v>71</v>
      </c>
      <c r="BL57" s="126" t="s">
        <v>71</v>
      </c>
      <c r="BM57" s="126" t="s">
        <v>71</v>
      </c>
      <c r="BN57" s="126" t="s">
        <v>71</v>
      </c>
      <c r="BO57" s="126" t="s">
        <v>71</v>
      </c>
      <c r="BP57" s="126" t="s">
        <v>71</v>
      </c>
      <c r="BQ57" s="126" t="s">
        <v>71</v>
      </c>
      <c r="BR57" s="126" t="s">
        <v>71</v>
      </c>
      <c r="BS57" s="126" t="s">
        <v>71</v>
      </c>
      <c r="BT57" s="126" t="s">
        <v>71</v>
      </c>
      <c r="BU57" s="126" t="s">
        <v>60</v>
      </c>
      <c r="BV57" s="126" t="s">
        <v>71</v>
      </c>
      <c r="BW57" s="126" t="s">
        <v>60</v>
      </c>
      <c r="BX57" s="126" t="s">
        <v>71</v>
      </c>
      <c r="BY57" s="126" t="s">
        <v>60</v>
      </c>
      <c r="BZ57" s="126" t="s">
        <v>71</v>
      </c>
      <c r="CA57" s="126" t="s">
        <v>60</v>
      </c>
      <c r="CB57" s="126" t="s">
        <v>71</v>
      </c>
      <c r="CC57" s="126" t="s">
        <v>60</v>
      </c>
      <c r="CD57" s="126" t="s">
        <v>71</v>
      </c>
      <c r="CE57" s="126" t="s">
        <v>60</v>
      </c>
      <c r="CF57" s="126" t="s">
        <v>71</v>
      </c>
      <c r="CG57" s="126" t="s">
        <v>60</v>
      </c>
      <c r="CH57" s="126" t="s">
        <v>71</v>
      </c>
      <c r="CI57" s="126" t="s">
        <v>60</v>
      </c>
      <c r="CJ57" s="126" t="s">
        <v>71</v>
      </c>
      <c r="CK57" s="126" t="s">
        <v>60</v>
      </c>
      <c r="CL57" s="126" t="s">
        <v>71</v>
      </c>
      <c r="CM57" s="126" t="s">
        <v>60</v>
      </c>
      <c r="CN57" s="126" t="s">
        <v>71</v>
      </c>
      <c r="CO57" s="126" t="s">
        <v>60</v>
      </c>
      <c r="CP57" s="126" t="s">
        <v>71</v>
      </c>
      <c r="CQ57" s="126" t="s">
        <v>60</v>
      </c>
      <c r="CR57" s="126" t="s">
        <v>71</v>
      </c>
      <c r="CS57" s="126" t="s">
        <v>60</v>
      </c>
      <c r="CT57" s="126" t="s">
        <v>71</v>
      </c>
      <c r="CU57" s="126" t="s">
        <v>60</v>
      </c>
      <c r="CV57" s="126" t="s">
        <v>71</v>
      </c>
      <c r="CW57" s="126" t="s">
        <v>60</v>
      </c>
      <c r="CX57" s="126" t="s">
        <v>71</v>
      </c>
      <c r="CY57" s="126" t="s">
        <v>60</v>
      </c>
      <c r="CZ57" s="126" t="s">
        <v>71</v>
      </c>
      <c r="DA57" s="126" t="s">
        <v>60</v>
      </c>
      <c r="DB57" s="126" t="s">
        <v>71</v>
      </c>
      <c r="DC57" s="126" t="s">
        <v>60</v>
      </c>
      <c r="DD57" s="126" t="s">
        <v>71</v>
      </c>
      <c r="DE57" s="137" t="str">
        <f t="shared" si="8"/>
        <v>3&lt;YEARS OLD&lt;9</v>
      </c>
      <c r="DF57" s="137">
        <f t="shared" ref="DF57:DF62" si="32">IF(O57="CONTROL",0,1)</f>
        <v>1</v>
      </c>
    </row>
    <row r="58" spans="1:110" x14ac:dyDescent="0.2">
      <c r="A58" s="160"/>
      <c r="B58" s="5">
        <f t="shared" si="16"/>
        <v>56</v>
      </c>
      <c r="C58" s="124" t="str">
        <f t="shared" si="29"/>
        <v>CNS92</v>
      </c>
      <c r="D58" s="125" t="s">
        <v>190</v>
      </c>
      <c r="E58" s="124" t="str">
        <f t="shared" si="31"/>
        <v>CNS92_GERMINOMA</v>
      </c>
      <c r="F58" s="124"/>
      <c r="G58" s="123">
        <f t="shared" si="28"/>
        <v>92</v>
      </c>
      <c r="H58" s="124"/>
      <c r="I58" s="124"/>
      <c r="J58" s="126" t="s">
        <v>60</v>
      </c>
      <c r="K58" s="126" t="s">
        <v>180</v>
      </c>
      <c r="L58" s="126" t="s">
        <v>300</v>
      </c>
      <c r="M58" s="124" t="s">
        <v>316</v>
      </c>
      <c r="N58" s="124" t="s">
        <v>314</v>
      </c>
      <c r="O58" s="124" t="s">
        <v>181</v>
      </c>
      <c r="P58" s="124" t="s">
        <v>181</v>
      </c>
      <c r="Q58" s="124" t="s">
        <v>303</v>
      </c>
      <c r="R58" s="126" t="s">
        <v>182</v>
      </c>
      <c r="S58" s="124" t="s">
        <v>60</v>
      </c>
      <c r="T58" s="124"/>
      <c r="U58" s="126" t="s">
        <v>60</v>
      </c>
      <c r="V58" s="126" t="s">
        <v>174</v>
      </c>
      <c r="W58" s="126"/>
      <c r="X58" s="126"/>
      <c r="Y58" s="129">
        <v>10</v>
      </c>
      <c r="Z58" s="129">
        <f t="shared" si="30"/>
        <v>516</v>
      </c>
      <c r="AA58" s="126" t="s">
        <v>71</v>
      </c>
      <c r="AB58" s="126" t="s">
        <v>60</v>
      </c>
      <c r="AC58" s="126" t="s">
        <v>60</v>
      </c>
      <c r="AD58" s="126" t="s">
        <v>71</v>
      </c>
      <c r="AE58" s="126" t="s">
        <v>71</v>
      </c>
      <c r="AF58" s="127" t="s">
        <v>68</v>
      </c>
      <c r="AG58" s="126" t="s">
        <v>60</v>
      </c>
      <c r="AH58" s="126" t="s">
        <v>71</v>
      </c>
      <c r="AI58" s="126" t="s">
        <v>60</v>
      </c>
      <c r="AJ58" s="126" t="s">
        <v>71</v>
      </c>
      <c r="AK58" s="126" t="s">
        <v>60</v>
      </c>
      <c r="AL58" s="126" t="s">
        <v>60</v>
      </c>
      <c r="AM58" s="126" t="s">
        <v>60</v>
      </c>
      <c r="AN58" s="126" t="s">
        <v>60</v>
      </c>
      <c r="AO58" s="126" t="s">
        <v>71</v>
      </c>
      <c r="AP58" s="126" t="s">
        <v>71</v>
      </c>
      <c r="AQ58" s="126" t="s">
        <v>71</v>
      </c>
      <c r="AR58" s="126" t="s">
        <v>71</v>
      </c>
      <c r="AS58" s="126" t="s">
        <v>71</v>
      </c>
      <c r="AT58" s="126" t="s">
        <v>71</v>
      </c>
      <c r="AU58" s="126" t="s">
        <v>71</v>
      </c>
      <c r="AV58" s="126" t="s">
        <v>71</v>
      </c>
      <c r="AW58" s="126" t="s">
        <v>71</v>
      </c>
      <c r="AX58" s="126" t="s">
        <v>71</v>
      </c>
      <c r="AY58" s="126" t="s">
        <v>71</v>
      </c>
      <c r="AZ58" s="126" t="s">
        <v>71</v>
      </c>
      <c r="BA58" s="126" t="s">
        <v>71</v>
      </c>
      <c r="BB58" s="126" t="s">
        <v>71</v>
      </c>
      <c r="BC58" s="126" t="s">
        <v>71</v>
      </c>
      <c r="BD58" s="126" t="s">
        <v>71</v>
      </c>
      <c r="BE58" s="126" t="s">
        <v>71</v>
      </c>
      <c r="BF58" s="126" t="s">
        <v>71</v>
      </c>
      <c r="BG58" s="126" t="s">
        <v>71</v>
      </c>
      <c r="BH58" s="126" t="s">
        <v>71</v>
      </c>
      <c r="BI58" s="126" t="s">
        <v>71</v>
      </c>
      <c r="BJ58" s="126" t="s">
        <v>71</v>
      </c>
      <c r="BK58" s="126" t="s">
        <v>71</v>
      </c>
      <c r="BL58" s="126" t="s">
        <v>71</v>
      </c>
      <c r="BM58" s="126" t="s">
        <v>71</v>
      </c>
      <c r="BN58" s="126" t="s">
        <v>71</v>
      </c>
      <c r="BO58" s="126" t="s">
        <v>71</v>
      </c>
      <c r="BP58" s="126" t="s">
        <v>71</v>
      </c>
      <c r="BQ58" s="126" t="s">
        <v>71</v>
      </c>
      <c r="BR58" s="126" t="s">
        <v>71</v>
      </c>
      <c r="BS58" s="126" t="s">
        <v>71</v>
      </c>
      <c r="BT58" s="126" t="s">
        <v>71</v>
      </c>
      <c r="BU58" s="126" t="s">
        <v>60</v>
      </c>
      <c r="BV58" s="126" t="s">
        <v>71</v>
      </c>
      <c r="BW58" s="126" t="s">
        <v>60</v>
      </c>
      <c r="BX58" s="126" t="s">
        <v>71</v>
      </c>
      <c r="BY58" s="126" t="s">
        <v>60</v>
      </c>
      <c r="BZ58" s="126" t="s">
        <v>71</v>
      </c>
      <c r="CA58" s="126" t="s">
        <v>60</v>
      </c>
      <c r="CB58" s="126" t="s">
        <v>71</v>
      </c>
      <c r="CC58" s="126" t="s">
        <v>60</v>
      </c>
      <c r="CD58" s="126" t="s">
        <v>71</v>
      </c>
      <c r="CE58" s="126" t="s">
        <v>60</v>
      </c>
      <c r="CF58" s="126" t="s">
        <v>71</v>
      </c>
      <c r="CG58" s="126" t="s">
        <v>60</v>
      </c>
      <c r="CH58" s="126" t="s">
        <v>71</v>
      </c>
      <c r="CI58" s="126" t="s">
        <v>60</v>
      </c>
      <c r="CJ58" s="126" t="s">
        <v>71</v>
      </c>
      <c r="CK58" s="126" t="s">
        <v>60</v>
      </c>
      <c r="CL58" s="126" t="s">
        <v>71</v>
      </c>
      <c r="CM58" s="126" t="s">
        <v>60</v>
      </c>
      <c r="CN58" s="126" t="s">
        <v>71</v>
      </c>
      <c r="CO58" s="126" t="s">
        <v>60</v>
      </c>
      <c r="CP58" s="126" t="s">
        <v>71</v>
      </c>
      <c r="CQ58" s="126" t="s">
        <v>60</v>
      </c>
      <c r="CR58" s="126" t="s">
        <v>71</v>
      </c>
      <c r="CS58" s="126" t="s">
        <v>60</v>
      </c>
      <c r="CT58" s="126" t="s">
        <v>71</v>
      </c>
      <c r="CU58" s="126" t="s">
        <v>60</v>
      </c>
      <c r="CV58" s="126" t="s">
        <v>71</v>
      </c>
      <c r="CW58" s="126" t="s">
        <v>60</v>
      </c>
      <c r="CX58" s="126" t="s">
        <v>71</v>
      </c>
      <c r="CY58" s="126" t="s">
        <v>60</v>
      </c>
      <c r="CZ58" s="126" t="s">
        <v>71</v>
      </c>
      <c r="DA58" s="126" t="s">
        <v>60</v>
      </c>
      <c r="DB58" s="126" t="s">
        <v>71</v>
      </c>
      <c r="DC58" s="126" t="s">
        <v>60</v>
      </c>
      <c r="DD58" s="126" t="s">
        <v>71</v>
      </c>
      <c r="DE58" s="137" t="str">
        <f t="shared" si="8"/>
        <v>9&lt; YEARS OLD</v>
      </c>
      <c r="DF58" s="137">
        <f t="shared" si="32"/>
        <v>1</v>
      </c>
    </row>
    <row r="59" spans="1:110" x14ac:dyDescent="0.2">
      <c r="A59" s="160"/>
      <c r="B59" s="5">
        <f t="shared" si="16"/>
        <v>57</v>
      </c>
      <c r="C59" s="124" t="str">
        <f t="shared" si="29"/>
        <v>CNS93</v>
      </c>
      <c r="D59" s="125" t="s">
        <v>191</v>
      </c>
      <c r="E59" s="124" t="str">
        <f t="shared" si="31"/>
        <v>CNS93_GERMINOMA</v>
      </c>
      <c r="F59" s="124"/>
      <c r="G59" s="123">
        <f t="shared" si="28"/>
        <v>93</v>
      </c>
      <c r="H59" s="124"/>
      <c r="I59" s="124"/>
      <c r="J59" s="126" t="s">
        <v>60</v>
      </c>
      <c r="K59" s="126" t="s">
        <v>180</v>
      </c>
      <c r="L59" s="126" t="s">
        <v>300</v>
      </c>
      <c r="M59" s="124" t="s">
        <v>316</v>
      </c>
      <c r="N59" s="124" t="s">
        <v>314</v>
      </c>
      <c r="O59" s="124" t="s">
        <v>181</v>
      </c>
      <c r="P59" s="124" t="s">
        <v>181</v>
      </c>
      <c r="Q59" s="124" t="s">
        <v>302</v>
      </c>
      <c r="R59" s="126" t="s">
        <v>182</v>
      </c>
      <c r="S59" s="124" t="s">
        <v>60</v>
      </c>
      <c r="T59" s="124"/>
      <c r="U59" s="126" t="s">
        <v>60</v>
      </c>
      <c r="V59" s="126" t="s">
        <v>174</v>
      </c>
      <c r="W59" s="126"/>
      <c r="X59" s="126"/>
      <c r="Y59" s="129">
        <v>10.25</v>
      </c>
      <c r="Z59" s="129">
        <f t="shared" si="30"/>
        <v>528</v>
      </c>
      <c r="AA59" s="126" t="s">
        <v>71</v>
      </c>
      <c r="AB59" s="126" t="s">
        <v>60</v>
      </c>
      <c r="AC59" s="126" t="s">
        <v>60</v>
      </c>
      <c r="AD59" s="126" t="s">
        <v>71</v>
      </c>
      <c r="AE59" s="126" t="s">
        <v>71</v>
      </c>
      <c r="AF59" s="127" t="s">
        <v>68</v>
      </c>
      <c r="AG59" s="126" t="s">
        <v>60</v>
      </c>
      <c r="AH59" s="126" t="s">
        <v>71</v>
      </c>
      <c r="AI59" s="126" t="s">
        <v>60</v>
      </c>
      <c r="AJ59" s="126" t="s">
        <v>71</v>
      </c>
      <c r="AK59" s="126" t="s">
        <v>60</v>
      </c>
      <c r="AL59" s="126" t="s">
        <v>60</v>
      </c>
      <c r="AM59" s="126" t="s">
        <v>60</v>
      </c>
      <c r="AN59" s="126" t="s">
        <v>60</v>
      </c>
      <c r="AO59" s="126" t="s">
        <v>71</v>
      </c>
      <c r="AP59" s="126" t="s">
        <v>71</v>
      </c>
      <c r="AQ59" s="126" t="s">
        <v>71</v>
      </c>
      <c r="AR59" s="126" t="s">
        <v>71</v>
      </c>
      <c r="AS59" s="126" t="s">
        <v>71</v>
      </c>
      <c r="AT59" s="126" t="s">
        <v>71</v>
      </c>
      <c r="AU59" s="126" t="s">
        <v>71</v>
      </c>
      <c r="AV59" s="126" t="s">
        <v>71</v>
      </c>
      <c r="AW59" s="126" t="s">
        <v>71</v>
      </c>
      <c r="AX59" s="126" t="s">
        <v>71</v>
      </c>
      <c r="AY59" s="126" t="s">
        <v>71</v>
      </c>
      <c r="AZ59" s="126" t="s">
        <v>71</v>
      </c>
      <c r="BA59" s="126" t="s">
        <v>71</v>
      </c>
      <c r="BB59" s="126" t="s">
        <v>71</v>
      </c>
      <c r="BC59" s="126" t="s">
        <v>71</v>
      </c>
      <c r="BD59" s="126" t="s">
        <v>71</v>
      </c>
      <c r="BE59" s="126" t="s">
        <v>71</v>
      </c>
      <c r="BF59" s="126" t="s">
        <v>71</v>
      </c>
      <c r="BG59" s="126" t="s">
        <v>71</v>
      </c>
      <c r="BH59" s="126" t="s">
        <v>71</v>
      </c>
      <c r="BI59" s="126" t="s">
        <v>71</v>
      </c>
      <c r="BJ59" s="126" t="s">
        <v>71</v>
      </c>
      <c r="BK59" s="126" t="s">
        <v>71</v>
      </c>
      <c r="BL59" s="126" t="s">
        <v>71</v>
      </c>
      <c r="BM59" s="126" t="s">
        <v>71</v>
      </c>
      <c r="BN59" s="126" t="s">
        <v>71</v>
      </c>
      <c r="BO59" s="126" t="s">
        <v>71</v>
      </c>
      <c r="BP59" s="126" t="s">
        <v>71</v>
      </c>
      <c r="BQ59" s="126" t="s">
        <v>71</v>
      </c>
      <c r="BR59" s="126" t="s">
        <v>71</v>
      </c>
      <c r="BS59" s="126" t="s">
        <v>71</v>
      </c>
      <c r="BT59" s="126" t="s">
        <v>71</v>
      </c>
      <c r="BU59" s="126" t="s">
        <v>60</v>
      </c>
      <c r="BV59" s="126" t="s">
        <v>71</v>
      </c>
      <c r="BW59" s="126" t="s">
        <v>60</v>
      </c>
      <c r="BX59" s="126" t="s">
        <v>71</v>
      </c>
      <c r="BY59" s="126" t="s">
        <v>60</v>
      </c>
      <c r="BZ59" s="126" t="s">
        <v>71</v>
      </c>
      <c r="CA59" s="126" t="s">
        <v>60</v>
      </c>
      <c r="CB59" s="126" t="s">
        <v>71</v>
      </c>
      <c r="CC59" s="126" t="s">
        <v>60</v>
      </c>
      <c r="CD59" s="126" t="s">
        <v>71</v>
      </c>
      <c r="CE59" s="126" t="s">
        <v>60</v>
      </c>
      <c r="CF59" s="126" t="s">
        <v>71</v>
      </c>
      <c r="CG59" s="126" t="s">
        <v>60</v>
      </c>
      <c r="CH59" s="126" t="s">
        <v>71</v>
      </c>
      <c r="CI59" s="126" t="s">
        <v>60</v>
      </c>
      <c r="CJ59" s="126" t="s">
        <v>71</v>
      </c>
      <c r="CK59" s="126" t="s">
        <v>60</v>
      </c>
      <c r="CL59" s="126" t="s">
        <v>71</v>
      </c>
      <c r="CM59" s="126" t="s">
        <v>60</v>
      </c>
      <c r="CN59" s="126" t="s">
        <v>71</v>
      </c>
      <c r="CO59" s="126" t="s">
        <v>60</v>
      </c>
      <c r="CP59" s="126" t="s">
        <v>71</v>
      </c>
      <c r="CQ59" s="126" t="s">
        <v>60</v>
      </c>
      <c r="CR59" s="126" t="s">
        <v>71</v>
      </c>
      <c r="CS59" s="126" t="s">
        <v>60</v>
      </c>
      <c r="CT59" s="126" t="s">
        <v>71</v>
      </c>
      <c r="CU59" s="126" t="s">
        <v>60</v>
      </c>
      <c r="CV59" s="126" t="s">
        <v>71</v>
      </c>
      <c r="CW59" s="126" t="s">
        <v>60</v>
      </c>
      <c r="CX59" s="126" t="s">
        <v>71</v>
      </c>
      <c r="CY59" s="126" t="s">
        <v>60</v>
      </c>
      <c r="CZ59" s="126" t="s">
        <v>71</v>
      </c>
      <c r="DA59" s="126" t="s">
        <v>60</v>
      </c>
      <c r="DB59" s="126" t="s">
        <v>71</v>
      </c>
      <c r="DC59" s="126" t="s">
        <v>60</v>
      </c>
      <c r="DD59" s="126" t="s">
        <v>71</v>
      </c>
      <c r="DE59" s="137" t="str">
        <f t="shared" si="8"/>
        <v>9&lt; YEARS OLD</v>
      </c>
      <c r="DF59" s="137">
        <f t="shared" si="32"/>
        <v>1</v>
      </c>
    </row>
    <row r="60" spans="1:110" x14ac:dyDescent="0.2">
      <c r="A60" s="160"/>
      <c r="B60" s="5">
        <f t="shared" si="16"/>
        <v>58</v>
      </c>
      <c r="C60" s="124" t="str">
        <f t="shared" si="29"/>
        <v>CNS94</v>
      </c>
      <c r="D60" s="125" t="s">
        <v>192</v>
      </c>
      <c r="E60" s="124" t="str">
        <f t="shared" si="31"/>
        <v>CNS94_GERMINOMA</v>
      </c>
      <c r="F60" s="124"/>
      <c r="G60" s="123">
        <f t="shared" si="28"/>
        <v>94</v>
      </c>
      <c r="H60" s="124"/>
      <c r="I60" s="124"/>
      <c r="J60" s="126" t="s">
        <v>60</v>
      </c>
      <c r="K60" s="126" t="s">
        <v>180</v>
      </c>
      <c r="L60" s="126" t="s">
        <v>300</v>
      </c>
      <c r="M60" s="124" t="s">
        <v>316</v>
      </c>
      <c r="N60" s="124" t="s">
        <v>314</v>
      </c>
      <c r="O60" s="124" t="s">
        <v>181</v>
      </c>
      <c r="P60" s="124" t="s">
        <v>181</v>
      </c>
      <c r="Q60" s="124" t="s">
        <v>304</v>
      </c>
      <c r="R60" s="126" t="s">
        <v>182</v>
      </c>
      <c r="S60" s="124" t="s">
        <v>60</v>
      </c>
      <c r="T60" s="124"/>
      <c r="U60" s="126" t="s">
        <v>60</v>
      </c>
      <c r="V60" s="126" t="s">
        <v>174</v>
      </c>
      <c r="W60" s="126"/>
      <c r="X60" s="126"/>
      <c r="Y60" s="129">
        <v>10.6</v>
      </c>
      <c r="Z60" s="129">
        <f t="shared" si="30"/>
        <v>544.79999999999995</v>
      </c>
      <c r="AA60" s="126" t="s">
        <v>71</v>
      </c>
      <c r="AB60" s="126" t="s">
        <v>60</v>
      </c>
      <c r="AC60" s="126" t="s">
        <v>60</v>
      </c>
      <c r="AD60" s="126" t="s">
        <v>71</v>
      </c>
      <c r="AE60" s="126" t="s">
        <v>71</v>
      </c>
      <c r="AF60" s="127" t="s">
        <v>68</v>
      </c>
      <c r="AG60" s="126" t="s">
        <v>60</v>
      </c>
      <c r="AH60" s="126" t="s">
        <v>71</v>
      </c>
      <c r="AI60" s="126" t="s">
        <v>60</v>
      </c>
      <c r="AJ60" s="126" t="s">
        <v>71</v>
      </c>
      <c r="AK60" s="126" t="s">
        <v>60</v>
      </c>
      <c r="AL60" s="126" t="s">
        <v>60</v>
      </c>
      <c r="AM60" s="126" t="s">
        <v>60</v>
      </c>
      <c r="AN60" s="126" t="s">
        <v>60</v>
      </c>
      <c r="AO60" s="126" t="s">
        <v>71</v>
      </c>
      <c r="AP60" s="126" t="s">
        <v>71</v>
      </c>
      <c r="AQ60" s="126" t="s">
        <v>71</v>
      </c>
      <c r="AR60" s="126" t="s">
        <v>71</v>
      </c>
      <c r="AS60" s="126" t="s">
        <v>71</v>
      </c>
      <c r="AT60" s="126" t="s">
        <v>71</v>
      </c>
      <c r="AU60" s="126" t="s">
        <v>71</v>
      </c>
      <c r="AV60" s="126" t="s">
        <v>71</v>
      </c>
      <c r="AW60" s="126" t="s">
        <v>71</v>
      </c>
      <c r="AX60" s="126" t="s">
        <v>71</v>
      </c>
      <c r="AY60" s="126" t="s">
        <v>71</v>
      </c>
      <c r="AZ60" s="126" t="s">
        <v>71</v>
      </c>
      <c r="BA60" s="126" t="s">
        <v>71</v>
      </c>
      <c r="BB60" s="126" t="s">
        <v>71</v>
      </c>
      <c r="BC60" s="126" t="s">
        <v>71</v>
      </c>
      <c r="BD60" s="126" t="s">
        <v>71</v>
      </c>
      <c r="BE60" s="126" t="s">
        <v>71</v>
      </c>
      <c r="BF60" s="126" t="s">
        <v>71</v>
      </c>
      <c r="BG60" s="126" t="s">
        <v>71</v>
      </c>
      <c r="BH60" s="126" t="s">
        <v>71</v>
      </c>
      <c r="BI60" s="126" t="s">
        <v>71</v>
      </c>
      <c r="BJ60" s="126" t="s">
        <v>71</v>
      </c>
      <c r="BK60" s="126" t="s">
        <v>71</v>
      </c>
      <c r="BL60" s="126" t="s">
        <v>71</v>
      </c>
      <c r="BM60" s="126" t="s">
        <v>71</v>
      </c>
      <c r="BN60" s="126" t="s">
        <v>71</v>
      </c>
      <c r="BO60" s="126" t="s">
        <v>71</v>
      </c>
      <c r="BP60" s="126" t="s">
        <v>71</v>
      </c>
      <c r="BQ60" s="126" t="s">
        <v>71</v>
      </c>
      <c r="BR60" s="126" t="s">
        <v>71</v>
      </c>
      <c r="BS60" s="126" t="s">
        <v>71</v>
      </c>
      <c r="BT60" s="126" t="s">
        <v>71</v>
      </c>
      <c r="BU60" s="126" t="s">
        <v>60</v>
      </c>
      <c r="BV60" s="126" t="s">
        <v>71</v>
      </c>
      <c r="BW60" s="126" t="s">
        <v>60</v>
      </c>
      <c r="BX60" s="126" t="s">
        <v>71</v>
      </c>
      <c r="BY60" s="126" t="s">
        <v>60</v>
      </c>
      <c r="BZ60" s="126" t="s">
        <v>71</v>
      </c>
      <c r="CA60" s="126" t="s">
        <v>60</v>
      </c>
      <c r="CB60" s="126" t="s">
        <v>71</v>
      </c>
      <c r="CC60" s="126" t="s">
        <v>60</v>
      </c>
      <c r="CD60" s="126" t="s">
        <v>71</v>
      </c>
      <c r="CE60" s="126" t="s">
        <v>60</v>
      </c>
      <c r="CF60" s="126" t="s">
        <v>71</v>
      </c>
      <c r="CG60" s="126" t="s">
        <v>60</v>
      </c>
      <c r="CH60" s="126" t="s">
        <v>71</v>
      </c>
      <c r="CI60" s="126" t="s">
        <v>60</v>
      </c>
      <c r="CJ60" s="126" t="s">
        <v>71</v>
      </c>
      <c r="CK60" s="126" t="s">
        <v>60</v>
      </c>
      <c r="CL60" s="126" t="s">
        <v>71</v>
      </c>
      <c r="CM60" s="126" t="s">
        <v>60</v>
      </c>
      <c r="CN60" s="126" t="s">
        <v>71</v>
      </c>
      <c r="CO60" s="126" t="s">
        <v>60</v>
      </c>
      <c r="CP60" s="126" t="s">
        <v>71</v>
      </c>
      <c r="CQ60" s="126" t="s">
        <v>60</v>
      </c>
      <c r="CR60" s="126" t="s">
        <v>71</v>
      </c>
      <c r="CS60" s="126" t="s">
        <v>60</v>
      </c>
      <c r="CT60" s="126" t="s">
        <v>71</v>
      </c>
      <c r="CU60" s="126" t="s">
        <v>60</v>
      </c>
      <c r="CV60" s="126" t="s">
        <v>71</v>
      </c>
      <c r="CW60" s="126" t="s">
        <v>60</v>
      </c>
      <c r="CX60" s="126" t="s">
        <v>71</v>
      </c>
      <c r="CY60" s="126" t="s">
        <v>60</v>
      </c>
      <c r="CZ60" s="126" t="s">
        <v>71</v>
      </c>
      <c r="DA60" s="126" t="s">
        <v>60</v>
      </c>
      <c r="DB60" s="126" t="s">
        <v>71</v>
      </c>
      <c r="DC60" s="126" t="s">
        <v>60</v>
      </c>
      <c r="DD60" s="126" t="s">
        <v>71</v>
      </c>
      <c r="DE60" s="137" t="str">
        <f t="shared" si="8"/>
        <v>9&lt; YEARS OLD</v>
      </c>
      <c r="DF60" s="137">
        <f t="shared" si="32"/>
        <v>1</v>
      </c>
    </row>
    <row r="61" spans="1:110" x14ac:dyDescent="0.2">
      <c r="A61" s="160"/>
      <c r="B61" s="5">
        <f t="shared" si="16"/>
        <v>59</v>
      </c>
      <c r="C61" s="124" t="str">
        <f t="shared" si="29"/>
        <v>CNS95</v>
      </c>
      <c r="D61" s="125" t="s">
        <v>193</v>
      </c>
      <c r="E61" s="124" t="str">
        <f t="shared" si="31"/>
        <v>CNS95_GERMINOMA</v>
      </c>
      <c r="F61" s="124"/>
      <c r="G61" s="123">
        <f t="shared" si="28"/>
        <v>95</v>
      </c>
      <c r="H61" s="124"/>
      <c r="I61" s="124"/>
      <c r="J61" s="126" t="s">
        <v>60</v>
      </c>
      <c r="K61" s="126" t="s">
        <v>180</v>
      </c>
      <c r="L61" s="126" t="s">
        <v>300</v>
      </c>
      <c r="M61" s="124" t="s">
        <v>316</v>
      </c>
      <c r="N61" s="124" t="s">
        <v>314</v>
      </c>
      <c r="O61" s="124" t="s">
        <v>181</v>
      </c>
      <c r="P61" s="124" t="s">
        <v>181</v>
      </c>
      <c r="Q61" s="124" t="s">
        <v>305</v>
      </c>
      <c r="R61" s="126" t="s">
        <v>182</v>
      </c>
      <c r="S61" s="124" t="s">
        <v>60</v>
      </c>
      <c r="T61" s="124"/>
      <c r="U61" s="126" t="s">
        <v>60</v>
      </c>
      <c r="V61" s="126" t="s">
        <v>174</v>
      </c>
      <c r="W61" s="126"/>
      <c r="X61" s="126"/>
      <c r="Y61" s="129">
        <v>7.7</v>
      </c>
      <c r="Z61" s="129">
        <f t="shared" si="30"/>
        <v>405.6</v>
      </c>
      <c r="AA61" s="126" t="s">
        <v>71</v>
      </c>
      <c r="AB61" s="126" t="s">
        <v>60</v>
      </c>
      <c r="AC61" s="126" t="s">
        <v>60</v>
      </c>
      <c r="AD61" s="126" t="s">
        <v>71</v>
      </c>
      <c r="AE61" s="126" t="s">
        <v>71</v>
      </c>
      <c r="AF61" s="127" t="s">
        <v>68</v>
      </c>
      <c r="AG61" s="126" t="s">
        <v>60</v>
      </c>
      <c r="AH61" s="126" t="s">
        <v>71</v>
      </c>
      <c r="AI61" s="126" t="s">
        <v>60</v>
      </c>
      <c r="AJ61" s="126" t="s">
        <v>71</v>
      </c>
      <c r="AK61" s="126" t="s">
        <v>60</v>
      </c>
      <c r="AL61" s="126" t="s">
        <v>60</v>
      </c>
      <c r="AM61" s="126" t="s">
        <v>60</v>
      </c>
      <c r="AN61" s="126" t="s">
        <v>60</v>
      </c>
      <c r="AO61" s="126" t="s">
        <v>71</v>
      </c>
      <c r="AP61" s="126" t="s">
        <v>71</v>
      </c>
      <c r="AQ61" s="126" t="s">
        <v>71</v>
      </c>
      <c r="AR61" s="126" t="s">
        <v>71</v>
      </c>
      <c r="AS61" s="126" t="s">
        <v>71</v>
      </c>
      <c r="AT61" s="126" t="s">
        <v>71</v>
      </c>
      <c r="AU61" s="126" t="s">
        <v>71</v>
      </c>
      <c r="AV61" s="126" t="s">
        <v>71</v>
      </c>
      <c r="AW61" s="126" t="s">
        <v>71</v>
      </c>
      <c r="AX61" s="126" t="s">
        <v>71</v>
      </c>
      <c r="AY61" s="126" t="s">
        <v>71</v>
      </c>
      <c r="AZ61" s="126" t="s">
        <v>71</v>
      </c>
      <c r="BA61" s="126" t="s">
        <v>71</v>
      </c>
      <c r="BB61" s="126" t="s">
        <v>71</v>
      </c>
      <c r="BC61" s="126" t="s">
        <v>71</v>
      </c>
      <c r="BD61" s="126" t="s">
        <v>71</v>
      </c>
      <c r="BE61" s="126" t="s">
        <v>71</v>
      </c>
      <c r="BF61" s="126" t="s">
        <v>71</v>
      </c>
      <c r="BG61" s="126" t="s">
        <v>71</v>
      </c>
      <c r="BH61" s="126" t="s">
        <v>71</v>
      </c>
      <c r="BI61" s="126" t="s">
        <v>71</v>
      </c>
      <c r="BJ61" s="126" t="s">
        <v>71</v>
      </c>
      <c r="BK61" s="126" t="s">
        <v>71</v>
      </c>
      <c r="BL61" s="126" t="s">
        <v>71</v>
      </c>
      <c r="BM61" s="126" t="s">
        <v>71</v>
      </c>
      <c r="BN61" s="126" t="s">
        <v>71</v>
      </c>
      <c r="BO61" s="126" t="s">
        <v>71</v>
      </c>
      <c r="BP61" s="126" t="s">
        <v>71</v>
      </c>
      <c r="BQ61" s="126" t="s">
        <v>71</v>
      </c>
      <c r="BR61" s="126" t="s">
        <v>71</v>
      </c>
      <c r="BS61" s="126" t="s">
        <v>71</v>
      </c>
      <c r="BT61" s="126" t="s">
        <v>71</v>
      </c>
      <c r="BU61" s="126" t="s">
        <v>60</v>
      </c>
      <c r="BV61" s="126" t="s">
        <v>71</v>
      </c>
      <c r="BW61" s="126" t="s">
        <v>60</v>
      </c>
      <c r="BX61" s="126" t="s">
        <v>71</v>
      </c>
      <c r="BY61" s="126" t="s">
        <v>60</v>
      </c>
      <c r="BZ61" s="126" t="s">
        <v>71</v>
      </c>
      <c r="CA61" s="126" t="s">
        <v>60</v>
      </c>
      <c r="CB61" s="126" t="s">
        <v>71</v>
      </c>
      <c r="CC61" s="126" t="s">
        <v>60</v>
      </c>
      <c r="CD61" s="126" t="s">
        <v>71</v>
      </c>
      <c r="CE61" s="126" t="s">
        <v>60</v>
      </c>
      <c r="CF61" s="126" t="s">
        <v>71</v>
      </c>
      <c r="CG61" s="126" t="s">
        <v>60</v>
      </c>
      <c r="CH61" s="126" t="s">
        <v>71</v>
      </c>
      <c r="CI61" s="126" t="s">
        <v>60</v>
      </c>
      <c r="CJ61" s="126" t="s">
        <v>71</v>
      </c>
      <c r="CK61" s="126" t="s">
        <v>60</v>
      </c>
      <c r="CL61" s="126" t="s">
        <v>71</v>
      </c>
      <c r="CM61" s="126" t="s">
        <v>60</v>
      </c>
      <c r="CN61" s="126" t="s">
        <v>71</v>
      </c>
      <c r="CO61" s="126" t="s">
        <v>60</v>
      </c>
      <c r="CP61" s="126" t="s">
        <v>71</v>
      </c>
      <c r="CQ61" s="126" t="s">
        <v>60</v>
      </c>
      <c r="CR61" s="126" t="s">
        <v>71</v>
      </c>
      <c r="CS61" s="126" t="s">
        <v>60</v>
      </c>
      <c r="CT61" s="126" t="s">
        <v>71</v>
      </c>
      <c r="CU61" s="126" t="s">
        <v>60</v>
      </c>
      <c r="CV61" s="126" t="s">
        <v>71</v>
      </c>
      <c r="CW61" s="126" t="s">
        <v>60</v>
      </c>
      <c r="CX61" s="126" t="s">
        <v>71</v>
      </c>
      <c r="CY61" s="126" t="s">
        <v>60</v>
      </c>
      <c r="CZ61" s="126" t="s">
        <v>71</v>
      </c>
      <c r="DA61" s="126" t="s">
        <v>60</v>
      </c>
      <c r="DB61" s="126" t="s">
        <v>71</v>
      </c>
      <c r="DC61" s="126" t="s">
        <v>60</v>
      </c>
      <c r="DD61" s="126" t="s">
        <v>71</v>
      </c>
      <c r="DE61" s="137" t="str">
        <f t="shared" si="8"/>
        <v>3&lt;YEARS OLD&lt;9</v>
      </c>
      <c r="DF61" s="137">
        <f t="shared" si="32"/>
        <v>1</v>
      </c>
    </row>
    <row r="62" spans="1:110" x14ac:dyDescent="0.2">
      <c r="A62" s="160"/>
      <c r="B62" s="5">
        <f t="shared" si="16"/>
        <v>60</v>
      </c>
      <c r="C62" s="124" t="str">
        <f t="shared" ref="C62" si="33">CONCATENATE("CNS",G62)</f>
        <v>CNS96</v>
      </c>
      <c r="D62" s="125" t="s">
        <v>194</v>
      </c>
      <c r="E62" s="124" t="str">
        <f t="shared" si="31"/>
        <v>CNS96_GERMINOMA</v>
      </c>
      <c r="F62" s="124"/>
      <c r="G62" s="123">
        <f t="shared" si="28"/>
        <v>96</v>
      </c>
      <c r="H62" s="124"/>
      <c r="I62" s="124"/>
      <c r="J62" s="126" t="s">
        <v>60</v>
      </c>
      <c r="K62" s="126" t="s">
        <v>180</v>
      </c>
      <c r="L62" s="126" t="s">
        <v>300</v>
      </c>
      <c r="M62" s="124" t="s">
        <v>316</v>
      </c>
      <c r="N62" s="124" t="s">
        <v>314</v>
      </c>
      <c r="O62" s="124" t="s">
        <v>181</v>
      </c>
      <c r="P62" s="124" t="s">
        <v>181</v>
      </c>
      <c r="Q62" s="124" t="s">
        <v>306</v>
      </c>
      <c r="R62" s="126" t="s">
        <v>182</v>
      </c>
      <c r="S62" s="124" t="s">
        <v>60</v>
      </c>
      <c r="T62" s="124"/>
      <c r="U62" s="126" t="s">
        <v>60</v>
      </c>
      <c r="V62" s="126" t="s">
        <v>174</v>
      </c>
      <c r="W62" s="126"/>
      <c r="X62" s="126"/>
      <c r="Y62" s="129">
        <v>14.5</v>
      </c>
      <c r="Z62" s="129">
        <f t="shared" ref="Z62" si="34">IF(ISERROR((Y62*12*4)+36),"NaN",(Y62*12*4)+36)</f>
        <v>732</v>
      </c>
      <c r="AA62" s="126" t="s">
        <v>71</v>
      </c>
      <c r="AB62" s="126" t="s">
        <v>60</v>
      </c>
      <c r="AC62" s="126" t="s">
        <v>60</v>
      </c>
      <c r="AD62" s="126" t="s">
        <v>71</v>
      </c>
      <c r="AE62" s="126" t="s">
        <v>71</v>
      </c>
      <c r="AF62" s="127" t="s">
        <v>68</v>
      </c>
      <c r="AG62" s="126" t="s">
        <v>60</v>
      </c>
      <c r="AH62" s="126" t="s">
        <v>71</v>
      </c>
      <c r="AI62" s="126" t="s">
        <v>60</v>
      </c>
      <c r="AJ62" s="126" t="s">
        <v>71</v>
      </c>
      <c r="AK62" s="126" t="s">
        <v>60</v>
      </c>
      <c r="AL62" s="126" t="s">
        <v>60</v>
      </c>
      <c r="AM62" s="126" t="s">
        <v>60</v>
      </c>
      <c r="AN62" s="126" t="s">
        <v>60</v>
      </c>
      <c r="AO62" s="126" t="s">
        <v>71</v>
      </c>
      <c r="AP62" s="126" t="s">
        <v>71</v>
      </c>
      <c r="AQ62" s="126" t="s">
        <v>71</v>
      </c>
      <c r="AR62" s="126" t="s">
        <v>71</v>
      </c>
      <c r="AS62" s="126" t="s">
        <v>71</v>
      </c>
      <c r="AT62" s="126" t="s">
        <v>71</v>
      </c>
      <c r="AU62" s="126" t="s">
        <v>71</v>
      </c>
      <c r="AV62" s="126" t="s">
        <v>71</v>
      </c>
      <c r="AW62" s="126" t="s">
        <v>71</v>
      </c>
      <c r="AX62" s="126" t="s">
        <v>71</v>
      </c>
      <c r="AY62" s="126" t="s">
        <v>71</v>
      </c>
      <c r="AZ62" s="126" t="s">
        <v>71</v>
      </c>
      <c r="BA62" s="126" t="s">
        <v>71</v>
      </c>
      <c r="BB62" s="126" t="s">
        <v>71</v>
      </c>
      <c r="BC62" s="126" t="s">
        <v>71</v>
      </c>
      <c r="BD62" s="126" t="s">
        <v>71</v>
      </c>
      <c r="BE62" s="126" t="s">
        <v>71</v>
      </c>
      <c r="BF62" s="126" t="s">
        <v>71</v>
      </c>
      <c r="BG62" s="126" t="s">
        <v>71</v>
      </c>
      <c r="BH62" s="126" t="s">
        <v>71</v>
      </c>
      <c r="BI62" s="126" t="s">
        <v>71</v>
      </c>
      <c r="BJ62" s="126" t="s">
        <v>71</v>
      </c>
      <c r="BK62" s="126" t="s">
        <v>71</v>
      </c>
      <c r="BL62" s="126" t="s">
        <v>71</v>
      </c>
      <c r="BM62" s="126" t="s">
        <v>71</v>
      </c>
      <c r="BN62" s="126" t="s">
        <v>71</v>
      </c>
      <c r="BO62" s="126" t="s">
        <v>71</v>
      </c>
      <c r="BP62" s="126" t="s">
        <v>71</v>
      </c>
      <c r="BQ62" s="126" t="s">
        <v>71</v>
      </c>
      <c r="BR62" s="126" t="s">
        <v>71</v>
      </c>
      <c r="BS62" s="126" t="s">
        <v>71</v>
      </c>
      <c r="BT62" s="126" t="s">
        <v>71</v>
      </c>
      <c r="BU62" s="126" t="s">
        <v>60</v>
      </c>
      <c r="BV62" s="126" t="s">
        <v>71</v>
      </c>
      <c r="BW62" s="126" t="s">
        <v>60</v>
      </c>
      <c r="BX62" s="126" t="s">
        <v>71</v>
      </c>
      <c r="BY62" s="126" t="s">
        <v>60</v>
      </c>
      <c r="BZ62" s="126" t="s">
        <v>71</v>
      </c>
      <c r="CA62" s="126" t="s">
        <v>60</v>
      </c>
      <c r="CB62" s="126" t="s">
        <v>71</v>
      </c>
      <c r="CC62" s="126" t="s">
        <v>60</v>
      </c>
      <c r="CD62" s="126" t="s">
        <v>71</v>
      </c>
      <c r="CE62" s="126" t="s">
        <v>60</v>
      </c>
      <c r="CF62" s="126" t="s">
        <v>71</v>
      </c>
      <c r="CG62" s="126" t="s">
        <v>60</v>
      </c>
      <c r="CH62" s="126" t="s">
        <v>71</v>
      </c>
      <c r="CI62" s="126" t="s">
        <v>60</v>
      </c>
      <c r="CJ62" s="126" t="s">
        <v>71</v>
      </c>
      <c r="CK62" s="126" t="s">
        <v>60</v>
      </c>
      <c r="CL62" s="126" t="s">
        <v>71</v>
      </c>
      <c r="CM62" s="126" t="s">
        <v>60</v>
      </c>
      <c r="CN62" s="126" t="s">
        <v>71</v>
      </c>
      <c r="CO62" s="126" t="s">
        <v>60</v>
      </c>
      <c r="CP62" s="126" t="s">
        <v>71</v>
      </c>
      <c r="CQ62" s="126" t="s">
        <v>60</v>
      </c>
      <c r="CR62" s="126" t="s">
        <v>71</v>
      </c>
      <c r="CS62" s="126" t="s">
        <v>60</v>
      </c>
      <c r="CT62" s="126" t="s">
        <v>71</v>
      </c>
      <c r="CU62" s="126" t="s">
        <v>60</v>
      </c>
      <c r="CV62" s="126" t="s">
        <v>71</v>
      </c>
      <c r="CW62" s="126" t="s">
        <v>60</v>
      </c>
      <c r="CX62" s="126" t="s">
        <v>71</v>
      </c>
      <c r="CY62" s="126" t="s">
        <v>60</v>
      </c>
      <c r="CZ62" s="126" t="s">
        <v>71</v>
      </c>
      <c r="DA62" s="126" t="s">
        <v>60</v>
      </c>
      <c r="DB62" s="126" t="s">
        <v>71</v>
      </c>
      <c r="DC62" s="126" t="s">
        <v>60</v>
      </c>
      <c r="DD62" s="126" t="s">
        <v>71</v>
      </c>
      <c r="DE62" s="137" t="str">
        <f t="shared" si="8"/>
        <v>9&lt; YEARS OLD</v>
      </c>
      <c r="DF62" s="137">
        <f t="shared" si="32"/>
        <v>1</v>
      </c>
    </row>
    <row r="63" spans="1:110" x14ac:dyDescent="0.2">
      <c r="A63" s="160" t="s">
        <v>320</v>
      </c>
      <c r="B63" s="5">
        <f t="shared" si="16"/>
        <v>61</v>
      </c>
      <c r="C63" s="131" t="str">
        <f t="shared" ref="C63:C99" si="35">CONCATENATE("CNS",G63)</f>
        <v>CNS97</v>
      </c>
      <c r="D63" s="135" t="s">
        <v>195</v>
      </c>
      <c r="E63" s="131" t="str">
        <f t="shared" ref="E63:E94" si="36">CONCATENATE(C63,"_",M63)</f>
        <v>CNS97_CONTROL</v>
      </c>
      <c r="F63" s="131"/>
      <c r="G63" s="130">
        <f>G62+1</f>
        <v>97</v>
      </c>
      <c r="H63" s="131"/>
      <c r="I63" s="131"/>
      <c r="J63" s="132" t="s">
        <v>25</v>
      </c>
      <c r="K63" s="132" t="s">
        <v>177</v>
      </c>
      <c r="L63" s="132" t="s">
        <v>301</v>
      </c>
      <c r="M63" s="131" t="s">
        <v>81</v>
      </c>
      <c r="N63" s="131" t="s">
        <v>81</v>
      </c>
      <c r="O63" s="131" t="s">
        <v>81</v>
      </c>
      <c r="P63" s="131" t="s">
        <v>312</v>
      </c>
      <c r="Q63" s="131" t="s">
        <v>81</v>
      </c>
      <c r="R63" s="131" t="s">
        <v>89</v>
      </c>
      <c r="S63" s="131" t="s">
        <v>297</v>
      </c>
      <c r="T63" s="131"/>
      <c r="U63" s="132" t="s">
        <v>81</v>
      </c>
      <c r="V63" s="132" t="s">
        <v>175</v>
      </c>
      <c r="W63" s="132"/>
      <c r="X63" s="132"/>
      <c r="Y63" s="133">
        <v>0.26301369863013696</v>
      </c>
      <c r="Z63" s="133">
        <f>IF(ISERROR((Y63*12*4)+36),"NaN",(Y63*12*4)+36)</f>
        <v>48.624657534246573</v>
      </c>
      <c r="AA63" s="132" t="s">
        <v>71</v>
      </c>
      <c r="AB63" s="132" t="s">
        <v>60</v>
      </c>
      <c r="AC63" s="132" t="s">
        <v>60</v>
      </c>
      <c r="AD63" s="132" t="s">
        <v>71</v>
      </c>
      <c r="AE63" s="132" t="s">
        <v>71</v>
      </c>
      <c r="AF63" s="134" t="s">
        <v>68</v>
      </c>
      <c r="AG63" s="132" t="s">
        <v>81</v>
      </c>
      <c r="AH63" s="132" t="s">
        <v>71</v>
      </c>
      <c r="AI63" s="132" t="s">
        <v>60</v>
      </c>
      <c r="AJ63" s="132" t="s">
        <v>71</v>
      </c>
      <c r="AK63" s="132" t="s">
        <v>60</v>
      </c>
      <c r="AL63" s="132" t="s">
        <v>60</v>
      </c>
      <c r="AM63" s="132" t="s">
        <v>60</v>
      </c>
      <c r="AN63" s="132" t="s">
        <v>60</v>
      </c>
      <c r="AO63" s="132" t="s">
        <v>71</v>
      </c>
      <c r="AP63" s="132" t="s">
        <v>71</v>
      </c>
      <c r="AQ63" s="132" t="s">
        <v>71</v>
      </c>
      <c r="AR63" s="132" t="s">
        <v>71</v>
      </c>
      <c r="AS63" s="132" t="s">
        <v>71</v>
      </c>
      <c r="AT63" s="132" t="s">
        <v>71</v>
      </c>
      <c r="AU63" s="132" t="s">
        <v>71</v>
      </c>
      <c r="AV63" s="132" t="s">
        <v>71</v>
      </c>
      <c r="AW63" s="132" t="s">
        <v>71</v>
      </c>
      <c r="AX63" s="132" t="s">
        <v>71</v>
      </c>
      <c r="AY63" s="132" t="s">
        <v>71</v>
      </c>
      <c r="AZ63" s="132" t="s">
        <v>71</v>
      </c>
      <c r="BA63" s="132" t="s">
        <v>71</v>
      </c>
      <c r="BB63" s="132" t="s">
        <v>71</v>
      </c>
      <c r="BC63" s="132" t="s">
        <v>71</v>
      </c>
      <c r="BD63" s="132" t="s">
        <v>71</v>
      </c>
      <c r="BE63" s="132" t="s">
        <v>71</v>
      </c>
      <c r="BF63" s="132" t="s">
        <v>71</v>
      </c>
      <c r="BG63" s="132" t="s">
        <v>71</v>
      </c>
      <c r="BH63" s="132" t="s">
        <v>71</v>
      </c>
      <c r="BI63" s="132" t="s">
        <v>71</v>
      </c>
      <c r="BJ63" s="132" t="s">
        <v>71</v>
      </c>
      <c r="BK63" s="132" t="s">
        <v>71</v>
      </c>
      <c r="BL63" s="132" t="s">
        <v>71</v>
      </c>
      <c r="BM63" s="132" t="s">
        <v>71</v>
      </c>
      <c r="BN63" s="132" t="s">
        <v>71</v>
      </c>
      <c r="BO63" s="132" t="s">
        <v>71</v>
      </c>
      <c r="BP63" s="132" t="s">
        <v>71</v>
      </c>
      <c r="BQ63" s="132" t="s">
        <v>71</v>
      </c>
      <c r="BR63" s="132" t="s">
        <v>71</v>
      </c>
      <c r="BS63" s="132" t="s">
        <v>71</v>
      </c>
      <c r="BT63" s="132" t="s">
        <v>71</v>
      </c>
      <c r="BU63" s="132" t="s">
        <v>60</v>
      </c>
      <c r="BV63" s="132" t="s">
        <v>71</v>
      </c>
      <c r="BW63" s="132" t="s">
        <v>60</v>
      </c>
      <c r="BX63" s="132" t="s">
        <v>71</v>
      </c>
      <c r="BY63" s="132" t="s">
        <v>60</v>
      </c>
      <c r="BZ63" s="132" t="s">
        <v>71</v>
      </c>
      <c r="CA63" s="132" t="s">
        <v>60</v>
      </c>
      <c r="CB63" s="132" t="s">
        <v>71</v>
      </c>
      <c r="CC63" s="132" t="s">
        <v>60</v>
      </c>
      <c r="CD63" s="132" t="s">
        <v>71</v>
      </c>
      <c r="CE63" s="132" t="s">
        <v>60</v>
      </c>
      <c r="CF63" s="132" t="s">
        <v>71</v>
      </c>
      <c r="CG63" s="132" t="s">
        <v>60</v>
      </c>
      <c r="CH63" s="132" t="s">
        <v>71</v>
      </c>
      <c r="CI63" s="132" t="s">
        <v>60</v>
      </c>
      <c r="CJ63" s="132" t="s">
        <v>71</v>
      </c>
      <c r="CK63" s="132" t="s">
        <v>60</v>
      </c>
      <c r="CL63" s="132" t="s">
        <v>71</v>
      </c>
      <c r="CM63" s="132" t="s">
        <v>60</v>
      </c>
      <c r="CN63" s="132" t="s">
        <v>71</v>
      </c>
      <c r="CO63" s="132" t="s">
        <v>60</v>
      </c>
      <c r="CP63" s="132" t="s">
        <v>71</v>
      </c>
      <c r="CQ63" s="132" t="s">
        <v>60</v>
      </c>
      <c r="CR63" s="132" t="s">
        <v>71</v>
      </c>
      <c r="CS63" s="132" t="s">
        <v>60</v>
      </c>
      <c r="CT63" s="132" t="s">
        <v>71</v>
      </c>
      <c r="CU63" s="132" t="s">
        <v>60</v>
      </c>
      <c r="CV63" s="132" t="s">
        <v>71</v>
      </c>
      <c r="CW63" s="132" t="s">
        <v>60</v>
      </c>
      <c r="CX63" s="132" t="s">
        <v>71</v>
      </c>
      <c r="CY63" s="132" t="s">
        <v>60</v>
      </c>
      <c r="CZ63" s="132" t="s">
        <v>71</v>
      </c>
      <c r="DA63" s="132" t="s">
        <v>60</v>
      </c>
      <c r="DB63" s="132" t="s">
        <v>71</v>
      </c>
      <c r="DC63" s="132" t="s">
        <v>60</v>
      </c>
      <c r="DD63" s="132" t="s">
        <v>71</v>
      </c>
      <c r="DE63" s="137" t="str">
        <f t="shared" si="8"/>
        <v>3&gt; YEARS OLD</v>
      </c>
      <c r="DF63" s="137">
        <f t="shared" ref="DF63:DF84" si="37">IF(M63="CONTROL",0,1)</f>
        <v>0</v>
      </c>
    </row>
    <row r="64" spans="1:110" x14ac:dyDescent="0.2">
      <c r="A64" s="160"/>
      <c r="B64" s="5">
        <f t="shared" si="16"/>
        <v>62</v>
      </c>
      <c r="C64" s="131" t="str">
        <f t="shared" si="35"/>
        <v>CNS98</v>
      </c>
      <c r="D64" s="135" t="s">
        <v>196</v>
      </c>
      <c r="E64" s="131" t="str">
        <f t="shared" si="36"/>
        <v>CNS98_CONTROL</v>
      </c>
      <c r="F64" s="131"/>
      <c r="G64" s="130">
        <f t="shared" si="28"/>
        <v>98</v>
      </c>
      <c r="H64" s="131"/>
      <c r="I64" s="131"/>
      <c r="J64" s="132" t="s">
        <v>25</v>
      </c>
      <c r="K64" s="132" t="s">
        <v>177</v>
      </c>
      <c r="L64" s="132" t="s">
        <v>301</v>
      </c>
      <c r="M64" s="131" t="s">
        <v>81</v>
      </c>
      <c r="N64" s="131" t="s">
        <v>81</v>
      </c>
      <c r="O64" s="131" t="s">
        <v>81</v>
      </c>
      <c r="P64" s="131" t="s">
        <v>312</v>
      </c>
      <c r="Q64" s="131" t="s">
        <v>81</v>
      </c>
      <c r="R64" s="131" t="s">
        <v>89</v>
      </c>
      <c r="S64" s="131" t="s">
        <v>297</v>
      </c>
      <c r="T64" s="131"/>
      <c r="U64" s="132" t="s">
        <v>81</v>
      </c>
      <c r="V64" s="132" t="s">
        <v>175</v>
      </c>
      <c r="W64" s="132"/>
      <c r="X64" s="132"/>
      <c r="Y64" s="133">
        <v>1.3369863013698631</v>
      </c>
      <c r="Z64" s="133">
        <f t="shared" ref="Z64:Z125" si="38">IF(ISERROR((Y64*12*4)+36),"NaN",(Y64*12*4)+36)</f>
        <v>100.17534246575343</v>
      </c>
      <c r="AA64" s="132" t="s">
        <v>71</v>
      </c>
      <c r="AB64" s="132" t="s">
        <v>60</v>
      </c>
      <c r="AC64" s="132" t="s">
        <v>60</v>
      </c>
      <c r="AD64" s="132" t="s">
        <v>71</v>
      </c>
      <c r="AE64" s="132" t="s">
        <v>71</v>
      </c>
      <c r="AF64" s="134" t="s">
        <v>68</v>
      </c>
      <c r="AG64" s="132" t="s">
        <v>81</v>
      </c>
      <c r="AH64" s="132" t="s">
        <v>71</v>
      </c>
      <c r="AI64" s="132" t="s">
        <v>60</v>
      </c>
      <c r="AJ64" s="132" t="s">
        <v>71</v>
      </c>
      <c r="AK64" s="132" t="s">
        <v>60</v>
      </c>
      <c r="AL64" s="132" t="s">
        <v>60</v>
      </c>
      <c r="AM64" s="132" t="s">
        <v>60</v>
      </c>
      <c r="AN64" s="132" t="s">
        <v>60</v>
      </c>
      <c r="AO64" s="132" t="s">
        <v>71</v>
      </c>
      <c r="AP64" s="132" t="s">
        <v>71</v>
      </c>
      <c r="AQ64" s="132" t="s">
        <v>71</v>
      </c>
      <c r="AR64" s="132" t="s">
        <v>71</v>
      </c>
      <c r="AS64" s="132" t="s">
        <v>71</v>
      </c>
      <c r="AT64" s="132" t="s">
        <v>71</v>
      </c>
      <c r="AU64" s="132" t="s">
        <v>71</v>
      </c>
      <c r="AV64" s="132" t="s">
        <v>71</v>
      </c>
      <c r="AW64" s="132" t="s">
        <v>71</v>
      </c>
      <c r="AX64" s="132" t="s">
        <v>71</v>
      </c>
      <c r="AY64" s="132" t="s">
        <v>71</v>
      </c>
      <c r="AZ64" s="132" t="s">
        <v>71</v>
      </c>
      <c r="BA64" s="132" t="s">
        <v>71</v>
      </c>
      <c r="BB64" s="132" t="s">
        <v>71</v>
      </c>
      <c r="BC64" s="132" t="s">
        <v>71</v>
      </c>
      <c r="BD64" s="132" t="s">
        <v>71</v>
      </c>
      <c r="BE64" s="132" t="s">
        <v>71</v>
      </c>
      <c r="BF64" s="132" t="s">
        <v>71</v>
      </c>
      <c r="BG64" s="132" t="s">
        <v>71</v>
      </c>
      <c r="BH64" s="132" t="s">
        <v>71</v>
      </c>
      <c r="BI64" s="132" t="s">
        <v>71</v>
      </c>
      <c r="BJ64" s="132" t="s">
        <v>71</v>
      </c>
      <c r="BK64" s="132" t="s">
        <v>71</v>
      </c>
      <c r="BL64" s="132" t="s">
        <v>71</v>
      </c>
      <c r="BM64" s="132" t="s">
        <v>71</v>
      </c>
      <c r="BN64" s="132" t="s">
        <v>71</v>
      </c>
      <c r="BO64" s="132" t="s">
        <v>71</v>
      </c>
      <c r="BP64" s="132" t="s">
        <v>71</v>
      </c>
      <c r="BQ64" s="132" t="s">
        <v>71</v>
      </c>
      <c r="BR64" s="132" t="s">
        <v>71</v>
      </c>
      <c r="BS64" s="132" t="s">
        <v>71</v>
      </c>
      <c r="BT64" s="132" t="s">
        <v>71</v>
      </c>
      <c r="BU64" s="132" t="s">
        <v>60</v>
      </c>
      <c r="BV64" s="132" t="s">
        <v>71</v>
      </c>
      <c r="BW64" s="132" t="s">
        <v>60</v>
      </c>
      <c r="BX64" s="132" t="s">
        <v>71</v>
      </c>
      <c r="BY64" s="132" t="s">
        <v>60</v>
      </c>
      <c r="BZ64" s="132" t="s">
        <v>71</v>
      </c>
      <c r="CA64" s="132" t="s">
        <v>60</v>
      </c>
      <c r="CB64" s="132" t="s">
        <v>71</v>
      </c>
      <c r="CC64" s="132" t="s">
        <v>60</v>
      </c>
      <c r="CD64" s="132" t="s">
        <v>71</v>
      </c>
      <c r="CE64" s="132" t="s">
        <v>60</v>
      </c>
      <c r="CF64" s="132" t="s">
        <v>71</v>
      </c>
      <c r="CG64" s="132" t="s">
        <v>60</v>
      </c>
      <c r="CH64" s="132" t="s">
        <v>71</v>
      </c>
      <c r="CI64" s="132" t="s">
        <v>60</v>
      </c>
      <c r="CJ64" s="132" t="s">
        <v>71</v>
      </c>
      <c r="CK64" s="132" t="s">
        <v>60</v>
      </c>
      <c r="CL64" s="132" t="s">
        <v>71</v>
      </c>
      <c r="CM64" s="132" t="s">
        <v>60</v>
      </c>
      <c r="CN64" s="132" t="s">
        <v>71</v>
      </c>
      <c r="CO64" s="132" t="s">
        <v>60</v>
      </c>
      <c r="CP64" s="132" t="s">
        <v>71</v>
      </c>
      <c r="CQ64" s="132" t="s">
        <v>60</v>
      </c>
      <c r="CR64" s="132" t="s">
        <v>71</v>
      </c>
      <c r="CS64" s="132" t="s">
        <v>60</v>
      </c>
      <c r="CT64" s="132" t="s">
        <v>71</v>
      </c>
      <c r="CU64" s="132" t="s">
        <v>60</v>
      </c>
      <c r="CV64" s="132" t="s">
        <v>71</v>
      </c>
      <c r="CW64" s="132" t="s">
        <v>60</v>
      </c>
      <c r="CX64" s="132" t="s">
        <v>71</v>
      </c>
      <c r="CY64" s="132" t="s">
        <v>60</v>
      </c>
      <c r="CZ64" s="132" t="s">
        <v>71</v>
      </c>
      <c r="DA64" s="132" t="s">
        <v>60</v>
      </c>
      <c r="DB64" s="132" t="s">
        <v>71</v>
      </c>
      <c r="DC64" s="132" t="s">
        <v>60</v>
      </c>
      <c r="DD64" s="132" t="s">
        <v>71</v>
      </c>
      <c r="DE64" s="137" t="str">
        <f t="shared" si="8"/>
        <v>3&gt; YEARS OLD</v>
      </c>
      <c r="DF64" s="137">
        <f t="shared" si="37"/>
        <v>0</v>
      </c>
    </row>
    <row r="65" spans="1:110" x14ac:dyDescent="0.2">
      <c r="A65" s="160"/>
      <c r="B65" s="5">
        <f t="shared" si="16"/>
        <v>63</v>
      </c>
      <c r="C65" s="131" t="str">
        <f t="shared" si="35"/>
        <v>CNS99</v>
      </c>
      <c r="D65" s="135" t="s">
        <v>197</v>
      </c>
      <c r="E65" s="131" t="str">
        <f t="shared" si="36"/>
        <v>CNS99_CONTROL</v>
      </c>
      <c r="F65" s="131"/>
      <c r="G65" s="130">
        <f t="shared" si="28"/>
        <v>99</v>
      </c>
      <c r="H65" s="131"/>
      <c r="I65" s="131"/>
      <c r="J65" s="132" t="s">
        <v>24</v>
      </c>
      <c r="K65" s="132" t="s">
        <v>177</v>
      </c>
      <c r="L65" s="132" t="s">
        <v>301</v>
      </c>
      <c r="M65" s="131" t="s">
        <v>81</v>
      </c>
      <c r="N65" s="131" t="s">
        <v>81</v>
      </c>
      <c r="O65" s="131" t="s">
        <v>81</v>
      </c>
      <c r="P65" s="131" t="s">
        <v>311</v>
      </c>
      <c r="Q65" s="131" t="s">
        <v>81</v>
      </c>
      <c r="R65" s="131" t="s">
        <v>89</v>
      </c>
      <c r="S65" s="131" t="s">
        <v>297</v>
      </c>
      <c r="T65" s="131"/>
      <c r="U65" s="132" t="s">
        <v>81</v>
      </c>
      <c r="V65" s="132" t="s">
        <v>172</v>
      </c>
      <c r="W65" s="132"/>
      <c r="X65" s="132"/>
      <c r="Y65" s="133">
        <v>0</v>
      </c>
      <c r="Z65" s="133">
        <v>18</v>
      </c>
      <c r="AA65" s="132" t="s">
        <v>71</v>
      </c>
      <c r="AB65" s="132" t="s">
        <v>60</v>
      </c>
      <c r="AC65" s="132" t="s">
        <v>60</v>
      </c>
      <c r="AD65" s="132" t="s">
        <v>71</v>
      </c>
      <c r="AE65" s="132" t="s">
        <v>71</v>
      </c>
      <c r="AF65" s="134" t="s">
        <v>68</v>
      </c>
      <c r="AG65" s="132" t="s">
        <v>81</v>
      </c>
      <c r="AH65" s="132" t="s">
        <v>71</v>
      </c>
      <c r="AI65" s="132" t="s">
        <v>60</v>
      </c>
      <c r="AJ65" s="132" t="s">
        <v>71</v>
      </c>
      <c r="AK65" s="132" t="s">
        <v>60</v>
      </c>
      <c r="AL65" s="132" t="s">
        <v>60</v>
      </c>
      <c r="AM65" s="132" t="s">
        <v>60</v>
      </c>
      <c r="AN65" s="132" t="s">
        <v>60</v>
      </c>
      <c r="AO65" s="132" t="s">
        <v>71</v>
      </c>
      <c r="AP65" s="132" t="s">
        <v>71</v>
      </c>
      <c r="AQ65" s="132" t="s">
        <v>71</v>
      </c>
      <c r="AR65" s="132" t="s">
        <v>71</v>
      </c>
      <c r="AS65" s="132" t="s">
        <v>71</v>
      </c>
      <c r="AT65" s="132" t="s">
        <v>71</v>
      </c>
      <c r="AU65" s="132" t="s">
        <v>71</v>
      </c>
      <c r="AV65" s="132" t="s">
        <v>71</v>
      </c>
      <c r="AW65" s="132" t="s">
        <v>71</v>
      </c>
      <c r="AX65" s="132" t="s">
        <v>71</v>
      </c>
      <c r="AY65" s="132" t="s">
        <v>71</v>
      </c>
      <c r="AZ65" s="132" t="s">
        <v>71</v>
      </c>
      <c r="BA65" s="132" t="s">
        <v>71</v>
      </c>
      <c r="BB65" s="132" t="s">
        <v>71</v>
      </c>
      <c r="BC65" s="132" t="s">
        <v>71</v>
      </c>
      <c r="BD65" s="132" t="s">
        <v>71</v>
      </c>
      <c r="BE65" s="132" t="s">
        <v>71</v>
      </c>
      <c r="BF65" s="132" t="s">
        <v>71</v>
      </c>
      <c r="BG65" s="132" t="s">
        <v>71</v>
      </c>
      <c r="BH65" s="132" t="s">
        <v>71</v>
      </c>
      <c r="BI65" s="132" t="s">
        <v>71</v>
      </c>
      <c r="BJ65" s="132" t="s">
        <v>71</v>
      </c>
      <c r="BK65" s="132" t="s">
        <v>71</v>
      </c>
      <c r="BL65" s="132" t="s">
        <v>71</v>
      </c>
      <c r="BM65" s="132" t="s">
        <v>71</v>
      </c>
      <c r="BN65" s="132" t="s">
        <v>71</v>
      </c>
      <c r="BO65" s="132" t="s">
        <v>71</v>
      </c>
      <c r="BP65" s="132" t="s">
        <v>71</v>
      </c>
      <c r="BQ65" s="132" t="s">
        <v>71</v>
      </c>
      <c r="BR65" s="132" t="s">
        <v>71</v>
      </c>
      <c r="BS65" s="132" t="s">
        <v>71</v>
      </c>
      <c r="BT65" s="132" t="s">
        <v>71</v>
      </c>
      <c r="BU65" s="132" t="s">
        <v>60</v>
      </c>
      <c r="BV65" s="132" t="s">
        <v>71</v>
      </c>
      <c r="BW65" s="132" t="s">
        <v>60</v>
      </c>
      <c r="BX65" s="132" t="s">
        <v>71</v>
      </c>
      <c r="BY65" s="132" t="s">
        <v>60</v>
      </c>
      <c r="BZ65" s="132" t="s">
        <v>71</v>
      </c>
      <c r="CA65" s="132" t="s">
        <v>60</v>
      </c>
      <c r="CB65" s="132" t="s">
        <v>71</v>
      </c>
      <c r="CC65" s="132" t="s">
        <v>60</v>
      </c>
      <c r="CD65" s="132" t="s">
        <v>71</v>
      </c>
      <c r="CE65" s="132" t="s">
        <v>60</v>
      </c>
      <c r="CF65" s="132" t="s">
        <v>71</v>
      </c>
      <c r="CG65" s="132" t="s">
        <v>60</v>
      </c>
      <c r="CH65" s="132" t="s">
        <v>71</v>
      </c>
      <c r="CI65" s="132" t="s">
        <v>60</v>
      </c>
      <c r="CJ65" s="132" t="s">
        <v>71</v>
      </c>
      <c r="CK65" s="132" t="s">
        <v>60</v>
      </c>
      <c r="CL65" s="132" t="s">
        <v>71</v>
      </c>
      <c r="CM65" s="132" t="s">
        <v>60</v>
      </c>
      <c r="CN65" s="132" t="s">
        <v>71</v>
      </c>
      <c r="CO65" s="132" t="s">
        <v>60</v>
      </c>
      <c r="CP65" s="132" t="s">
        <v>71</v>
      </c>
      <c r="CQ65" s="132" t="s">
        <v>60</v>
      </c>
      <c r="CR65" s="132" t="s">
        <v>71</v>
      </c>
      <c r="CS65" s="132" t="s">
        <v>60</v>
      </c>
      <c r="CT65" s="132" t="s">
        <v>71</v>
      </c>
      <c r="CU65" s="132" t="s">
        <v>60</v>
      </c>
      <c r="CV65" s="132" t="s">
        <v>71</v>
      </c>
      <c r="CW65" s="132" t="s">
        <v>60</v>
      </c>
      <c r="CX65" s="132" t="s">
        <v>71</v>
      </c>
      <c r="CY65" s="132" t="s">
        <v>60</v>
      </c>
      <c r="CZ65" s="132" t="s">
        <v>71</v>
      </c>
      <c r="DA65" s="132" t="s">
        <v>60</v>
      </c>
      <c r="DB65" s="132" t="s">
        <v>71</v>
      </c>
      <c r="DC65" s="132" t="s">
        <v>60</v>
      </c>
      <c r="DD65" s="132" t="s">
        <v>71</v>
      </c>
      <c r="DE65" s="137" t="str">
        <f t="shared" si="8"/>
        <v>FETAL</v>
      </c>
      <c r="DF65" s="137">
        <f t="shared" si="37"/>
        <v>0</v>
      </c>
    </row>
    <row r="66" spans="1:110" x14ac:dyDescent="0.2">
      <c r="A66" s="160"/>
      <c r="B66" s="5">
        <f t="shared" si="16"/>
        <v>64</v>
      </c>
      <c r="C66" s="131" t="str">
        <f t="shared" si="35"/>
        <v>CNS100</v>
      </c>
      <c r="D66" s="135" t="s">
        <v>198</v>
      </c>
      <c r="E66" s="131" t="str">
        <f t="shared" si="36"/>
        <v>CNS100_CONTROL</v>
      </c>
      <c r="F66" s="131"/>
      <c r="G66" s="130">
        <f t="shared" si="28"/>
        <v>100</v>
      </c>
      <c r="H66" s="131"/>
      <c r="I66" s="131"/>
      <c r="J66" s="132" t="s">
        <v>25</v>
      </c>
      <c r="K66" s="132" t="s">
        <v>177</v>
      </c>
      <c r="L66" s="132" t="s">
        <v>301</v>
      </c>
      <c r="M66" s="131" t="s">
        <v>81</v>
      </c>
      <c r="N66" s="131" t="s">
        <v>81</v>
      </c>
      <c r="O66" s="131" t="s">
        <v>81</v>
      </c>
      <c r="P66" s="131" t="s">
        <v>309</v>
      </c>
      <c r="Q66" s="131" t="s">
        <v>81</v>
      </c>
      <c r="R66" s="131" t="s">
        <v>89</v>
      </c>
      <c r="S66" s="131" t="s">
        <v>297</v>
      </c>
      <c r="T66" s="131"/>
      <c r="U66" s="132" t="s">
        <v>81</v>
      </c>
      <c r="V66" s="132" t="s">
        <v>174</v>
      </c>
      <c r="W66" s="132"/>
      <c r="X66" s="132"/>
      <c r="Y66" s="133">
        <v>4.7068493150684931</v>
      </c>
      <c r="Z66" s="133">
        <f t="shared" si="38"/>
        <v>261.92876712328768</v>
      </c>
      <c r="AA66" s="132" t="s">
        <v>71</v>
      </c>
      <c r="AB66" s="132" t="s">
        <v>60</v>
      </c>
      <c r="AC66" s="132" t="s">
        <v>60</v>
      </c>
      <c r="AD66" s="132" t="s">
        <v>71</v>
      </c>
      <c r="AE66" s="132" t="s">
        <v>71</v>
      </c>
      <c r="AF66" s="134" t="s">
        <v>68</v>
      </c>
      <c r="AG66" s="132" t="s">
        <v>81</v>
      </c>
      <c r="AH66" s="132" t="s">
        <v>71</v>
      </c>
      <c r="AI66" s="132" t="s">
        <v>60</v>
      </c>
      <c r="AJ66" s="132" t="s">
        <v>71</v>
      </c>
      <c r="AK66" s="132" t="s">
        <v>60</v>
      </c>
      <c r="AL66" s="132" t="s">
        <v>60</v>
      </c>
      <c r="AM66" s="132" t="s">
        <v>60</v>
      </c>
      <c r="AN66" s="132" t="s">
        <v>60</v>
      </c>
      <c r="AO66" s="132" t="s">
        <v>71</v>
      </c>
      <c r="AP66" s="132" t="s">
        <v>71</v>
      </c>
      <c r="AQ66" s="132" t="s">
        <v>71</v>
      </c>
      <c r="AR66" s="132" t="s">
        <v>71</v>
      </c>
      <c r="AS66" s="132" t="s">
        <v>71</v>
      </c>
      <c r="AT66" s="132" t="s">
        <v>71</v>
      </c>
      <c r="AU66" s="132" t="s">
        <v>71</v>
      </c>
      <c r="AV66" s="132" t="s">
        <v>71</v>
      </c>
      <c r="AW66" s="132" t="s">
        <v>71</v>
      </c>
      <c r="AX66" s="132" t="s">
        <v>71</v>
      </c>
      <c r="AY66" s="132" t="s">
        <v>71</v>
      </c>
      <c r="AZ66" s="132" t="s">
        <v>71</v>
      </c>
      <c r="BA66" s="132" t="s">
        <v>71</v>
      </c>
      <c r="BB66" s="132" t="s">
        <v>71</v>
      </c>
      <c r="BC66" s="132" t="s">
        <v>71</v>
      </c>
      <c r="BD66" s="132" t="s">
        <v>71</v>
      </c>
      <c r="BE66" s="132" t="s">
        <v>71</v>
      </c>
      <c r="BF66" s="132" t="s">
        <v>71</v>
      </c>
      <c r="BG66" s="132" t="s">
        <v>71</v>
      </c>
      <c r="BH66" s="132" t="s">
        <v>71</v>
      </c>
      <c r="BI66" s="132" t="s">
        <v>71</v>
      </c>
      <c r="BJ66" s="132" t="s">
        <v>71</v>
      </c>
      <c r="BK66" s="132" t="s">
        <v>71</v>
      </c>
      <c r="BL66" s="132" t="s">
        <v>71</v>
      </c>
      <c r="BM66" s="132" t="s">
        <v>71</v>
      </c>
      <c r="BN66" s="132" t="s">
        <v>71</v>
      </c>
      <c r="BO66" s="132" t="s">
        <v>71</v>
      </c>
      <c r="BP66" s="132" t="s">
        <v>71</v>
      </c>
      <c r="BQ66" s="132" t="s">
        <v>71</v>
      </c>
      <c r="BR66" s="132" t="s">
        <v>71</v>
      </c>
      <c r="BS66" s="132" t="s">
        <v>71</v>
      </c>
      <c r="BT66" s="132" t="s">
        <v>71</v>
      </c>
      <c r="BU66" s="132" t="s">
        <v>60</v>
      </c>
      <c r="BV66" s="132" t="s">
        <v>71</v>
      </c>
      <c r="BW66" s="132" t="s">
        <v>60</v>
      </c>
      <c r="BX66" s="132" t="s">
        <v>71</v>
      </c>
      <c r="BY66" s="132" t="s">
        <v>60</v>
      </c>
      <c r="BZ66" s="132" t="s">
        <v>71</v>
      </c>
      <c r="CA66" s="132" t="s">
        <v>60</v>
      </c>
      <c r="CB66" s="132" t="s">
        <v>71</v>
      </c>
      <c r="CC66" s="132" t="s">
        <v>60</v>
      </c>
      <c r="CD66" s="132" t="s">
        <v>71</v>
      </c>
      <c r="CE66" s="132" t="s">
        <v>60</v>
      </c>
      <c r="CF66" s="132" t="s">
        <v>71</v>
      </c>
      <c r="CG66" s="132" t="s">
        <v>60</v>
      </c>
      <c r="CH66" s="132" t="s">
        <v>71</v>
      </c>
      <c r="CI66" s="132" t="s">
        <v>60</v>
      </c>
      <c r="CJ66" s="132" t="s">
        <v>71</v>
      </c>
      <c r="CK66" s="132" t="s">
        <v>60</v>
      </c>
      <c r="CL66" s="132" t="s">
        <v>71</v>
      </c>
      <c r="CM66" s="132" t="s">
        <v>60</v>
      </c>
      <c r="CN66" s="132" t="s">
        <v>71</v>
      </c>
      <c r="CO66" s="132" t="s">
        <v>60</v>
      </c>
      <c r="CP66" s="132" t="s">
        <v>71</v>
      </c>
      <c r="CQ66" s="132" t="s">
        <v>60</v>
      </c>
      <c r="CR66" s="132" t="s">
        <v>71</v>
      </c>
      <c r="CS66" s="132" t="s">
        <v>60</v>
      </c>
      <c r="CT66" s="132" t="s">
        <v>71</v>
      </c>
      <c r="CU66" s="132" t="s">
        <v>60</v>
      </c>
      <c r="CV66" s="132" t="s">
        <v>71</v>
      </c>
      <c r="CW66" s="132" t="s">
        <v>60</v>
      </c>
      <c r="CX66" s="132" t="s">
        <v>71</v>
      </c>
      <c r="CY66" s="132" t="s">
        <v>60</v>
      </c>
      <c r="CZ66" s="132" t="s">
        <v>71</v>
      </c>
      <c r="DA66" s="132" t="s">
        <v>60</v>
      </c>
      <c r="DB66" s="132" t="s">
        <v>71</v>
      </c>
      <c r="DC66" s="132" t="s">
        <v>60</v>
      </c>
      <c r="DD66" s="132" t="s">
        <v>71</v>
      </c>
      <c r="DE66" s="137" t="str">
        <f t="shared" ref="DE66:DE129" si="39">IF(ISERROR(IF(AND(Y66&lt;3,Y66&gt;0),"3&gt; YEARS OLD",IF(AND(Y66&gt;3,Y66&lt;9),"3&lt;YEARS OLD&lt;9",IF(Y66&gt;9,"9&lt; YEARS OLD",IF(Y66=0,"FETAL","N/A"))))),"N/A",(IF(AND(Y66&lt;3,Y66&gt;0),"3&gt; YEARS OLD",IF(AND(Y66&gt;3,Y66&lt;9),"3&lt;YEARS OLD&lt;9",IF(Y66&gt;9,"9&lt; YEARS OLD",IF(Y66=0,"FETAL","N/A"))))))</f>
        <v>3&lt;YEARS OLD&lt;9</v>
      </c>
      <c r="DF66" s="137">
        <f t="shared" si="37"/>
        <v>0</v>
      </c>
    </row>
    <row r="67" spans="1:110" x14ac:dyDescent="0.2">
      <c r="A67" s="160"/>
      <c r="B67" s="5">
        <f t="shared" si="16"/>
        <v>65</v>
      </c>
      <c r="C67" s="131" t="str">
        <f t="shared" si="35"/>
        <v>CNS101</v>
      </c>
      <c r="D67" s="135" t="s">
        <v>199</v>
      </c>
      <c r="E67" s="131" t="str">
        <f t="shared" si="36"/>
        <v>CNS101_CONTROL</v>
      </c>
      <c r="F67" s="131"/>
      <c r="G67" s="130">
        <f t="shared" si="28"/>
        <v>101</v>
      </c>
      <c r="H67" s="131"/>
      <c r="I67" s="131"/>
      <c r="J67" s="132" t="s">
        <v>25</v>
      </c>
      <c r="K67" s="132" t="s">
        <v>177</v>
      </c>
      <c r="L67" s="132" t="s">
        <v>301</v>
      </c>
      <c r="M67" s="131" t="s">
        <v>81</v>
      </c>
      <c r="N67" s="131" t="s">
        <v>81</v>
      </c>
      <c r="O67" s="131" t="s">
        <v>81</v>
      </c>
      <c r="P67" s="131" t="s">
        <v>311</v>
      </c>
      <c r="Q67" s="131" t="s">
        <v>81</v>
      </c>
      <c r="R67" s="131" t="s">
        <v>89</v>
      </c>
      <c r="S67" s="131" t="s">
        <v>297</v>
      </c>
      <c r="T67" s="131"/>
      <c r="U67" s="132" t="s">
        <v>81</v>
      </c>
      <c r="V67" s="132" t="s">
        <v>172</v>
      </c>
      <c r="W67" s="132"/>
      <c r="X67" s="132"/>
      <c r="Y67" s="133">
        <v>0</v>
      </c>
      <c r="Z67" s="133">
        <v>17</v>
      </c>
      <c r="AA67" s="132" t="s">
        <v>71</v>
      </c>
      <c r="AB67" s="132" t="s">
        <v>60</v>
      </c>
      <c r="AC67" s="132" t="s">
        <v>60</v>
      </c>
      <c r="AD67" s="132" t="s">
        <v>71</v>
      </c>
      <c r="AE67" s="132" t="s">
        <v>71</v>
      </c>
      <c r="AF67" s="134" t="s">
        <v>68</v>
      </c>
      <c r="AG67" s="132" t="s">
        <v>81</v>
      </c>
      <c r="AH67" s="132" t="s">
        <v>71</v>
      </c>
      <c r="AI67" s="132" t="s">
        <v>60</v>
      </c>
      <c r="AJ67" s="132" t="s">
        <v>71</v>
      </c>
      <c r="AK67" s="132" t="s">
        <v>60</v>
      </c>
      <c r="AL67" s="132" t="s">
        <v>60</v>
      </c>
      <c r="AM67" s="132" t="s">
        <v>60</v>
      </c>
      <c r="AN67" s="132" t="s">
        <v>60</v>
      </c>
      <c r="AO67" s="132" t="s">
        <v>71</v>
      </c>
      <c r="AP67" s="132" t="s">
        <v>71</v>
      </c>
      <c r="AQ67" s="132" t="s">
        <v>71</v>
      </c>
      <c r="AR67" s="132" t="s">
        <v>71</v>
      </c>
      <c r="AS67" s="132" t="s">
        <v>71</v>
      </c>
      <c r="AT67" s="132" t="s">
        <v>71</v>
      </c>
      <c r="AU67" s="132" t="s">
        <v>71</v>
      </c>
      <c r="AV67" s="132" t="s">
        <v>71</v>
      </c>
      <c r="AW67" s="132" t="s">
        <v>71</v>
      </c>
      <c r="AX67" s="132" t="s">
        <v>71</v>
      </c>
      <c r="AY67" s="132" t="s">
        <v>71</v>
      </c>
      <c r="AZ67" s="132" t="s">
        <v>71</v>
      </c>
      <c r="BA67" s="132" t="s">
        <v>71</v>
      </c>
      <c r="BB67" s="132" t="s">
        <v>71</v>
      </c>
      <c r="BC67" s="132" t="s">
        <v>71</v>
      </c>
      <c r="BD67" s="132" t="s">
        <v>71</v>
      </c>
      <c r="BE67" s="132" t="s">
        <v>71</v>
      </c>
      <c r="BF67" s="132" t="s">
        <v>71</v>
      </c>
      <c r="BG67" s="132" t="s">
        <v>71</v>
      </c>
      <c r="BH67" s="132" t="s">
        <v>71</v>
      </c>
      <c r="BI67" s="132" t="s">
        <v>71</v>
      </c>
      <c r="BJ67" s="132" t="s">
        <v>71</v>
      </c>
      <c r="BK67" s="132" t="s">
        <v>71</v>
      </c>
      <c r="BL67" s="132" t="s">
        <v>71</v>
      </c>
      <c r="BM67" s="132" t="s">
        <v>71</v>
      </c>
      <c r="BN67" s="132" t="s">
        <v>71</v>
      </c>
      <c r="BO67" s="132" t="s">
        <v>71</v>
      </c>
      <c r="BP67" s="132" t="s">
        <v>71</v>
      </c>
      <c r="BQ67" s="132" t="s">
        <v>71</v>
      </c>
      <c r="BR67" s="132" t="s">
        <v>71</v>
      </c>
      <c r="BS67" s="132" t="s">
        <v>71</v>
      </c>
      <c r="BT67" s="132" t="s">
        <v>71</v>
      </c>
      <c r="BU67" s="132" t="s">
        <v>60</v>
      </c>
      <c r="BV67" s="132" t="s">
        <v>71</v>
      </c>
      <c r="BW67" s="132" t="s">
        <v>60</v>
      </c>
      <c r="BX67" s="132" t="s">
        <v>71</v>
      </c>
      <c r="BY67" s="132" t="s">
        <v>60</v>
      </c>
      <c r="BZ67" s="132" t="s">
        <v>71</v>
      </c>
      <c r="CA67" s="132" t="s">
        <v>60</v>
      </c>
      <c r="CB67" s="132" t="s">
        <v>71</v>
      </c>
      <c r="CC67" s="132" t="s">
        <v>60</v>
      </c>
      <c r="CD67" s="132" t="s">
        <v>71</v>
      </c>
      <c r="CE67" s="132" t="s">
        <v>60</v>
      </c>
      <c r="CF67" s="132" t="s">
        <v>71</v>
      </c>
      <c r="CG67" s="132" t="s">
        <v>60</v>
      </c>
      <c r="CH67" s="132" t="s">
        <v>71</v>
      </c>
      <c r="CI67" s="132" t="s">
        <v>60</v>
      </c>
      <c r="CJ67" s="132" t="s">
        <v>71</v>
      </c>
      <c r="CK67" s="132" t="s">
        <v>60</v>
      </c>
      <c r="CL67" s="132" t="s">
        <v>71</v>
      </c>
      <c r="CM67" s="132" t="s">
        <v>60</v>
      </c>
      <c r="CN67" s="132" t="s">
        <v>71</v>
      </c>
      <c r="CO67" s="132" t="s">
        <v>60</v>
      </c>
      <c r="CP67" s="132" t="s">
        <v>71</v>
      </c>
      <c r="CQ67" s="132" t="s">
        <v>60</v>
      </c>
      <c r="CR67" s="132" t="s">
        <v>71</v>
      </c>
      <c r="CS67" s="132" t="s">
        <v>60</v>
      </c>
      <c r="CT67" s="132" t="s">
        <v>71</v>
      </c>
      <c r="CU67" s="132" t="s">
        <v>60</v>
      </c>
      <c r="CV67" s="132" t="s">
        <v>71</v>
      </c>
      <c r="CW67" s="132" t="s">
        <v>60</v>
      </c>
      <c r="CX67" s="132" t="s">
        <v>71</v>
      </c>
      <c r="CY67" s="132" t="s">
        <v>60</v>
      </c>
      <c r="CZ67" s="132" t="s">
        <v>71</v>
      </c>
      <c r="DA67" s="132" t="s">
        <v>60</v>
      </c>
      <c r="DB67" s="132" t="s">
        <v>71</v>
      </c>
      <c r="DC67" s="132" t="s">
        <v>60</v>
      </c>
      <c r="DD67" s="132" t="s">
        <v>71</v>
      </c>
      <c r="DE67" s="137" t="str">
        <f t="shared" si="39"/>
        <v>FETAL</v>
      </c>
      <c r="DF67" s="137">
        <f t="shared" si="37"/>
        <v>0</v>
      </c>
    </row>
    <row r="68" spans="1:110" x14ac:dyDescent="0.2">
      <c r="A68" s="160"/>
      <c r="B68" s="5">
        <f t="shared" si="16"/>
        <v>66</v>
      </c>
      <c r="C68" s="131" t="str">
        <f t="shared" si="35"/>
        <v>CNS102</v>
      </c>
      <c r="D68" s="135" t="s">
        <v>200</v>
      </c>
      <c r="E68" s="131" t="str">
        <f t="shared" si="36"/>
        <v>CNS102_CONTROL</v>
      </c>
      <c r="F68" s="131"/>
      <c r="G68" s="130">
        <f t="shared" ref="G68:G131" si="40">G67+1</f>
        <v>102</v>
      </c>
      <c r="H68" s="131"/>
      <c r="I68" s="131"/>
      <c r="J68" s="132" t="s">
        <v>25</v>
      </c>
      <c r="K68" s="132" t="s">
        <v>177</v>
      </c>
      <c r="L68" s="132" t="s">
        <v>301</v>
      </c>
      <c r="M68" s="131" t="s">
        <v>81</v>
      </c>
      <c r="N68" s="131" t="s">
        <v>81</v>
      </c>
      <c r="O68" s="131" t="s">
        <v>81</v>
      </c>
      <c r="P68" s="131" t="s">
        <v>312</v>
      </c>
      <c r="Q68" s="131" t="s">
        <v>81</v>
      </c>
      <c r="R68" s="131" t="s">
        <v>89</v>
      </c>
      <c r="S68" s="131" t="s">
        <v>297</v>
      </c>
      <c r="T68" s="131"/>
      <c r="U68" s="132" t="s">
        <v>81</v>
      </c>
      <c r="V68" s="132" t="s">
        <v>175</v>
      </c>
      <c r="W68" s="132"/>
      <c r="X68" s="132"/>
      <c r="Y68" s="133">
        <v>0.26849315068493151</v>
      </c>
      <c r="Z68" s="133">
        <f t="shared" si="38"/>
        <v>48.887671232876713</v>
      </c>
      <c r="AA68" s="132" t="s">
        <v>71</v>
      </c>
      <c r="AB68" s="132" t="s">
        <v>60</v>
      </c>
      <c r="AC68" s="132" t="s">
        <v>60</v>
      </c>
      <c r="AD68" s="132" t="s">
        <v>71</v>
      </c>
      <c r="AE68" s="132" t="s">
        <v>71</v>
      </c>
      <c r="AF68" s="134" t="s">
        <v>68</v>
      </c>
      <c r="AG68" s="132" t="s">
        <v>81</v>
      </c>
      <c r="AH68" s="132" t="s">
        <v>71</v>
      </c>
      <c r="AI68" s="132" t="s">
        <v>60</v>
      </c>
      <c r="AJ68" s="132" t="s">
        <v>71</v>
      </c>
      <c r="AK68" s="132" t="s">
        <v>60</v>
      </c>
      <c r="AL68" s="132" t="s">
        <v>60</v>
      </c>
      <c r="AM68" s="132" t="s">
        <v>60</v>
      </c>
      <c r="AN68" s="132" t="s">
        <v>60</v>
      </c>
      <c r="AO68" s="132" t="s">
        <v>71</v>
      </c>
      <c r="AP68" s="132" t="s">
        <v>71</v>
      </c>
      <c r="AQ68" s="132" t="s">
        <v>71</v>
      </c>
      <c r="AR68" s="132" t="s">
        <v>71</v>
      </c>
      <c r="AS68" s="132" t="s">
        <v>71</v>
      </c>
      <c r="AT68" s="132" t="s">
        <v>71</v>
      </c>
      <c r="AU68" s="132" t="s">
        <v>71</v>
      </c>
      <c r="AV68" s="132" t="s">
        <v>71</v>
      </c>
      <c r="AW68" s="132" t="s">
        <v>71</v>
      </c>
      <c r="AX68" s="132" t="s">
        <v>71</v>
      </c>
      <c r="AY68" s="132" t="s">
        <v>71</v>
      </c>
      <c r="AZ68" s="132" t="s">
        <v>71</v>
      </c>
      <c r="BA68" s="132" t="s">
        <v>71</v>
      </c>
      <c r="BB68" s="132" t="s">
        <v>71</v>
      </c>
      <c r="BC68" s="132" t="s">
        <v>71</v>
      </c>
      <c r="BD68" s="132" t="s">
        <v>71</v>
      </c>
      <c r="BE68" s="132" t="s">
        <v>71</v>
      </c>
      <c r="BF68" s="132" t="s">
        <v>71</v>
      </c>
      <c r="BG68" s="132" t="s">
        <v>71</v>
      </c>
      <c r="BH68" s="132" t="s">
        <v>71</v>
      </c>
      <c r="BI68" s="132" t="s">
        <v>71</v>
      </c>
      <c r="BJ68" s="132" t="s">
        <v>71</v>
      </c>
      <c r="BK68" s="132" t="s">
        <v>71</v>
      </c>
      <c r="BL68" s="132" t="s">
        <v>71</v>
      </c>
      <c r="BM68" s="132" t="s">
        <v>71</v>
      </c>
      <c r="BN68" s="132" t="s">
        <v>71</v>
      </c>
      <c r="BO68" s="132" t="s">
        <v>71</v>
      </c>
      <c r="BP68" s="132" t="s">
        <v>71</v>
      </c>
      <c r="BQ68" s="132" t="s">
        <v>71</v>
      </c>
      <c r="BR68" s="132" t="s">
        <v>71</v>
      </c>
      <c r="BS68" s="132" t="s">
        <v>71</v>
      </c>
      <c r="BT68" s="132" t="s">
        <v>71</v>
      </c>
      <c r="BU68" s="132" t="s">
        <v>60</v>
      </c>
      <c r="BV68" s="132" t="s">
        <v>71</v>
      </c>
      <c r="BW68" s="132" t="s">
        <v>60</v>
      </c>
      <c r="BX68" s="132" t="s">
        <v>71</v>
      </c>
      <c r="BY68" s="132" t="s">
        <v>60</v>
      </c>
      <c r="BZ68" s="132" t="s">
        <v>71</v>
      </c>
      <c r="CA68" s="132" t="s">
        <v>60</v>
      </c>
      <c r="CB68" s="132" t="s">
        <v>71</v>
      </c>
      <c r="CC68" s="132" t="s">
        <v>60</v>
      </c>
      <c r="CD68" s="132" t="s">
        <v>71</v>
      </c>
      <c r="CE68" s="132" t="s">
        <v>60</v>
      </c>
      <c r="CF68" s="132" t="s">
        <v>71</v>
      </c>
      <c r="CG68" s="132" t="s">
        <v>60</v>
      </c>
      <c r="CH68" s="132" t="s">
        <v>71</v>
      </c>
      <c r="CI68" s="132" t="s">
        <v>60</v>
      </c>
      <c r="CJ68" s="132" t="s">
        <v>71</v>
      </c>
      <c r="CK68" s="132" t="s">
        <v>60</v>
      </c>
      <c r="CL68" s="132" t="s">
        <v>71</v>
      </c>
      <c r="CM68" s="132" t="s">
        <v>60</v>
      </c>
      <c r="CN68" s="132" t="s">
        <v>71</v>
      </c>
      <c r="CO68" s="132" t="s">
        <v>60</v>
      </c>
      <c r="CP68" s="132" t="s">
        <v>71</v>
      </c>
      <c r="CQ68" s="132" t="s">
        <v>60</v>
      </c>
      <c r="CR68" s="132" t="s">
        <v>71</v>
      </c>
      <c r="CS68" s="132" t="s">
        <v>60</v>
      </c>
      <c r="CT68" s="132" t="s">
        <v>71</v>
      </c>
      <c r="CU68" s="132" t="s">
        <v>60</v>
      </c>
      <c r="CV68" s="132" t="s">
        <v>71</v>
      </c>
      <c r="CW68" s="132" t="s">
        <v>60</v>
      </c>
      <c r="CX68" s="132" t="s">
        <v>71</v>
      </c>
      <c r="CY68" s="132" t="s">
        <v>60</v>
      </c>
      <c r="CZ68" s="132" t="s">
        <v>71</v>
      </c>
      <c r="DA68" s="132" t="s">
        <v>60</v>
      </c>
      <c r="DB68" s="132" t="s">
        <v>71</v>
      </c>
      <c r="DC68" s="132" t="s">
        <v>60</v>
      </c>
      <c r="DD68" s="132" t="s">
        <v>71</v>
      </c>
      <c r="DE68" s="137" t="str">
        <f t="shared" si="39"/>
        <v>3&gt; YEARS OLD</v>
      </c>
      <c r="DF68" s="137">
        <f t="shared" si="37"/>
        <v>0</v>
      </c>
    </row>
    <row r="69" spans="1:110" x14ac:dyDescent="0.2">
      <c r="A69" s="160"/>
      <c r="B69" s="5">
        <f t="shared" si="16"/>
        <v>67</v>
      </c>
      <c r="C69" s="131" t="str">
        <f t="shared" si="35"/>
        <v>CNS103</v>
      </c>
      <c r="D69" s="135" t="s">
        <v>201</v>
      </c>
      <c r="E69" s="131" t="str">
        <f t="shared" si="36"/>
        <v>CNS103_CONTROL</v>
      </c>
      <c r="F69" s="131"/>
      <c r="G69" s="130">
        <f t="shared" si="40"/>
        <v>103</v>
      </c>
      <c r="H69" s="131"/>
      <c r="I69" s="131"/>
      <c r="J69" s="132" t="s">
        <v>25</v>
      </c>
      <c r="K69" s="132" t="s">
        <v>177</v>
      </c>
      <c r="L69" s="132" t="s">
        <v>301</v>
      </c>
      <c r="M69" s="131" t="s">
        <v>81</v>
      </c>
      <c r="N69" s="131" t="s">
        <v>81</v>
      </c>
      <c r="O69" s="131" t="s">
        <v>81</v>
      </c>
      <c r="P69" s="131" t="s">
        <v>311</v>
      </c>
      <c r="Q69" s="131" t="s">
        <v>81</v>
      </c>
      <c r="R69" s="131" t="s">
        <v>89</v>
      </c>
      <c r="S69" s="131" t="s">
        <v>297</v>
      </c>
      <c r="T69" s="131"/>
      <c r="U69" s="132" t="s">
        <v>81</v>
      </c>
      <c r="V69" s="132" t="s">
        <v>172</v>
      </c>
      <c r="W69" s="132"/>
      <c r="X69" s="132"/>
      <c r="Y69" s="133">
        <v>0</v>
      </c>
      <c r="Z69" s="133">
        <v>16</v>
      </c>
      <c r="AA69" s="132" t="s">
        <v>71</v>
      </c>
      <c r="AB69" s="132" t="s">
        <v>60</v>
      </c>
      <c r="AC69" s="132" t="s">
        <v>60</v>
      </c>
      <c r="AD69" s="132" t="s">
        <v>71</v>
      </c>
      <c r="AE69" s="132" t="s">
        <v>71</v>
      </c>
      <c r="AF69" s="134" t="s">
        <v>68</v>
      </c>
      <c r="AG69" s="132" t="s">
        <v>81</v>
      </c>
      <c r="AH69" s="132" t="s">
        <v>71</v>
      </c>
      <c r="AI69" s="132" t="s">
        <v>60</v>
      </c>
      <c r="AJ69" s="132" t="s">
        <v>71</v>
      </c>
      <c r="AK69" s="132" t="s">
        <v>60</v>
      </c>
      <c r="AL69" s="132" t="s">
        <v>60</v>
      </c>
      <c r="AM69" s="132" t="s">
        <v>60</v>
      </c>
      <c r="AN69" s="132" t="s">
        <v>60</v>
      </c>
      <c r="AO69" s="132" t="s">
        <v>71</v>
      </c>
      <c r="AP69" s="132" t="s">
        <v>71</v>
      </c>
      <c r="AQ69" s="132" t="s">
        <v>71</v>
      </c>
      <c r="AR69" s="132" t="s">
        <v>71</v>
      </c>
      <c r="AS69" s="132" t="s">
        <v>71</v>
      </c>
      <c r="AT69" s="132" t="s">
        <v>71</v>
      </c>
      <c r="AU69" s="132" t="s">
        <v>71</v>
      </c>
      <c r="AV69" s="132" t="s">
        <v>71</v>
      </c>
      <c r="AW69" s="132" t="s">
        <v>71</v>
      </c>
      <c r="AX69" s="132" t="s">
        <v>71</v>
      </c>
      <c r="AY69" s="132" t="s">
        <v>71</v>
      </c>
      <c r="AZ69" s="132" t="s">
        <v>71</v>
      </c>
      <c r="BA69" s="132" t="s">
        <v>71</v>
      </c>
      <c r="BB69" s="132" t="s">
        <v>71</v>
      </c>
      <c r="BC69" s="132" t="s">
        <v>71</v>
      </c>
      <c r="BD69" s="132" t="s">
        <v>71</v>
      </c>
      <c r="BE69" s="132" t="s">
        <v>71</v>
      </c>
      <c r="BF69" s="132" t="s">
        <v>71</v>
      </c>
      <c r="BG69" s="132" t="s">
        <v>71</v>
      </c>
      <c r="BH69" s="132" t="s">
        <v>71</v>
      </c>
      <c r="BI69" s="132" t="s">
        <v>71</v>
      </c>
      <c r="BJ69" s="132" t="s">
        <v>71</v>
      </c>
      <c r="BK69" s="132" t="s">
        <v>71</v>
      </c>
      <c r="BL69" s="132" t="s">
        <v>71</v>
      </c>
      <c r="BM69" s="132" t="s">
        <v>71</v>
      </c>
      <c r="BN69" s="132" t="s">
        <v>71</v>
      </c>
      <c r="BO69" s="132" t="s">
        <v>71</v>
      </c>
      <c r="BP69" s="132" t="s">
        <v>71</v>
      </c>
      <c r="BQ69" s="132" t="s">
        <v>71</v>
      </c>
      <c r="BR69" s="132" t="s">
        <v>71</v>
      </c>
      <c r="BS69" s="132" t="s">
        <v>71</v>
      </c>
      <c r="BT69" s="132" t="s">
        <v>71</v>
      </c>
      <c r="BU69" s="132" t="s">
        <v>60</v>
      </c>
      <c r="BV69" s="132" t="s">
        <v>71</v>
      </c>
      <c r="BW69" s="132" t="s">
        <v>60</v>
      </c>
      <c r="BX69" s="132" t="s">
        <v>71</v>
      </c>
      <c r="BY69" s="132" t="s">
        <v>60</v>
      </c>
      <c r="BZ69" s="132" t="s">
        <v>71</v>
      </c>
      <c r="CA69" s="132" t="s">
        <v>60</v>
      </c>
      <c r="CB69" s="132" t="s">
        <v>71</v>
      </c>
      <c r="CC69" s="132" t="s">
        <v>60</v>
      </c>
      <c r="CD69" s="132" t="s">
        <v>71</v>
      </c>
      <c r="CE69" s="132" t="s">
        <v>60</v>
      </c>
      <c r="CF69" s="132" t="s">
        <v>71</v>
      </c>
      <c r="CG69" s="132" t="s">
        <v>60</v>
      </c>
      <c r="CH69" s="132" t="s">
        <v>71</v>
      </c>
      <c r="CI69" s="132" t="s">
        <v>60</v>
      </c>
      <c r="CJ69" s="132" t="s">
        <v>71</v>
      </c>
      <c r="CK69" s="132" t="s">
        <v>60</v>
      </c>
      <c r="CL69" s="132" t="s">
        <v>71</v>
      </c>
      <c r="CM69" s="132" t="s">
        <v>60</v>
      </c>
      <c r="CN69" s="132" t="s">
        <v>71</v>
      </c>
      <c r="CO69" s="132" t="s">
        <v>60</v>
      </c>
      <c r="CP69" s="132" t="s">
        <v>71</v>
      </c>
      <c r="CQ69" s="132" t="s">
        <v>60</v>
      </c>
      <c r="CR69" s="132" t="s">
        <v>71</v>
      </c>
      <c r="CS69" s="132" t="s">
        <v>60</v>
      </c>
      <c r="CT69" s="132" t="s">
        <v>71</v>
      </c>
      <c r="CU69" s="132" t="s">
        <v>60</v>
      </c>
      <c r="CV69" s="132" t="s">
        <v>71</v>
      </c>
      <c r="CW69" s="132" t="s">
        <v>60</v>
      </c>
      <c r="CX69" s="132" t="s">
        <v>71</v>
      </c>
      <c r="CY69" s="132" t="s">
        <v>60</v>
      </c>
      <c r="CZ69" s="132" t="s">
        <v>71</v>
      </c>
      <c r="DA69" s="132" t="s">
        <v>60</v>
      </c>
      <c r="DB69" s="132" t="s">
        <v>71</v>
      </c>
      <c r="DC69" s="132" t="s">
        <v>60</v>
      </c>
      <c r="DD69" s="132" t="s">
        <v>71</v>
      </c>
      <c r="DE69" s="137" t="str">
        <f t="shared" si="39"/>
        <v>FETAL</v>
      </c>
      <c r="DF69" s="137">
        <f t="shared" si="37"/>
        <v>0</v>
      </c>
    </row>
    <row r="70" spans="1:110" x14ac:dyDescent="0.2">
      <c r="A70" s="160"/>
      <c r="B70" s="5">
        <f t="shared" si="16"/>
        <v>68</v>
      </c>
      <c r="C70" s="131" t="str">
        <f t="shared" si="35"/>
        <v>CNS104</v>
      </c>
      <c r="D70" s="135" t="s">
        <v>202</v>
      </c>
      <c r="E70" s="131" t="str">
        <f t="shared" si="36"/>
        <v>CNS104_CONTROL</v>
      </c>
      <c r="F70" s="131"/>
      <c r="G70" s="130">
        <f t="shared" si="40"/>
        <v>104</v>
      </c>
      <c r="H70" s="131"/>
      <c r="I70" s="131"/>
      <c r="J70" s="132" t="s">
        <v>24</v>
      </c>
      <c r="K70" s="132" t="s">
        <v>177</v>
      </c>
      <c r="L70" s="132" t="s">
        <v>301</v>
      </c>
      <c r="M70" s="131" t="s">
        <v>81</v>
      </c>
      <c r="N70" s="131" t="s">
        <v>81</v>
      </c>
      <c r="O70" s="131" t="s">
        <v>81</v>
      </c>
      <c r="P70" s="131" t="s">
        <v>311</v>
      </c>
      <c r="Q70" s="131" t="s">
        <v>81</v>
      </c>
      <c r="R70" s="131" t="s">
        <v>89</v>
      </c>
      <c r="S70" s="131" t="s">
        <v>297</v>
      </c>
      <c r="T70" s="131"/>
      <c r="U70" s="132" t="s">
        <v>81</v>
      </c>
      <c r="V70" s="132" t="s">
        <v>172</v>
      </c>
      <c r="W70" s="132"/>
      <c r="X70" s="132"/>
      <c r="Y70" s="133">
        <v>0</v>
      </c>
      <c r="Z70" s="133">
        <v>18</v>
      </c>
      <c r="AA70" s="132" t="s">
        <v>71</v>
      </c>
      <c r="AB70" s="132" t="s">
        <v>60</v>
      </c>
      <c r="AC70" s="132" t="s">
        <v>60</v>
      </c>
      <c r="AD70" s="132" t="s">
        <v>71</v>
      </c>
      <c r="AE70" s="132" t="s">
        <v>71</v>
      </c>
      <c r="AF70" s="134" t="s">
        <v>68</v>
      </c>
      <c r="AG70" s="132" t="s">
        <v>81</v>
      </c>
      <c r="AH70" s="132" t="s">
        <v>71</v>
      </c>
      <c r="AI70" s="132" t="s">
        <v>60</v>
      </c>
      <c r="AJ70" s="132" t="s">
        <v>71</v>
      </c>
      <c r="AK70" s="132" t="s">
        <v>60</v>
      </c>
      <c r="AL70" s="132" t="s">
        <v>60</v>
      </c>
      <c r="AM70" s="132" t="s">
        <v>60</v>
      </c>
      <c r="AN70" s="132" t="s">
        <v>60</v>
      </c>
      <c r="AO70" s="132" t="s">
        <v>71</v>
      </c>
      <c r="AP70" s="132" t="s">
        <v>71</v>
      </c>
      <c r="AQ70" s="132" t="s">
        <v>71</v>
      </c>
      <c r="AR70" s="132" t="s">
        <v>71</v>
      </c>
      <c r="AS70" s="132" t="s">
        <v>71</v>
      </c>
      <c r="AT70" s="132" t="s">
        <v>71</v>
      </c>
      <c r="AU70" s="132" t="s">
        <v>71</v>
      </c>
      <c r="AV70" s="132" t="s">
        <v>71</v>
      </c>
      <c r="AW70" s="132" t="s">
        <v>71</v>
      </c>
      <c r="AX70" s="132" t="s">
        <v>71</v>
      </c>
      <c r="AY70" s="132" t="s">
        <v>71</v>
      </c>
      <c r="AZ70" s="132" t="s">
        <v>71</v>
      </c>
      <c r="BA70" s="132" t="s">
        <v>71</v>
      </c>
      <c r="BB70" s="132" t="s">
        <v>71</v>
      </c>
      <c r="BC70" s="132" t="s">
        <v>71</v>
      </c>
      <c r="BD70" s="132" t="s">
        <v>71</v>
      </c>
      <c r="BE70" s="132" t="s">
        <v>71</v>
      </c>
      <c r="BF70" s="132" t="s">
        <v>71</v>
      </c>
      <c r="BG70" s="132" t="s">
        <v>71</v>
      </c>
      <c r="BH70" s="132" t="s">
        <v>71</v>
      </c>
      <c r="BI70" s="132" t="s">
        <v>71</v>
      </c>
      <c r="BJ70" s="132" t="s">
        <v>71</v>
      </c>
      <c r="BK70" s="132" t="s">
        <v>71</v>
      </c>
      <c r="BL70" s="132" t="s">
        <v>71</v>
      </c>
      <c r="BM70" s="132" t="s">
        <v>71</v>
      </c>
      <c r="BN70" s="132" t="s">
        <v>71</v>
      </c>
      <c r="BO70" s="132" t="s">
        <v>71</v>
      </c>
      <c r="BP70" s="132" t="s">
        <v>71</v>
      </c>
      <c r="BQ70" s="132" t="s">
        <v>71</v>
      </c>
      <c r="BR70" s="132" t="s">
        <v>71</v>
      </c>
      <c r="BS70" s="132" t="s">
        <v>71</v>
      </c>
      <c r="BT70" s="132" t="s">
        <v>71</v>
      </c>
      <c r="BU70" s="132" t="s">
        <v>60</v>
      </c>
      <c r="BV70" s="132" t="s">
        <v>71</v>
      </c>
      <c r="BW70" s="132" t="s">
        <v>60</v>
      </c>
      <c r="BX70" s="132" t="s">
        <v>71</v>
      </c>
      <c r="BY70" s="132" t="s">
        <v>60</v>
      </c>
      <c r="BZ70" s="132" t="s">
        <v>71</v>
      </c>
      <c r="CA70" s="132" t="s">
        <v>60</v>
      </c>
      <c r="CB70" s="132" t="s">
        <v>71</v>
      </c>
      <c r="CC70" s="132" t="s">
        <v>60</v>
      </c>
      <c r="CD70" s="132" t="s">
        <v>71</v>
      </c>
      <c r="CE70" s="132" t="s">
        <v>60</v>
      </c>
      <c r="CF70" s="132" t="s">
        <v>71</v>
      </c>
      <c r="CG70" s="132" t="s">
        <v>60</v>
      </c>
      <c r="CH70" s="132" t="s">
        <v>71</v>
      </c>
      <c r="CI70" s="132" t="s">
        <v>60</v>
      </c>
      <c r="CJ70" s="132" t="s">
        <v>71</v>
      </c>
      <c r="CK70" s="132" t="s">
        <v>60</v>
      </c>
      <c r="CL70" s="132" t="s">
        <v>71</v>
      </c>
      <c r="CM70" s="132" t="s">
        <v>60</v>
      </c>
      <c r="CN70" s="132" t="s">
        <v>71</v>
      </c>
      <c r="CO70" s="132" t="s">
        <v>60</v>
      </c>
      <c r="CP70" s="132" t="s">
        <v>71</v>
      </c>
      <c r="CQ70" s="132" t="s">
        <v>60</v>
      </c>
      <c r="CR70" s="132" t="s">
        <v>71</v>
      </c>
      <c r="CS70" s="132" t="s">
        <v>60</v>
      </c>
      <c r="CT70" s="132" t="s">
        <v>71</v>
      </c>
      <c r="CU70" s="132" t="s">
        <v>60</v>
      </c>
      <c r="CV70" s="132" t="s">
        <v>71</v>
      </c>
      <c r="CW70" s="132" t="s">
        <v>60</v>
      </c>
      <c r="CX70" s="132" t="s">
        <v>71</v>
      </c>
      <c r="CY70" s="132" t="s">
        <v>60</v>
      </c>
      <c r="CZ70" s="132" t="s">
        <v>71</v>
      </c>
      <c r="DA70" s="132" t="s">
        <v>60</v>
      </c>
      <c r="DB70" s="132" t="s">
        <v>71</v>
      </c>
      <c r="DC70" s="132" t="s">
        <v>60</v>
      </c>
      <c r="DD70" s="132" t="s">
        <v>71</v>
      </c>
      <c r="DE70" s="137" t="str">
        <f t="shared" si="39"/>
        <v>FETAL</v>
      </c>
      <c r="DF70" s="137">
        <f t="shared" si="37"/>
        <v>0</v>
      </c>
    </row>
    <row r="71" spans="1:110" x14ac:dyDescent="0.2">
      <c r="A71" s="160"/>
      <c r="B71" s="5">
        <f t="shared" si="16"/>
        <v>69</v>
      </c>
      <c r="C71" s="131" t="str">
        <f t="shared" si="35"/>
        <v>CNS105</v>
      </c>
      <c r="D71" s="135" t="s">
        <v>203</v>
      </c>
      <c r="E71" s="131" t="str">
        <f t="shared" si="36"/>
        <v>CNS105_CONTROL</v>
      </c>
      <c r="F71" s="131"/>
      <c r="G71" s="130">
        <f t="shared" si="40"/>
        <v>105</v>
      </c>
      <c r="H71" s="131"/>
      <c r="I71" s="131"/>
      <c r="J71" s="132" t="s">
        <v>25</v>
      </c>
      <c r="K71" s="132" t="s">
        <v>177</v>
      </c>
      <c r="L71" s="132" t="s">
        <v>301</v>
      </c>
      <c r="M71" s="131" t="s">
        <v>81</v>
      </c>
      <c r="N71" s="131" t="s">
        <v>81</v>
      </c>
      <c r="O71" s="131" t="s">
        <v>81</v>
      </c>
      <c r="P71" s="131" t="s">
        <v>312</v>
      </c>
      <c r="Q71" s="131" t="s">
        <v>81</v>
      </c>
      <c r="R71" s="131" t="s">
        <v>89</v>
      </c>
      <c r="S71" s="131" t="s">
        <v>297</v>
      </c>
      <c r="T71" s="131"/>
      <c r="U71" s="132" t="s">
        <v>81</v>
      </c>
      <c r="V71" s="132" t="s">
        <v>175</v>
      </c>
      <c r="W71" s="132"/>
      <c r="X71" s="132"/>
      <c r="Y71" s="133">
        <v>1.2136986301369863</v>
      </c>
      <c r="Z71" s="133">
        <f t="shared" si="38"/>
        <v>94.257534246575347</v>
      </c>
      <c r="AA71" s="132" t="s">
        <v>71</v>
      </c>
      <c r="AB71" s="132" t="s">
        <v>60</v>
      </c>
      <c r="AC71" s="132" t="s">
        <v>60</v>
      </c>
      <c r="AD71" s="132" t="s">
        <v>71</v>
      </c>
      <c r="AE71" s="132" t="s">
        <v>71</v>
      </c>
      <c r="AF71" s="134" t="s">
        <v>68</v>
      </c>
      <c r="AG71" s="132" t="s">
        <v>81</v>
      </c>
      <c r="AH71" s="132" t="s">
        <v>71</v>
      </c>
      <c r="AI71" s="132" t="s">
        <v>60</v>
      </c>
      <c r="AJ71" s="132" t="s">
        <v>71</v>
      </c>
      <c r="AK71" s="132" t="s">
        <v>60</v>
      </c>
      <c r="AL71" s="132" t="s">
        <v>60</v>
      </c>
      <c r="AM71" s="132" t="s">
        <v>60</v>
      </c>
      <c r="AN71" s="132" t="s">
        <v>60</v>
      </c>
      <c r="AO71" s="132" t="s">
        <v>71</v>
      </c>
      <c r="AP71" s="132" t="s">
        <v>71</v>
      </c>
      <c r="AQ71" s="132" t="s">
        <v>71</v>
      </c>
      <c r="AR71" s="132" t="s">
        <v>71</v>
      </c>
      <c r="AS71" s="132" t="s">
        <v>71</v>
      </c>
      <c r="AT71" s="132" t="s">
        <v>71</v>
      </c>
      <c r="AU71" s="132" t="s">
        <v>71</v>
      </c>
      <c r="AV71" s="132" t="s">
        <v>71</v>
      </c>
      <c r="AW71" s="132" t="s">
        <v>71</v>
      </c>
      <c r="AX71" s="132" t="s">
        <v>71</v>
      </c>
      <c r="AY71" s="132" t="s">
        <v>71</v>
      </c>
      <c r="AZ71" s="132" t="s">
        <v>71</v>
      </c>
      <c r="BA71" s="132" t="s">
        <v>71</v>
      </c>
      <c r="BB71" s="132" t="s">
        <v>71</v>
      </c>
      <c r="BC71" s="132" t="s">
        <v>71</v>
      </c>
      <c r="BD71" s="132" t="s">
        <v>71</v>
      </c>
      <c r="BE71" s="132" t="s">
        <v>71</v>
      </c>
      <c r="BF71" s="132" t="s">
        <v>71</v>
      </c>
      <c r="BG71" s="132" t="s">
        <v>71</v>
      </c>
      <c r="BH71" s="132" t="s">
        <v>71</v>
      </c>
      <c r="BI71" s="132" t="s">
        <v>71</v>
      </c>
      <c r="BJ71" s="132" t="s">
        <v>71</v>
      </c>
      <c r="BK71" s="132" t="s">
        <v>71</v>
      </c>
      <c r="BL71" s="132" t="s">
        <v>71</v>
      </c>
      <c r="BM71" s="132" t="s">
        <v>71</v>
      </c>
      <c r="BN71" s="132" t="s">
        <v>71</v>
      </c>
      <c r="BO71" s="132" t="s">
        <v>71</v>
      </c>
      <c r="BP71" s="132" t="s">
        <v>71</v>
      </c>
      <c r="BQ71" s="132" t="s">
        <v>71</v>
      </c>
      <c r="BR71" s="132" t="s">
        <v>71</v>
      </c>
      <c r="BS71" s="132" t="s">
        <v>71</v>
      </c>
      <c r="BT71" s="132" t="s">
        <v>71</v>
      </c>
      <c r="BU71" s="132" t="s">
        <v>60</v>
      </c>
      <c r="BV71" s="132" t="s">
        <v>71</v>
      </c>
      <c r="BW71" s="132" t="s">
        <v>60</v>
      </c>
      <c r="BX71" s="132" t="s">
        <v>71</v>
      </c>
      <c r="BY71" s="132" t="s">
        <v>60</v>
      </c>
      <c r="BZ71" s="132" t="s">
        <v>71</v>
      </c>
      <c r="CA71" s="132" t="s">
        <v>60</v>
      </c>
      <c r="CB71" s="132" t="s">
        <v>71</v>
      </c>
      <c r="CC71" s="132" t="s">
        <v>60</v>
      </c>
      <c r="CD71" s="132" t="s">
        <v>71</v>
      </c>
      <c r="CE71" s="132" t="s">
        <v>60</v>
      </c>
      <c r="CF71" s="132" t="s">
        <v>71</v>
      </c>
      <c r="CG71" s="132" t="s">
        <v>60</v>
      </c>
      <c r="CH71" s="132" t="s">
        <v>71</v>
      </c>
      <c r="CI71" s="132" t="s">
        <v>60</v>
      </c>
      <c r="CJ71" s="132" t="s">
        <v>71</v>
      </c>
      <c r="CK71" s="132" t="s">
        <v>60</v>
      </c>
      <c r="CL71" s="132" t="s">
        <v>71</v>
      </c>
      <c r="CM71" s="132" t="s">
        <v>60</v>
      </c>
      <c r="CN71" s="132" t="s">
        <v>71</v>
      </c>
      <c r="CO71" s="132" t="s">
        <v>60</v>
      </c>
      <c r="CP71" s="132" t="s">
        <v>71</v>
      </c>
      <c r="CQ71" s="132" t="s">
        <v>60</v>
      </c>
      <c r="CR71" s="132" t="s">
        <v>71</v>
      </c>
      <c r="CS71" s="132" t="s">
        <v>60</v>
      </c>
      <c r="CT71" s="132" t="s">
        <v>71</v>
      </c>
      <c r="CU71" s="132" t="s">
        <v>60</v>
      </c>
      <c r="CV71" s="132" t="s">
        <v>71</v>
      </c>
      <c r="CW71" s="132" t="s">
        <v>60</v>
      </c>
      <c r="CX71" s="132" t="s">
        <v>71</v>
      </c>
      <c r="CY71" s="132" t="s">
        <v>60</v>
      </c>
      <c r="CZ71" s="132" t="s">
        <v>71</v>
      </c>
      <c r="DA71" s="132" t="s">
        <v>60</v>
      </c>
      <c r="DB71" s="132" t="s">
        <v>71</v>
      </c>
      <c r="DC71" s="132" t="s">
        <v>60</v>
      </c>
      <c r="DD71" s="132" t="s">
        <v>71</v>
      </c>
      <c r="DE71" s="137" t="str">
        <f t="shared" si="39"/>
        <v>3&gt; YEARS OLD</v>
      </c>
      <c r="DF71" s="137">
        <f t="shared" si="37"/>
        <v>0</v>
      </c>
    </row>
    <row r="72" spans="1:110" x14ac:dyDescent="0.2">
      <c r="A72" s="160"/>
      <c r="B72" s="5">
        <f t="shared" si="16"/>
        <v>70</v>
      </c>
      <c r="C72" s="131" t="str">
        <f t="shared" si="35"/>
        <v>CNS106</v>
      </c>
      <c r="D72" s="135" t="s">
        <v>204</v>
      </c>
      <c r="E72" s="131" t="str">
        <f t="shared" si="36"/>
        <v>CNS106_CONTROL</v>
      </c>
      <c r="F72" s="131"/>
      <c r="G72" s="130">
        <f t="shared" si="40"/>
        <v>106</v>
      </c>
      <c r="H72" s="131"/>
      <c r="I72" s="131"/>
      <c r="J72" s="132" t="s">
        <v>25</v>
      </c>
      <c r="K72" s="132" t="s">
        <v>177</v>
      </c>
      <c r="L72" s="132" t="s">
        <v>301</v>
      </c>
      <c r="M72" s="131" t="s">
        <v>81</v>
      </c>
      <c r="N72" s="131" t="s">
        <v>81</v>
      </c>
      <c r="O72" s="131" t="s">
        <v>81</v>
      </c>
      <c r="P72" s="131" t="s">
        <v>312</v>
      </c>
      <c r="Q72" s="131" t="s">
        <v>81</v>
      </c>
      <c r="R72" s="131" t="s">
        <v>89</v>
      </c>
      <c r="S72" s="131" t="s">
        <v>297</v>
      </c>
      <c r="T72" s="131"/>
      <c r="U72" s="132" t="s">
        <v>81</v>
      </c>
      <c r="V72" s="132" t="s">
        <v>175</v>
      </c>
      <c r="W72" s="132"/>
      <c r="X72" s="132"/>
      <c r="Y72" s="133">
        <v>1.3753424657534246</v>
      </c>
      <c r="Z72" s="133">
        <f t="shared" si="38"/>
        <v>102.01643835616437</v>
      </c>
      <c r="AA72" s="132" t="s">
        <v>71</v>
      </c>
      <c r="AB72" s="132" t="s">
        <v>60</v>
      </c>
      <c r="AC72" s="132" t="s">
        <v>60</v>
      </c>
      <c r="AD72" s="132" t="s">
        <v>71</v>
      </c>
      <c r="AE72" s="132" t="s">
        <v>71</v>
      </c>
      <c r="AF72" s="134" t="s">
        <v>68</v>
      </c>
      <c r="AG72" s="132" t="s">
        <v>81</v>
      </c>
      <c r="AH72" s="132" t="s">
        <v>71</v>
      </c>
      <c r="AI72" s="132" t="s">
        <v>60</v>
      </c>
      <c r="AJ72" s="132" t="s">
        <v>71</v>
      </c>
      <c r="AK72" s="132" t="s">
        <v>60</v>
      </c>
      <c r="AL72" s="132" t="s">
        <v>60</v>
      </c>
      <c r="AM72" s="132" t="s">
        <v>60</v>
      </c>
      <c r="AN72" s="132" t="s">
        <v>60</v>
      </c>
      <c r="AO72" s="132" t="s">
        <v>71</v>
      </c>
      <c r="AP72" s="132" t="s">
        <v>71</v>
      </c>
      <c r="AQ72" s="132" t="s">
        <v>71</v>
      </c>
      <c r="AR72" s="132" t="s">
        <v>71</v>
      </c>
      <c r="AS72" s="132" t="s">
        <v>71</v>
      </c>
      <c r="AT72" s="132" t="s">
        <v>71</v>
      </c>
      <c r="AU72" s="132" t="s">
        <v>71</v>
      </c>
      <c r="AV72" s="132" t="s">
        <v>71</v>
      </c>
      <c r="AW72" s="132" t="s">
        <v>71</v>
      </c>
      <c r="AX72" s="132" t="s">
        <v>71</v>
      </c>
      <c r="AY72" s="132" t="s">
        <v>71</v>
      </c>
      <c r="AZ72" s="132" t="s">
        <v>71</v>
      </c>
      <c r="BA72" s="132" t="s">
        <v>71</v>
      </c>
      <c r="BB72" s="132" t="s">
        <v>71</v>
      </c>
      <c r="BC72" s="132" t="s">
        <v>71</v>
      </c>
      <c r="BD72" s="132" t="s">
        <v>71</v>
      </c>
      <c r="BE72" s="132" t="s">
        <v>71</v>
      </c>
      <c r="BF72" s="132" t="s">
        <v>71</v>
      </c>
      <c r="BG72" s="132" t="s">
        <v>71</v>
      </c>
      <c r="BH72" s="132" t="s">
        <v>71</v>
      </c>
      <c r="BI72" s="132" t="s">
        <v>71</v>
      </c>
      <c r="BJ72" s="132" t="s">
        <v>71</v>
      </c>
      <c r="BK72" s="132" t="s">
        <v>71</v>
      </c>
      <c r="BL72" s="132" t="s">
        <v>71</v>
      </c>
      <c r="BM72" s="132" t="s">
        <v>71</v>
      </c>
      <c r="BN72" s="132" t="s">
        <v>71</v>
      </c>
      <c r="BO72" s="132" t="s">
        <v>71</v>
      </c>
      <c r="BP72" s="132" t="s">
        <v>71</v>
      </c>
      <c r="BQ72" s="132" t="s">
        <v>71</v>
      </c>
      <c r="BR72" s="132" t="s">
        <v>71</v>
      </c>
      <c r="BS72" s="132" t="s">
        <v>71</v>
      </c>
      <c r="BT72" s="132" t="s">
        <v>71</v>
      </c>
      <c r="BU72" s="132" t="s">
        <v>60</v>
      </c>
      <c r="BV72" s="132" t="s">
        <v>71</v>
      </c>
      <c r="BW72" s="132" t="s">
        <v>60</v>
      </c>
      <c r="BX72" s="132" t="s">
        <v>71</v>
      </c>
      <c r="BY72" s="132" t="s">
        <v>60</v>
      </c>
      <c r="BZ72" s="132" t="s">
        <v>71</v>
      </c>
      <c r="CA72" s="132" t="s">
        <v>60</v>
      </c>
      <c r="CB72" s="132" t="s">
        <v>71</v>
      </c>
      <c r="CC72" s="132" t="s">
        <v>60</v>
      </c>
      <c r="CD72" s="132" t="s">
        <v>71</v>
      </c>
      <c r="CE72" s="132" t="s">
        <v>60</v>
      </c>
      <c r="CF72" s="132" t="s">
        <v>71</v>
      </c>
      <c r="CG72" s="132" t="s">
        <v>60</v>
      </c>
      <c r="CH72" s="132" t="s">
        <v>71</v>
      </c>
      <c r="CI72" s="132" t="s">
        <v>60</v>
      </c>
      <c r="CJ72" s="132" t="s">
        <v>71</v>
      </c>
      <c r="CK72" s="132" t="s">
        <v>60</v>
      </c>
      <c r="CL72" s="132" t="s">
        <v>71</v>
      </c>
      <c r="CM72" s="132" t="s">
        <v>60</v>
      </c>
      <c r="CN72" s="132" t="s">
        <v>71</v>
      </c>
      <c r="CO72" s="132" t="s">
        <v>60</v>
      </c>
      <c r="CP72" s="132" t="s">
        <v>71</v>
      </c>
      <c r="CQ72" s="132" t="s">
        <v>60</v>
      </c>
      <c r="CR72" s="132" t="s">
        <v>71</v>
      </c>
      <c r="CS72" s="132" t="s">
        <v>60</v>
      </c>
      <c r="CT72" s="132" t="s">
        <v>71</v>
      </c>
      <c r="CU72" s="132" t="s">
        <v>60</v>
      </c>
      <c r="CV72" s="132" t="s">
        <v>71</v>
      </c>
      <c r="CW72" s="132" t="s">
        <v>60</v>
      </c>
      <c r="CX72" s="132" t="s">
        <v>71</v>
      </c>
      <c r="CY72" s="132" t="s">
        <v>60</v>
      </c>
      <c r="CZ72" s="132" t="s">
        <v>71</v>
      </c>
      <c r="DA72" s="132" t="s">
        <v>60</v>
      </c>
      <c r="DB72" s="132" t="s">
        <v>71</v>
      </c>
      <c r="DC72" s="132" t="s">
        <v>60</v>
      </c>
      <c r="DD72" s="132" t="s">
        <v>71</v>
      </c>
      <c r="DE72" s="137" t="str">
        <f t="shared" si="39"/>
        <v>3&gt; YEARS OLD</v>
      </c>
      <c r="DF72" s="137">
        <f t="shared" si="37"/>
        <v>0</v>
      </c>
    </row>
    <row r="73" spans="1:110" x14ac:dyDescent="0.2">
      <c r="A73" s="160"/>
      <c r="B73" s="5">
        <f t="shared" si="16"/>
        <v>71</v>
      </c>
      <c r="C73" s="131" t="str">
        <f t="shared" si="35"/>
        <v>CNS107</v>
      </c>
      <c r="D73" s="135" t="s">
        <v>205</v>
      </c>
      <c r="E73" s="131" t="str">
        <f t="shared" si="36"/>
        <v>CNS107_CONTROL</v>
      </c>
      <c r="F73" s="131"/>
      <c r="G73" s="130">
        <f t="shared" si="40"/>
        <v>107</v>
      </c>
      <c r="H73" s="131"/>
      <c r="I73" s="131"/>
      <c r="J73" s="132" t="s">
        <v>24</v>
      </c>
      <c r="K73" s="132" t="s">
        <v>177</v>
      </c>
      <c r="L73" s="132" t="s">
        <v>301</v>
      </c>
      <c r="M73" s="131" t="s">
        <v>81</v>
      </c>
      <c r="N73" s="131" t="s">
        <v>81</v>
      </c>
      <c r="O73" s="131" t="s">
        <v>81</v>
      </c>
      <c r="P73" s="131" t="s">
        <v>309</v>
      </c>
      <c r="Q73" s="131" t="s">
        <v>81</v>
      </c>
      <c r="R73" s="131" t="s">
        <v>89</v>
      </c>
      <c r="S73" s="131" t="s">
        <v>297</v>
      </c>
      <c r="T73" s="131"/>
      <c r="U73" s="132" t="s">
        <v>81</v>
      </c>
      <c r="V73" s="132" t="s">
        <v>174</v>
      </c>
      <c r="W73" s="132"/>
      <c r="X73" s="132"/>
      <c r="Y73" s="133">
        <v>4.4657534246575343</v>
      </c>
      <c r="Z73" s="133">
        <f t="shared" si="38"/>
        <v>250.35616438356163</v>
      </c>
      <c r="AA73" s="132" t="s">
        <v>71</v>
      </c>
      <c r="AB73" s="132" t="s">
        <v>60</v>
      </c>
      <c r="AC73" s="132" t="s">
        <v>60</v>
      </c>
      <c r="AD73" s="132" t="s">
        <v>71</v>
      </c>
      <c r="AE73" s="132" t="s">
        <v>71</v>
      </c>
      <c r="AF73" s="134" t="s">
        <v>68</v>
      </c>
      <c r="AG73" s="132" t="s">
        <v>81</v>
      </c>
      <c r="AH73" s="132" t="s">
        <v>71</v>
      </c>
      <c r="AI73" s="132" t="s">
        <v>60</v>
      </c>
      <c r="AJ73" s="132" t="s">
        <v>71</v>
      </c>
      <c r="AK73" s="132" t="s">
        <v>60</v>
      </c>
      <c r="AL73" s="132" t="s">
        <v>60</v>
      </c>
      <c r="AM73" s="132" t="s">
        <v>60</v>
      </c>
      <c r="AN73" s="132" t="s">
        <v>60</v>
      </c>
      <c r="AO73" s="132" t="s">
        <v>71</v>
      </c>
      <c r="AP73" s="132" t="s">
        <v>71</v>
      </c>
      <c r="AQ73" s="132" t="s">
        <v>71</v>
      </c>
      <c r="AR73" s="132" t="s">
        <v>71</v>
      </c>
      <c r="AS73" s="132" t="s">
        <v>71</v>
      </c>
      <c r="AT73" s="132" t="s">
        <v>71</v>
      </c>
      <c r="AU73" s="132" t="s">
        <v>71</v>
      </c>
      <c r="AV73" s="132" t="s">
        <v>71</v>
      </c>
      <c r="AW73" s="132" t="s">
        <v>71</v>
      </c>
      <c r="AX73" s="132" t="s">
        <v>71</v>
      </c>
      <c r="AY73" s="132" t="s">
        <v>71</v>
      </c>
      <c r="AZ73" s="132" t="s">
        <v>71</v>
      </c>
      <c r="BA73" s="132" t="s">
        <v>71</v>
      </c>
      <c r="BB73" s="132" t="s">
        <v>71</v>
      </c>
      <c r="BC73" s="132" t="s">
        <v>71</v>
      </c>
      <c r="BD73" s="132" t="s">
        <v>71</v>
      </c>
      <c r="BE73" s="132" t="s">
        <v>71</v>
      </c>
      <c r="BF73" s="132" t="s">
        <v>71</v>
      </c>
      <c r="BG73" s="132" t="s">
        <v>71</v>
      </c>
      <c r="BH73" s="132" t="s">
        <v>71</v>
      </c>
      <c r="BI73" s="132" t="s">
        <v>71</v>
      </c>
      <c r="BJ73" s="132" t="s">
        <v>71</v>
      </c>
      <c r="BK73" s="132" t="s">
        <v>71</v>
      </c>
      <c r="BL73" s="132" t="s">
        <v>71</v>
      </c>
      <c r="BM73" s="132" t="s">
        <v>71</v>
      </c>
      <c r="BN73" s="132" t="s">
        <v>71</v>
      </c>
      <c r="BO73" s="132" t="s">
        <v>71</v>
      </c>
      <c r="BP73" s="132" t="s">
        <v>71</v>
      </c>
      <c r="BQ73" s="132" t="s">
        <v>71</v>
      </c>
      <c r="BR73" s="132" t="s">
        <v>71</v>
      </c>
      <c r="BS73" s="132" t="s">
        <v>71</v>
      </c>
      <c r="BT73" s="132" t="s">
        <v>71</v>
      </c>
      <c r="BU73" s="132" t="s">
        <v>60</v>
      </c>
      <c r="BV73" s="132" t="s">
        <v>71</v>
      </c>
      <c r="BW73" s="132" t="s">
        <v>60</v>
      </c>
      <c r="BX73" s="132" t="s">
        <v>71</v>
      </c>
      <c r="BY73" s="132" t="s">
        <v>60</v>
      </c>
      <c r="BZ73" s="132" t="s">
        <v>71</v>
      </c>
      <c r="CA73" s="132" t="s">
        <v>60</v>
      </c>
      <c r="CB73" s="132" t="s">
        <v>71</v>
      </c>
      <c r="CC73" s="132" t="s">
        <v>60</v>
      </c>
      <c r="CD73" s="132" t="s">
        <v>71</v>
      </c>
      <c r="CE73" s="132" t="s">
        <v>60</v>
      </c>
      <c r="CF73" s="132" t="s">
        <v>71</v>
      </c>
      <c r="CG73" s="132" t="s">
        <v>60</v>
      </c>
      <c r="CH73" s="132" t="s">
        <v>71</v>
      </c>
      <c r="CI73" s="132" t="s">
        <v>60</v>
      </c>
      <c r="CJ73" s="132" t="s">
        <v>71</v>
      </c>
      <c r="CK73" s="132" t="s">
        <v>60</v>
      </c>
      <c r="CL73" s="132" t="s">
        <v>71</v>
      </c>
      <c r="CM73" s="132" t="s">
        <v>60</v>
      </c>
      <c r="CN73" s="132" t="s">
        <v>71</v>
      </c>
      <c r="CO73" s="132" t="s">
        <v>60</v>
      </c>
      <c r="CP73" s="132" t="s">
        <v>71</v>
      </c>
      <c r="CQ73" s="132" t="s">
        <v>60</v>
      </c>
      <c r="CR73" s="132" t="s">
        <v>71</v>
      </c>
      <c r="CS73" s="132" t="s">
        <v>60</v>
      </c>
      <c r="CT73" s="132" t="s">
        <v>71</v>
      </c>
      <c r="CU73" s="132" t="s">
        <v>60</v>
      </c>
      <c r="CV73" s="132" t="s">
        <v>71</v>
      </c>
      <c r="CW73" s="132" t="s">
        <v>60</v>
      </c>
      <c r="CX73" s="132" t="s">
        <v>71</v>
      </c>
      <c r="CY73" s="132" t="s">
        <v>60</v>
      </c>
      <c r="CZ73" s="132" t="s">
        <v>71</v>
      </c>
      <c r="DA73" s="132" t="s">
        <v>60</v>
      </c>
      <c r="DB73" s="132" t="s">
        <v>71</v>
      </c>
      <c r="DC73" s="132" t="s">
        <v>60</v>
      </c>
      <c r="DD73" s="132" t="s">
        <v>71</v>
      </c>
      <c r="DE73" s="137" t="str">
        <f t="shared" si="39"/>
        <v>3&lt;YEARS OLD&lt;9</v>
      </c>
      <c r="DF73" s="137">
        <f t="shared" si="37"/>
        <v>0</v>
      </c>
    </row>
    <row r="74" spans="1:110" x14ac:dyDescent="0.2">
      <c r="A74" s="160"/>
      <c r="B74" s="5">
        <f t="shared" si="16"/>
        <v>72</v>
      </c>
      <c r="C74" s="131" t="str">
        <f t="shared" si="35"/>
        <v>CNS108</v>
      </c>
      <c r="D74" s="135" t="s">
        <v>206</v>
      </c>
      <c r="E74" s="131" t="str">
        <f t="shared" si="36"/>
        <v>CNS108_CONTROL</v>
      </c>
      <c r="F74" s="131"/>
      <c r="G74" s="130">
        <f t="shared" si="40"/>
        <v>108</v>
      </c>
      <c r="H74" s="131"/>
      <c r="I74" s="131"/>
      <c r="J74" s="132" t="s">
        <v>24</v>
      </c>
      <c r="K74" s="132" t="s">
        <v>177</v>
      </c>
      <c r="L74" s="132" t="s">
        <v>301</v>
      </c>
      <c r="M74" s="131" t="s">
        <v>81</v>
      </c>
      <c r="N74" s="131" t="s">
        <v>81</v>
      </c>
      <c r="O74" s="131" t="s">
        <v>81</v>
      </c>
      <c r="P74" s="131" t="s">
        <v>311</v>
      </c>
      <c r="Q74" s="131" t="s">
        <v>81</v>
      </c>
      <c r="R74" s="131" t="s">
        <v>89</v>
      </c>
      <c r="S74" s="131" t="s">
        <v>297</v>
      </c>
      <c r="T74" s="131"/>
      <c r="U74" s="132" t="s">
        <v>81</v>
      </c>
      <c r="V74" s="132" t="s">
        <v>172</v>
      </c>
      <c r="W74" s="132"/>
      <c r="X74" s="132"/>
      <c r="Y74" s="133">
        <v>0</v>
      </c>
      <c r="Z74" s="133">
        <v>18</v>
      </c>
      <c r="AA74" s="132" t="s">
        <v>71</v>
      </c>
      <c r="AB74" s="132" t="s">
        <v>60</v>
      </c>
      <c r="AC74" s="132" t="s">
        <v>60</v>
      </c>
      <c r="AD74" s="132" t="s">
        <v>71</v>
      </c>
      <c r="AE74" s="132" t="s">
        <v>71</v>
      </c>
      <c r="AF74" s="134" t="s">
        <v>68</v>
      </c>
      <c r="AG74" s="132" t="s">
        <v>81</v>
      </c>
      <c r="AH74" s="132" t="s">
        <v>71</v>
      </c>
      <c r="AI74" s="132" t="s">
        <v>60</v>
      </c>
      <c r="AJ74" s="132" t="s">
        <v>71</v>
      </c>
      <c r="AK74" s="132" t="s">
        <v>60</v>
      </c>
      <c r="AL74" s="132" t="s">
        <v>60</v>
      </c>
      <c r="AM74" s="132" t="s">
        <v>60</v>
      </c>
      <c r="AN74" s="132" t="s">
        <v>60</v>
      </c>
      <c r="AO74" s="132" t="s">
        <v>71</v>
      </c>
      <c r="AP74" s="132" t="s">
        <v>71</v>
      </c>
      <c r="AQ74" s="132" t="s">
        <v>71</v>
      </c>
      <c r="AR74" s="132" t="s">
        <v>71</v>
      </c>
      <c r="AS74" s="132" t="s">
        <v>71</v>
      </c>
      <c r="AT74" s="132" t="s">
        <v>71</v>
      </c>
      <c r="AU74" s="132" t="s">
        <v>71</v>
      </c>
      <c r="AV74" s="132" t="s">
        <v>71</v>
      </c>
      <c r="AW74" s="132" t="s">
        <v>71</v>
      </c>
      <c r="AX74" s="132" t="s">
        <v>71</v>
      </c>
      <c r="AY74" s="132" t="s">
        <v>71</v>
      </c>
      <c r="AZ74" s="132" t="s">
        <v>71</v>
      </c>
      <c r="BA74" s="132" t="s">
        <v>71</v>
      </c>
      <c r="BB74" s="132" t="s">
        <v>71</v>
      </c>
      <c r="BC74" s="132" t="s">
        <v>71</v>
      </c>
      <c r="BD74" s="132" t="s">
        <v>71</v>
      </c>
      <c r="BE74" s="132" t="s">
        <v>71</v>
      </c>
      <c r="BF74" s="132" t="s">
        <v>71</v>
      </c>
      <c r="BG74" s="132" t="s">
        <v>71</v>
      </c>
      <c r="BH74" s="132" t="s">
        <v>71</v>
      </c>
      <c r="BI74" s="132" t="s">
        <v>71</v>
      </c>
      <c r="BJ74" s="132" t="s">
        <v>71</v>
      </c>
      <c r="BK74" s="132" t="s">
        <v>71</v>
      </c>
      <c r="BL74" s="132" t="s">
        <v>71</v>
      </c>
      <c r="BM74" s="132" t="s">
        <v>71</v>
      </c>
      <c r="BN74" s="132" t="s">
        <v>71</v>
      </c>
      <c r="BO74" s="132" t="s">
        <v>71</v>
      </c>
      <c r="BP74" s="132" t="s">
        <v>71</v>
      </c>
      <c r="BQ74" s="132" t="s">
        <v>71</v>
      </c>
      <c r="BR74" s="132" t="s">
        <v>71</v>
      </c>
      <c r="BS74" s="132" t="s">
        <v>71</v>
      </c>
      <c r="BT74" s="132" t="s">
        <v>71</v>
      </c>
      <c r="BU74" s="132" t="s">
        <v>60</v>
      </c>
      <c r="BV74" s="132" t="s">
        <v>71</v>
      </c>
      <c r="BW74" s="132" t="s">
        <v>60</v>
      </c>
      <c r="BX74" s="132" t="s">
        <v>71</v>
      </c>
      <c r="BY74" s="132" t="s">
        <v>60</v>
      </c>
      <c r="BZ74" s="132" t="s">
        <v>71</v>
      </c>
      <c r="CA74" s="132" t="s">
        <v>60</v>
      </c>
      <c r="CB74" s="132" t="s">
        <v>71</v>
      </c>
      <c r="CC74" s="132" t="s">
        <v>60</v>
      </c>
      <c r="CD74" s="132" t="s">
        <v>71</v>
      </c>
      <c r="CE74" s="132" t="s">
        <v>60</v>
      </c>
      <c r="CF74" s="132" t="s">
        <v>71</v>
      </c>
      <c r="CG74" s="132" t="s">
        <v>60</v>
      </c>
      <c r="CH74" s="132" t="s">
        <v>71</v>
      </c>
      <c r="CI74" s="132" t="s">
        <v>60</v>
      </c>
      <c r="CJ74" s="132" t="s">
        <v>71</v>
      </c>
      <c r="CK74" s="132" t="s">
        <v>60</v>
      </c>
      <c r="CL74" s="132" t="s">
        <v>71</v>
      </c>
      <c r="CM74" s="132" t="s">
        <v>60</v>
      </c>
      <c r="CN74" s="132" t="s">
        <v>71</v>
      </c>
      <c r="CO74" s="132" t="s">
        <v>60</v>
      </c>
      <c r="CP74" s="132" t="s">
        <v>71</v>
      </c>
      <c r="CQ74" s="132" t="s">
        <v>60</v>
      </c>
      <c r="CR74" s="132" t="s">
        <v>71</v>
      </c>
      <c r="CS74" s="132" t="s">
        <v>60</v>
      </c>
      <c r="CT74" s="132" t="s">
        <v>71</v>
      </c>
      <c r="CU74" s="132" t="s">
        <v>60</v>
      </c>
      <c r="CV74" s="132" t="s">
        <v>71</v>
      </c>
      <c r="CW74" s="132" t="s">
        <v>60</v>
      </c>
      <c r="CX74" s="132" t="s">
        <v>71</v>
      </c>
      <c r="CY74" s="132" t="s">
        <v>60</v>
      </c>
      <c r="CZ74" s="132" t="s">
        <v>71</v>
      </c>
      <c r="DA74" s="132" t="s">
        <v>60</v>
      </c>
      <c r="DB74" s="132" t="s">
        <v>71</v>
      </c>
      <c r="DC74" s="132" t="s">
        <v>60</v>
      </c>
      <c r="DD74" s="132" t="s">
        <v>71</v>
      </c>
      <c r="DE74" s="137" t="str">
        <f t="shared" si="39"/>
        <v>FETAL</v>
      </c>
      <c r="DF74" s="137">
        <f t="shared" si="37"/>
        <v>0</v>
      </c>
    </row>
    <row r="75" spans="1:110" x14ac:dyDescent="0.2">
      <c r="A75" s="160"/>
      <c r="B75" s="5">
        <f t="shared" si="16"/>
        <v>73</v>
      </c>
      <c r="C75" s="131" t="str">
        <f t="shared" si="35"/>
        <v>CNS109</v>
      </c>
      <c r="D75" s="135" t="s">
        <v>207</v>
      </c>
      <c r="E75" s="131" t="str">
        <f t="shared" si="36"/>
        <v>CNS109_CONTROL</v>
      </c>
      <c r="F75" s="131"/>
      <c r="G75" s="130">
        <f t="shared" si="40"/>
        <v>109</v>
      </c>
      <c r="H75" s="131"/>
      <c r="I75" s="131"/>
      <c r="J75" s="132" t="s">
        <v>24</v>
      </c>
      <c r="K75" s="132" t="s">
        <v>177</v>
      </c>
      <c r="L75" s="132" t="s">
        <v>301</v>
      </c>
      <c r="M75" s="131" t="s">
        <v>81</v>
      </c>
      <c r="N75" s="131" t="s">
        <v>81</v>
      </c>
      <c r="O75" s="131" t="s">
        <v>81</v>
      </c>
      <c r="P75" s="131" t="s">
        <v>312</v>
      </c>
      <c r="Q75" s="131" t="s">
        <v>81</v>
      </c>
      <c r="R75" s="131" t="s">
        <v>89</v>
      </c>
      <c r="S75" s="131" t="s">
        <v>297</v>
      </c>
      <c r="T75" s="131"/>
      <c r="U75" s="132" t="s">
        <v>81</v>
      </c>
      <c r="V75" s="132" t="s">
        <v>175</v>
      </c>
      <c r="W75" s="132"/>
      <c r="X75" s="132"/>
      <c r="Y75" s="133">
        <v>0.24383561643835616</v>
      </c>
      <c r="Z75" s="133">
        <f t="shared" si="38"/>
        <v>47.704109589041096</v>
      </c>
      <c r="AA75" s="132" t="s">
        <v>71</v>
      </c>
      <c r="AB75" s="132" t="s">
        <v>60</v>
      </c>
      <c r="AC75" s="132" t="s">
        <v>60</v>
      </c>
      <c r="AD75" s="132" t="s">
        <v>71</v>
      </c>
      <c r="AE75" s="132" t="s">
        <v>71</v>
      </c>
      <c r="AF75" s="134" t="s">
        <v>68</v>
      </c>
      <c r="AG75" s="132" t="s">
        <v>81</v>
      </c>
      <c r="AH75" s="132" t="s">
        <v>71</v>
      </c>
      <c r="AI75" s="132" t="s">
        <v>60</v>
      </c>
      <c r="AJ75" s="132" t="s">
        <v>71</v>
      </c>
      <c r="AK75" s="132" t="s">
        <v>60</v>
      </c>
      <c r="AL75" s="132" t="s">
        <v>60</v>
      </c>
      <c r="AM75" s="132" t="s">
        <v>60</v>
      </c>
      <c r="AN75" s="132" t="s">
        <v>60</v>
      </c>
      <c r="AO75" s="132" t="s">
        <v>71</v>
      </c>
      <c r="AP75" s="132" t="s">
        <v>71</v>
      </c>
      <c r="AQ75" s="132" t="s">
        <v>71</v>
      </c>
      <c r="AR75" s="132" t="s">
        <v>71</v>
      </c>
      <c r="AS75" s="132" t="s">
        <v>71</v>
      </c>
      <c r="AT75" s="132" t="s">
        <v>71</v>
      </c>
      <c r="AU75" s="132" t="s">
        <v>71</v>
      </c>
      <c r="AV75" s="132" t="s">
        <v>71</v>
      </c>
      <c r="AW75" s="132" t="s">
        <v>71</v>
      </c>
      <c r="AX75" s="132" t="s">
        <v>71</v>
      </c>
      <c r="AY75" s="132" t="s">
        <v>71</v>
      </c>
      <c r="AZ75" s="132" t="s">
        <v>71</v>
      </c>
      <c r="BA75" s="132" t="s">
        <v>71</v>
      </c>
      <c r="BB75" s="132" t="s">
        <v>71</v>
      </c>
      <c r="BC75" s="132" t="s">
        <v>71</v>
      </c>
      <c r="BD75" s="132" t="s">
        <v>71</v>
      </c>
      <c r="BE75" s="132" t="s">
        <v>71</v>
      </c>
      <c r="BF75" s="132" t="s">
        <v>71</v>
      </c>
      <c r="BG75" s="132" t="s">
        <v>71</v>
      </c>
      <c r="BH75" s="132" t="s">
        <v>71</v>
      </c>
      <c r="BI75" s="132" t="s">
        <v>71</v>
      </c>
      <c r="BJ75" s="132" t="s">
        <v>71</v>
      </c>
      <c r="BK75" s="132" t="s">
        <v>71</v>
      </c>
      <c r="BL75" s="132" t="s">
        <v>71</v>
      </c>
      <c r="BM75" s="132" t="s">
        <v>71</v>
      </c>
      <c r="BN75" s="132" t="s">
        <v>71</v>
      </c>
      <c r="BO75" s="132" t="s">
        <v>71</v>
      </c>
      <c r="BP75" s="132" t="s">
        <v>71</v>
      </c>
      <c r="BQ75" s="132" t="s">
        <v>71</v>
      </c>
      <c r="BR75" s="132" t="s">
        <v>71</v>
      </c>
      <c r="BS75" s="132" t="s">
        <v>71</v>
      </c>
      <c r="BT75" s="132" t="s">
        <v>71</v>
      </c>
      <c r="BU75" s="132" t="s">
        <v>60</v>
      </c>
      <c r="BV75" s="132" t="s">
        <v>71</v>
      </c>
      <c r="BW75" s="132" t="s">
        <v>60</v>
      </c>
      <c r="BX75" s="132" t="s">
        <v>71</v>
      </c>
      <c r="BY75" s="132" t="s">
        <v>60</v>
      </c>
      <c r="BZ75" s="132" t="s">
        <v>71</v>
      </c>
      <c r="CA75" s="132" t="s">
        <v>60</v>
      </c>
      <c r="CB75" s="132" t="s">
        <v>71</v>
      </c>
      <c r="CC75" s="132" t="s">
        <v>60</v>
      </c>
      <c r="CD75" s="132" t="s">
        <v>71</v>
      </c>
      <c r="CE75" s="132" t="s">
        <v>60</v>
      </c>
      <c r="CF75" s="132" t="s">
        <v>71</v>
      </c>
      <c r="CG75" s="132" t="s">
        <v>60</v>
      </c>
      <c r="CH75" s="132" t="s">
        <v>71</v>
      </c>
      <c r="CI75" s="132" t="s">
        <v>60</v>
      </c>
      <c r="CJ75" s="132" t="s">
        <v>71</v>
      </c>
      <c r="CK75" s="132" t="s">
        <v>60</v>
      </c>
      <c r="CL75" s="132" t="s">
        <v>71</v>
      </c>
      <c r="CM75" s="132" t="s">
        <v>60</v>
      </c>
      <c r="CN75" s="132" t="s">
        <v>71</v>
      </c>
      <c r="CO75" s="132" t="s">
        <v>60</v>
      </c>
      <c r="CP75" s="132" t="s">
        <v>71</v>
      </c>
      <c r="CQ75" s="132" t="s">
        <v>60</v>
      </c>
      <c r="CR75" s="132" t="s">
        <v>71</v>
      </c>
      <c r="CS75" s="132" t="s">
        <v>60</v>
      </c>
      <c r="CT75" s="132" t="s">
        <v>71</v>
      </c>
      <c r="CU75" s="132" t="s">
        <v>60</v>
      </c>
      <c r="CV75" s="132" t="s">
        <v>71</v>
      </c>
      <c r="CW75" s="132" t="s">
        <v>60</v>
      </c>
      <c r="CX75" s="132" t="s">
        <v>71</v>
      </c>
      <c r="CY75" s="132" t="s">
        <v>60</v>
      </c>
      <c r="CZ75" s="132" t="s">
        <v>71</v>
      </c>
      <c r="DA75" s="132" t="s">
        <v>60</v>
      </c>
      <c r="DB75" s="132" t="s">
        <v>71</v>
      </c>
      <c r="DC75" s="132" t="s">
        <v>60</v>
      </c>
      <c r="DD75" s="132" t="s">
        <v>71</v>
      </c>
      <c r="DE75" s="137" t="str">
        <f t="shared" si="39"/>
        <v>3&gt; YEARS OLD</v>
      </c>
      <c r="DF75" s="137">
        <f t="shared" si="37"/>
        <v>0</v>
      </c>
    </row>
    <row r="76" spans="1:110" x14ac:dyDescent="0.2">
      <c r="A76" s="160"/>
      <c r="B76" s="5">
        <f t="shared" si="16"/>
        <v>74</v>
      </c>
      <c r="C76" s="131" t="str">
        <f t="shared" si="35"/>
        <v>CNS110</v>
      </c>
      <c r="D76" s="135" t="s">
        <v>208</v>
      </c>
      <c r="E76" s="131" t="str">
        <f t="shared" si="36"/>
        <v>CNS110_CONTROL</v>
      </c>
      <c r="F76" s="131"/>
      <c r="G76" s="130">
        <f t="shared" si="40"/>
        <v>110</v>
      </c>
      <c r="H76" s="131"/>
      <c r="I76" s="131"/>
      <c r="J76" s="132" t="s">
        <v>25</v>
      </c>
      <c r="K76" s="132" t="s">
        <v>177</v>
      </c>
      <c r="L76" s="132" t="s">
        <v>301</v>
      </c>
      <c r="M76" s="131" t="s">
        <v>81</v>
      </c>
      <c r="N76" s="131" t="s">
        <v>81</v>
      </c>
      <c r="O76" s="131" t="s">
        <v>81</v>
      </c>
      <c r="P76" s="131" t="s">
        <v>311</v>
      </c>
      <c r="Q76" s="131" t="s">
        <v>81</v>
      </c>
      <c r="R76" s="131" t="s">
        <v>89</v>
      </c>
      <c r="S76" s="131" t="s">
        <v>297</v>
      </c>
      <c r="T76" s="131"/>
      <c r="U76" s="132" t="s">
        <v>81</v>
      </c>
      <c r="V76" s="132" t="s">
        <v>172</v>
      </c>
      <c r="W76" s="132"/>
      <c r="X76" s="132"/>
      <c r="Y76" s="133">
        <v>0</v>
      </c>
      <c r="Z76" s="133">
        <v>18</v>
      </c>
      <c r="AA76" s="132" t="s">
        <v>71</v>
      </c>
      <c r="AB76" s="132" t="s">
        <v>60</v>
      </c>
      <c r="AC76" s="132" t="s">
        <v>60</v>
      </c>
      <c r="AD76" s="132" t="s">
        <v>71</v>
      </c>
      <c r="AE76" s="132" t="s">
        <v>71</v>
      </c>
      <c r="AF76" s="134" t="s">
        <v>68</v>
      </c>
      <c r="AG76" s="132" t="s">
        <v>81</v>
      </c>
      <c r="AH76" s="132" t="s">
        <v>71</v>
      </c>
      <c r="AI76" s="132" t="s">
        <v>60</v>
      </c>
      <c r="AJ76" s="132" t="s">
        <v>71</v>
      </c>
      <c r="AK76" s="132" t="s">
        <v>60</v>
      </c>
      <c r="AL76" s="132" t="s">
        <v>60</v>
      </c>
      <c r="AM76" s="132" t="s">
        <v>60</v>
      </c>
      <c r="AN76" s="132" t="s">
        <v>60</v>
      </c>
      <c r="AO76" s="132" t="s">
        <v>71</v>
      </c>
      <c r="AP76" s="132" t="s">
        <v>71</v>
      </c>
      <c r="AQ76" s="132" t="s">
        <v>71</v>
      </c>
      <c r="AR76" s="132" t="s">
        <v>71</v>
      </c>
      <c r="AS76" s="132" t="s">
        <v>71</v>
      </c>
      <c r="AT76" s="132" t="s">
        <v>71</v>
      </c>
      <c r="AU76" s="132" t="s">
        <v>71</v>
      </c>
      <c r="AV76" s="132" t="s">
        <v>71</v>
      </c>
      <c r="AW76" s="132" t="s">
        <v>71</v>
      </c>
      <c r="AX76" s="132" t="s">
        <v>71</v>
      </c>
      <c r="AY76" s="132" t="s">
        <v>71</v>
      </c>
      <c r="AZ76" s="132" t="s">
        <v>71</v>
      </c>
      <c r="BA76" s="132" t="s">
        <v>71</v>
      </c>
      <c r="BB76" s="132" t="s">
        <v>71</v>
      </c>
      <c r="BC76" s="132" t="s">
        <v>71</v>
      </c>
      <c r="BD76" s="132" t="s">
        <v>71</v>
      </c>
      <c r="BE76" s="132" t="s">
        <v>71</v>
      </c>
      <c r="BF76" s="132" t="s">
        <v>71</v>
      </c>
      <c r="BG76" s="132" t="s">
        <v>71</v>
      </c>
      <c r="BH76" s="132" t="s">
        <v>71</v>
      </c>
      <c r="BI76" s="132" t="s">
        <v>71</v>
      </c>
      <c r="BJ76" s="132" t="s">
        <v>71</v>
      </c>
      <c r="BK76" s="132" t="s">
        <v>71</v>
      </c>
      <c r="BL76" s="132" t="s">
        <v>71</v>
      </c>
      <c r="BM76" s="132" t="s">
        <v>71</v>
      </c>
      <c r="BN76" s="132" t="s">
        <v>71</v>
      </c>
      <c r="BO76" s="132" t="s">
        <v>71</v>
      </c>
      <c r="BP76" s="132" t="s">
        <v>71</v>
      </c>
      <c r="BQ76" s="132" t="s">
        <v>71</v>
      </c>
      <c r="BR76" s="132" t="s">
        <v>71</v>
      </c>
      <c r="BS76" s="132" t="s">
        <v>71</v>
      </c>
      <c r="BT76" s="132" t="s">
        <v>71</v>
      </c>
      <c r="BU76" s="132" t="s">
        <v>60</v>
      </c>
      <c r="BV76" s="132" t="s">
        <v>71</v>
      </c>
      <c r="BW76" s="132" t="s">
        <v>60</v>
      </c>
      <c r="BX76" s="132" t="s">
        <v>71</v>
      </c>
      <c r="BY76" s="132" t="s">
        <v>60</v>
      </c>
      <c r="BZ76" s="132" t="s">
        <v>71</v>
      </c>
      <c r="CA76" s="132" t="s">
        <v>60</v>
      </c>
      <c r="CB76" s="132" t="s">
        <v>71</v>
      </c>
      <c r="CC76" s="132" t="s">
        <v>60</v>
      </c>
      <c r="CD76" s="132" t="s">
        <v>71</v>
      </c>
      <c r="CE76" s="132" t="s">
        <v>60</v>
      </c>
      <c r="CF76" s="132" t="s">
        <v>71</v>
      </c>
      <c r="CG76" s="132" t="s">
        <v>60</v>
      </c>
      <c r="CH76" s="132" t="s">
        <v>71</v>
      </c>
      <c r="CI76" s="132" t="s">
        <v>60</v>
      </c>
      <c r="CJ76" s="132" t="s">
        <v>71</v>
      </c>
      <c r="CK76" s="132" t="s">
        <v>60</v>
      </c>
      <c r="CL76" s="132" t="s">
        <v>71</v>
      </c>
      <c r="CM76" s="132" t="s">
        <v>60</v>
      </c>
      <c r="CN76" s="132" t="s">
        <v>71</v>
      </c>
      <c r="CO76" s="132" t="s">
        <v>60</v>
      </c>
      <c r="CP76" s="132" t="s">
        <v>71</v>
      </c>
      <c r="CQ76" s="132" t="s">
        <v>60</v>
      </c>
      <c r="CR76" s="132" t="s">
        <v>71</v>
      </c>
      <c r="CS76" s="132" t="s">
        <v>60</v>
      </c>
      <c r="CT76" s="132" t="s">
        <v>71</v>
      </c>
      <c r="CU76" s="132" t="s">
        <v>60</v>
      </c>
      <c r="CV76" s="132" t="s">
        <v>71</v>
      </c>
      <c r="CW76" s="132" t="s">
        <v>60</v>
      </c>
      <c r="CX76" s="132" t="s">
        <v>71</v>
      </c>
      <c r="CY76" s="132" t="s">
        <v>60</v>
      </c>
      <c r="CZ76" s="132" t="s">
        <v>71</v>
      </c>
      <c r="DA76" s="132" t="s">
        <v>60</v>
      </c>
      <c r="DB76" s="132" t="s">
        <v>71</v>
      </c>
      <c r="DC76" s="132" t="s">
        <v>60</v>
      </c>
      <c r="DD76" s="132" t="s">
        <v>71</v>
      </c>
      <c r="DE76" s="137" t="str">
        <f t="shared" si="39"/>
        <v>FETAL</v>
      </c>
      <c r="DF76" s="137">
        <f t="shared" si="37"/>
        <v>0</v>
      </c>
    </row>
    <row r="77" spans="1:110" x14ac:dyDescent="0.2">
      <c r="A77" s="160"/>
      <c r="B77" s="5">
        <f t="shared" si="16"/>
        <v>75</v>
      </c>
      <c r="C77" s="131" t="str">
        <f t="shared" si="35"/>
        <v>CNS111</v>
      </c>
      <c r="D77" s="135" t="s">
        <v>209</v>
      </c>
      <c r="E77" s="131" t="str">
        <f t="shared" si="36"/>
        <v>CNS111_CONTROL</v>
      </c>
      <c r="F77" s="131"/>
      <c r="G77" s="130">
        <f t="shared" si="40"/>
        <v>111</v>
      </c>
      <c r="H77" s="131"/>
      <c r="I77" s="131"/>
      <c r="J77" s="132" t="s">
        <v>25</v>
      </c>
      <c r="K77" s="132" t="s">
        <v>177</v>
      </c>
      <c r="L77" s="132" t="s">
        <v>301</v>
      </c>
      <c r="M77" s="131" t="s">
        <v>81</v>
      </c>
      <c r="N77" s="131" t="s">
        <v>81</v>
      </c>
      <c r="O77" s="131" t="s">
        <v>81</v>
      </c>
      <c r="P77" s="131" t="s">
        <v>311</v>
      </c>
      <c r="Q77" s="131" t="s">
        <v>81</v>
      </c>
      <c r="R77" s="131" t="s">
        <v>89</v>
      </c>
      <c r="S77" s="131" t="s">
        <v>297</v>
      </c>
      <c r="T77" s="131"/>
      <c r="U77" s="132" t="s">
        <v>81</v>
      </c>
      <c r="V77" s="132" t="s">
        <v>172</v>
      </c>
      <c r="W77" s="132"/>
      <c r="X77" s="132"/>
      <c r="Y77" s="133">
        <v>0</v>
      </c>
      <c r="Z77" s="133">
        <v>17</v>
      </c>
      <c r="AA77" s="132" t="s">
        <v>71</v>
      </c>
      <c r="AB77" s="132" t="s">
        <v>60</v>
      </c>
      <c r="AC77" s="132" t="s">
        <v>60</v>
      </c>
      <c r="AD77" s="132" t="s">
        <v>71</v>
      </c>
      <c r="AE77" s="132" t="s">
        <v>71</v>
      </c>
      <c r="AF77" s="134" t="s">
        <v>68</v>
      </c>
      <c r="AG77" s="132" t="s">
        <v>81</v>
      </c>
      <c r="AH77" s="132" t="s">
        <v>71</v>
      </c>
      <c r="AI77" s="132" t="s">
        <v>60</v>
      </c>
      <c r="AJ77" s="132" t="s">
        <v>71</v>
      </c>
      <c r="AK77" s="132" t="s">
        <v>60</v>
      </c>
      <c r="AL77" s="132" t="s">
        <v>60</v>
      </c>
      <c r="AM77" s="132" t="s">
        <v>60</v>
      </c>
      <c r="AN77" s="132" t="s">
        <v>60</v>
      </c>
      <c r="AO77" s="132" t="s">
        <v>71</v>
      </c>
      <c r="AP77" s="132" t="s">
        <v>71</v>
      </c>
      <c r="AQ77" s="132" t="s">
        <v>71</v>
      </c>
      <c r="AR77" s="132" t="s">
        <v>71</v>
      </c>
      <c r="AS77" s="132" t="s">
        <v>71</v>
      </c>
      <c r="AT77" s="132" t="s">
        <v>71</v>
      </c>
      <c r="AU77" s="132" t="s">
        <v>71</v>
      </c>
      <c r="AV77" s="132" t="s">
        <v>71</v>
      </c>
      <c r="AW77" s="132" t="s">
        <v>71</v>
      </c>
      <c r="AX77" s="132" t="s">
        <v>71</v>
      </c>
      <c r="AY77" s="132" t="s">
        <v>71</v>
      </c>
      <c r="AZ77" s="132" t="s">
        <v>71</v>
      </c>
      <c r="BA77" s="132" t="s">
        <v>71</v>
      </c>
      <c r="BB77" s="132" t="s">
        <v>71</v>
      </c>
      <c r="BC77" s="132" t="s">
        <v>71</v>
      </c>
      <c r="BD77" s="132" t="s">
        <v>71</v>
      </c>
      <c r="BE77" s="132" t="s">
        <v>71</v>
      </c>
      <c r="BF77" s="132" t="s">
        <v>71</v>
      </c>
      <c r="BG77" s="132" t="s">
        <v>71</v>
      </c>
      <c r="BH77" s="132" t="s">
        <v>71</v>
      </c>
      <c r="BI77" s="132" t="s">
        <v>71</v>
      </c>
      <c r="BJ77" s="132" t="s">
        <v>71</v>
      </c>
      <c r="BK77" s="132" t="s">
        <v>71</v>
      </c>
      <c r="BL77" s="132" t="s">
        <v>71</v>
      </c>
      <c r="BM77" s="132" t="s">
        <v>71</v>
      </c>
      <c r="BN77" s="132" t="s">
        <v>71</v>
      </c>
      <c r="BO77" s="132" t="s">
        <v>71</v>
      </c>
      <c r="BP77" s="132" t="s">
        <v>71</v>
      </c>
      <c r="BQ77" s="132" t="s">
        <v>71</v>
      </c>
      <c r="BR77" s="132" t="s">
        <v>71</v>
      </c>
      <c r="BS77" s="132" t="s">
        <v>71</v>
      </c>
      <c r="BT77" s="132" t="s">
        <v>71</v>
      </c>
      <c r="BU77" s="132" t="s">
        <v>60</v>
      </c>
      <c r="BV77" s="132" t="s">
        <v>71</v>
      </c>
      <c r="BW77" s="132" t="s">
        <v>60</v>
      </c>
      <c r="BX77" s="132" t="s">
        <v>71</v>
      </c>
      <c r="BY77" s="132" t="s">
        <v>60</v>
      </c>
      <c r="BZ77" s="132" t="s">
        <v>71</v>
      </c>
      <c r="CA77" s="132" t="s">
        <v>60</v>
      </c>
      <c r="CB77" s="132" t="s">
        <v>71</v>
      </c>
      <c r="CC77" s="132" t="s">
        <v>60</v>
      </c>
      <c r="CD77" s="132" t="s">
        <v>71</v>
      </c>
      <c r="CE77" s="132" t="s">
        <v>60</v>
      </c>
      <c r="CF77" s="132" t="s">
        <v>71</v>
      </c>
      <c r="CG77" s="132" t="s">
        <v>60</v>
      </c>
      <c r="CH77" s="132" t="s">
        <v>71</v>
      </c>
      <c r="CI77" s="132" t="s">
        <v>60</v>
      </c>
      <c r="CJ77" s="132" t="s">
        <v>71</v>
      </c>
      <c r="CK77" s="132" t="s">
        <v>60</v>
      </c>
      <c r="CL77" s="132" t="s">
        <v>71</v>
      </c>
      <c r="CM77" s="132" t="s">
        <v>60</v>
      </c>
      <c r="CN77" s="132" t="s">
        <v>71</v>
      </c>
      <c r="CO77" s="132" t="s">
        <v>60</v>
      </c>
      <c r="CP77" s="132" t="s">
        <v>71</v>
      </c>
      <c r="CQ77" s="132" t="s">
        <v>60</v>
      </c>
      <c r="CR77" s="132" t="s">
        <v>71</v>
      </c>
      <c r="CS77" s="132" t="s">
        <v>60</v>
      </c>
      <c r="CT77" s="132" t="s">
        <v>71</v>
      </c>
      <c r="CU77" s="132" t="s">
        <v>60</v>
      </c>
      <c r="CV77" s="132" t="s">
        <v>71</v>
      </c>
      <c r="CW77" s="132" t="s">
        <v>60</v>
      </c>
      <c r="CX77" s="132" t="s">
        <v>71</v>
      </c>
      <c r="CY77" s="132" t="s">
        <v>60</v>
      </c>
      <c r="CZ77" s="132" t="s">
        <v>71</v>
      </c>
      <c r="DA77" s="132" t="s">
        <v>60</v>
      </c>
      <c r="DB77" s="132" t="s">
        <v>71</v>
      </c>
      <c r="DC77" s="132" t="s">
        <v>60</v>
      </c>
      <c r="DD77" s="132" t="s">
        <v>71</v>
      </c>
      <c r="DE77" s="137" t="str">
        <f t="shared" si="39"/>
        <v>FETAL</v>
      </c>
      <c r="DF77" s="137">
        <f t="shared" si="37"/>
        <v>0</v>
      </c>
    </row>
    <row r="78" spans="1:110" x14ac:dyDescent="0.2">
      <c r="A78" s="160"/>
      <c r="B78" s="5">
        <f t="shared" si="16"/>
        <v>76</v>
      </c>
      <c r="C78" s="131" t="str">
        <f t="shared" si="35"/>
        <v>CNS112</v>
      </c>
      <c r="D78" s="135" t="s">
        <v>210</v>
      </c>
      <c r="E78" s="131" t="str">
        <f t="shared" si="36"/>
        <v>CNS112_CONTROL</v>
      </c>
      <c r="F78" s="131"/>
      <c r="G78" s="130">
        <f t="shared" si="40"/>
        <v>112</v>
      </c>
      <c r="H78" s="131"/>
      <c r="I78" s="131"/>
      <c r="J78" s="132" t="s">
        <v>25</v>
      </c>
      <c r="K78" s="132" t="s">
        <v>177</v>
      </c>
      <c r="L78" s="132" t="s">
        <v>301</v>
      </c>
      <c r="M78" s="131" t="s">
        <v>81</v>
      </c>
      <c r="N78" s="131" t="s">
        <v>81</v>
      </c>
      <c r="O78" s="131" t="s">
        <v>81</v>
      </c>
      <c r="P78" s="131" t="s">
        <v>311</v>
      </c>
      <c r="Q78" s="131" t="s">
        <v>81</v>
      </c>
      <c r="R78" s="131" t="s">
        <v>89</v>
      </c>
      <c r="S78" s="131" t="s">
        <v>297</v>
      </c>
      <c r="T78" s="131"/>
      <c r="U78" s="132" t="s">
        <v>81</v>
      </c>
      <c r="V78" s="132" t="s">
        <v>172</v>
      </c>
      <c r="W78" s="132"/>
      <c r="X78" s="132"/>
      <c r="Y78" s="133">
        <v>0</v>
      </c>
      <c r="Z78" s="133">
        <v>19</v>
      </c>
      <c r="AA78" s="132" t="s">
        <v>71</v>
      </c>
      <c r="AB78" s="132" t="s">
        <v>60</v>
      </c>
      <c r="AC78" s="132" t="s">
        <v>60</v>
      </c>
      <c r="AD78" s="132" t="s">
        <v>71</v>
      </c>
      <c r="AE78" s="132" t="s">
        <v>71</v>
      </c>
      <c r="AF78" s="134" t="s">
        <v>68</v>
      </c>
      <c r="AG78" s="132" t="s">
        <v>81</v>
      </c>
      <c r="AH78" s="132" t="s">
        <v>71</v>
      </c>
      <c r="AI78" s="132" t="s">
        <v>60</v>
      </c>
      <c r="AJ78" s="132" t="s">
        <v>71</v>
      </c>
      <c r="AK78" s="132" t="s">
        <v>60</v>
      </c>
      <c r="AL78" s="132" t="s">
        <v>60</v>
      </c>
      <c r="AM78" s="132" t="s">
        <v>60</v>
      </c>
      <c r="AN78" s="132" t="s">
        <v>60</v>
      </c>
      <c r="AO78" s="132" t="s">
        <v>71</v>
      </c>
      <c r="AP78" s="132" t="s">
        <v>71</v>
      </c>
      <c r="AQ78" s="132" t="s">
        <v>71</v>
      </c>
      <c r="AR78" s="132" t="s">
        <v>71</v>
      </c>
      <c r="AS78" s="132" t="s">
        <v>71</v>
      </c>
      <c r="AT78" s="132" t="s">
        <v>71</v>
      </c>
      <c r="AU78" s="132" t="s">
        <v>71</v>
      </c>
      <c r="AV78" s="132" t="s">
        <v>71</v>
      </c>
      <c r="AW78" s="132" t="s">
        <v>71</v>
      </c>
      <c r="AX78" s="132" t="s">
        <v>71</v>
      </c>
      <c r="AY78" s="132" t="s">
        <v>71</v>
      </c>
      <c r="AZ78" s="132" t="s">
        <v>71</v>
      </c>
      <c r="BA78" s="132" t="s">
        <v>71</v>
      </c>
      <c r="BB78" s="132" t="s">
        <v>71</v>
      </c>
      <c r="BC78" s="132" t="s">
        <v>71</v>
      </c>
      <c r="BD78" s="132" t="s">
        <v>71</v>
      </c>
      <c r="BE78" s="132" t="s">
        <v>71</v>
      </c>
      <c r="BF78" s="132" t="s">
        <v>71</v>
      </c>
      <c r="BG78" s="132" t="s">
        <v>71</v>
      </c>
      <c r="BH78" s="132" t="s">
        <v>71</v>
      </c>
      <c r="BI78" s="132" t="s">
        <v>71</v>
      </c>
      <c r="BJ78" s="132" t="s">
        <v>71</v>
      </c>
      <c r="BK78" s="132" t="s">
        <v>71</v>
      </c>
      <c r="BL78" s="132" t="s">
        <v>71</v>
      </c>
      <c r="BM78" s="132" t="s">
        <v>71</v>
      </c>
      <c r="BN78" s="132" t="s">
        <v>71</v>
      </c>
      <c r="BO78" s="132" t="s">
        <v>71</v>
      </c>
      <c r="BP78" s="132" t="s">
        <v>71</v>
      </c>
      <c r="BQ78" s="132" t="s">
        <v>71</v>
      </c>
      <c r="BR78" s="132" t="s">
        <v>71</v>
      </c>
      <c r="BS78" s="132" t="s">
        <v>71</v>
      </c>
      <c r="BT78" s="132" t="s">
        <v>71</v>
      </c>
      <c r="BU78" s="132" t="s">
        <v>60</v>
      </c>
      <c r="BV78" s="132" t="s">
        <v>71</v>
      </c>
      <c r="BW78" s="132" t="s">
        <v>60</v>
      </c>
      <c r="BX78" s="132" t="s">
        <v>71</v>
      </c>
      <c r="BY78" s="132" t="s">
        <v>60</v>
      </c>
      <c r="BZ78" s="132" t="s">
        <v>71</v>
      </c>
      <c r="CA78" s="132" t="s">
        <v>60</v>
      </c>
      <c r="CB78" s="132" t="s">
        <v>71</v>
      </c>
      <c r="CC78" s="132" t="s">
        <v>60</v>
      </c>
      <c r="CD78" s="132" t="s">
        <v>71</v>
      </c>
      <c r="CE78" s="132" t="s">
        <v>60</v>
      </c>
      <c r="CF78" s="132" t="s">
        <v>71</v>
      </c>
      <c r="CG78" s="132" t="s">
        <v>60</v>
      </c>
      <c r="CH78" s="132" t="s">
        <v>71</v>
      </c>
      <c r="CI78" s="132" t="s">
        <v>60</v>
      </c>
      <c r="CJ78" s="132" t="s">
        <v>71</v>
      </c>
      <c r="CK78" s="132" t="s">
        <v>60</v>
      </c>
      <c r="CL78" s="132" t="s">
        <v>71</v>
      </c>
      <c r="CM78" s="132" t="s">
        <v>60</v>
      </c>
      <c r="CN78" s="132" t="s">
        <v>71</v>
      </c>
      <c r="CO78" s="132" t="s">
        <v>60</v>
      </c>
      <c r="CP78" s="132" t="s">
        <v>71</v>
      </c>
      <c r="CQ78" s="132" t="s">
        <v>60</v>
      </c>
      <c r="CR78" s="132" t="s">
        <v>71</v>
      </c>
      <c r="CS78" s="132" t="s">
        <v>60</v>
      </c>
      <c r="CT78" s="132" t="s">
        <v>71</v>
      </c>
      <c r="CU78" s="132" t="s">
        <v>60</v>
      </c>
      <c r="CV78" s="132" t="s">
        <v>71</v>
      </c>
      <c r="CW78" s="132" t="s">
        <v>60</v>
      </c>
      <c r="CX78" s="132" t="s">
        <v>71</v>
      </c>
      <c r="CY78" s="132" t="s">
        <v>60</v>
      </c>
      <c r="CZ78" s="132" t="s">
        <v>71</v>
      </c>
      <c r="DA78" s="132" t="s">
        <v>60</v>
      </c>
      <c r="DB78" s="132" t="s">
        <v>71</v>
      </c>
      <c r="DC78" s="132" t="s">
        <v>60</v>
      </c>
      <c r="DD78" s="132" t="s">
        <v>71</v>
      </c>
      <c r="DE78" s="137" t="str">
        <f t="shared" si="39"/>
        <v>FETAL</v>
      </c>
      <c r="DF78" s="137">
        <f t="shared" si="37"/>
        <v>0</v>
      </c>
    </row>
    <row r="79" spans="1:110" x14ac:dyDescent="0.2">
      <c r="A79" s="160"/>
      <c r="B79" s="5">
        <f t="shared" si="16"/>
        <v>77</v>
      </c>
      <c r="C79" s="131" t="str">
        <f t="shared" si="35"/>
        <v>CNS113</v>
      </c>
      <c r="D79" s="135" t="s">
        <v>211</v>
      </c>
      <c r="E79" s="131" t="str">
        <f t="shared" si="36"/>
        <v>CNS113_CONTROL</v>
      </c>
      <c r="F79" s="131"/>
      <c r="G79" s="130">
        <f t="shared" si="40"/>
        <v>113</v>
      </c>
      <c r="H79" s="131"/>
      <c r="I79" s="131"/>
      <c r="J79" s="132" t="s">
        <v>25</v>
      </c>
      <c r="K79" s="132" t="s">
        <v>177</v>
      </c>
      <c r="L79" s="132" t="s">
        <v>301</v>
      </c>
      <c r="M79" s="131" t="s">
        <v>81</v>
      </c>
      <c r="N79" s="131" t="s">
        <v>81</v>
      </c>
      <c r="O79" s="131" t="s">
        <v>81</v>
      </c>
      <c r="P79" s="131" t="s">
        <v>311</v>
      </c>
      <c r="Q79" s="131" t="s">
        <v>81</v>
      </c>
      <c r="R79" s="131" t="s">
        <v>89</v>
      </c>
      <c r="S79" s="131" t="s">
        <v>297</v>
      </c>
      <c r="T79" s="131"/>
      <c r="U79" s="132" t="s">
        <v>81</v>
      </c>
      <c r="V79" s="132" t="s">
        <v>172</v>
      </c>
      <c r="W79" s="132"/>
      <c r="X79" s="132"/>
      <c r="Y79" s="133">
        <v>0</v>
      </c>
      <c r="Z79" s="133">
        <v>19</v>
      </c>
      <c r="AA79" s="132" t="s">
        <v>71</v>
      </c>
      <c r="AB79" s="132" t="s">
        <v>60</v>
      </c>
      <c r="AC79" s="132" t="s">
        <v>60</v>
      </c>
      <c r="AD79" s="132" t="s">
        <v>71</v>
      </c>
      <c r="AE79" s="132" t="s">
        <v>71</v>
      </c>
      <c r="AF79" s="134" t="s">
        <v>68</v>
      </c>
      <c r="AG79" s="132" t="s">
        <v>81</v>
      </c>
      <c r="AH79" s="132" t="s">
        <v>71</v>
      </c>
      <c r="AI79" s="132" t="s">
        <v>60</v>
      </c>
      <c r="AJ79" s="132" t="s">
        <v>71</v>
      </c>
      <c r="AK79" s="132" t="s">
        <v>60</v>
      </c>
      <c r="AL79" s="132" t="s">
        <v>60</v>
      </c>
      <c r="AM79" s="132" t="s">
        <v>60</v>
      </c>
      <c r="AN79" s="132" t="s">
        <v>60</v>
      </c>
      <c r="AO79" s="132" t="s">
        <v>71</v>
      </c>
      <c r="AP79" s="132" t="s">
        <v>71</v>
      </c>
      <c r="AQ79" s="132" t="s">
        <v>71</v>
      </c>
      <c r="AR79" s="132" t="s">
        <v>71</v>
      </c>
      <c r="AS79" s="132" t="s">
        <v>71</v>
      </c>
      <c r="AT79" s="132" t="s">
        <v>71</v>
      </c>
      <c r="AU79" s="132" t="s">
        <v>71</v>
      </c>
      <c r="AV79" s="132" t="s">
        <v>71</v>
      </c>
      <c r="AW79" s="132" t="s">
        <v>71</v>
      </c>
      <c r="AX79" s="132" t="s">
        <v>71</v>
      </c>
      <c r="AY79" s="132" t="s">
        <v>71</v>
      </c>
      <c r="AZ79" s="132" t="s">
        <v>71</v>
      </c>
      <c r="BA79" s="132" t="s">
        <v>71</v>
      </c>
      <c r="BB79" s="132" t="s">
        <v>71</v>
      </c>
      <c r="BC79" s="132" t="s">
        <v>71</v>
      </c>
      <c r="BD79" s="132" t="s">
        <v>71</v>
      </c>
      <c r="BE79" s="132" t="s">
        <v>71</v>
      </c>
      <c r="BF79" s="132" t="s">
        <v>71</v>
      </c>
      <c r="BG79" s="132" t="s">
        <v>71</v>
      </c>
      <c r="BH79" s="132" t="s">
        <v>71</v>
      </c>
      <c r="BI79" s="132" t="s">
        <v>71</v>
      </c>
      <c r="BJ79" s="132" t="s">
        <v>71</v>
      </c>
      <c r="BK79" s="132" t="s">
        <v>71</v>
      </c>
      <c r="BL79" s="132" t="s">
        <v>71</v>
      </c>
      <c r="BM79" s="132" t="s">
        <v>71</v>
      </c>
      <c r="BN79" s="132" t="s">
        <v>71</v>
      </c>
      <c r="BO79" s="132" t="s">
        <v>71</v>
      </c>
      <c r="BP79" s="132" t="s">
        <v>71</v>
      </c>
      <c r="BQ79" s="132" t="s">
        <v>71</v>
      </c>
      <c r="BR79" s="132" t="s">
        <v>71</v>
      </c>
      <c r="BS79" s="132" t="s">
        <v>71</v>
      </c>
      <c r="BT79" s="132" t="s">
        <v>71</v>
      </c>
      <c r="BU79" s="132" t="s">
        <v>60</v>
      </c>
      <c r="BV79" s="132" t="s">
        <v>71</v>
      </c>
      <c r="BW79" s="132" t="s">
        <v>60</v>
      </c>
      <c r="BX79" s="132" t="s">
        <v>71</v>
      </c>
      <c r="BY79" s="132" t="s">
        <v>60</v>
      </c>
      <c r="BZ79" s="132" t="s">
        <v>71</v>
      </c>
      <c r="CA79" s="132" t="s">
        <v>60</v>
      </c>
      <c r="CB79" s="132" t="s">
        <v>71</v>
      </c>
      <c r="CC79" s="132" t="s">
        <v>60</v>
      </c>
      <c r="CD79" s="132" t="s">
        <v>71</v>
      </c>
      <c r="CE79" s="132" t="s">
        <v>60</v>
      </c>
      <c r="CF79" s="132" t="s">
        <v>71</v>
      </c>
      <c r="CG79" s="132" t="s">
        <v>60</v>
      </c>
      <c r="CH79" s="132" t="s">
        <v>71</v>
      </c>
      <c r="CI79" s="132" t="s">
        <v>60</v>
      </c>
      <c r="CJ79" s="132" t="s">
        <v>71</v>
      </c>
      <c r="CK79" s="132" t="s">
        <v>60</v>
      </c>
      <c r="CL79" s="132" t="s">
        <v>71</v>
      </c>
      <c r="CM79" s="132" t="s">
        <v>60</v>
      </c>
      <c r="CN79" s="132" t="s">
        <v>71</v>
      </c>
      <c r="CO79" s="132" t="s">
        <v>60</v>
      </c>
      <c r="CP79" s="132" t="s">
        <v>71</v>
      </c>
      <c r="CQ79" s="132" t="s">
        <v>60</v>
      </c>
      <c r="CR79" s="132" t="s">
        <v>71</v>
      </c>
      <c r="CS79" s="132" t="s">
        <v>60</v>
      </c>
      <c r="CT79" s="132" t="s">
        <v>71</v>
      </c>
      <c r="CU79" s="132" t="s">
        <v>60</v>
      </c>
      <c r="CV79" s="132" t="s">
        <v>71</v>
      </c>
      <c r="CW79" s="132" t="s">
        <v>60</v>
      </c>
      <c r="CX79" s="132" t="s">
        <v>71</v>
      </c>
      <c r="CY79" s="132" t="s">
        <v>60</v>
      </c>
      <c r="CZ79" s="132" t="s">
        <v>71</v>
      </c>
      <c r="DA79" s="132" t="s">
        <v>60</v>
      </c>
      <c r="DB79" s="132" t="s">
        <v>71</v>
      </c>
      <c r="DC79" s="132" t="s">
        <v>60</v>
      </c>
      <c r="DD79" s="132" t="s">
        <v>71</v>
      </c>
      <c r="DE79" s="137" t="str">
        <f t="shared" si="39"/>
        <v>FETAL</v>
      </c>
      <c r="DF79" s="137">
        <f t="shared" si="37"/>
        <v>0</v>
      </c>
    </row>
    <row r="80" spans="1:110" x14ac:dyDescent="0.2">
      <c r="A80" s="160"/>
      <c r="B80" s="5">
        <f t="shared" si="16"/>
        <v>78</v>
      </c>
      <c r="C80" s="131" t="str">
        <f t="shared" si="35"/>
        <v>CNS114</v>
      </c>
      <c r="D80" s="135" t="s">
        <v>212</v>
      </c>
      <c r="E80" s="131" t="str">
        <f t="shared" si="36"/>
        <v>CNS114_CONTROL</v>
      </c>
      <c r="F80" s="131"/>
      <c r="G80" s="130">
        <f t="shared" si="40"/>
        <v>114</v>
      </c>
      <c r="H80" s="131"/>
      <c r="I80" s="131"/>
      <c r="J80" s="132" t="s">
        <v>25</v>
      </c>
      <c r="K80" s="132" t="s">
        <v>177</v>
      </c>
      <c r="L80" s="132" t="s">
        <v>301</v>
      </c>
      <c r="M80" s="131" t="s">
        <v>81</v>
      </c>
      <c r="N80" s="131" t="s">
        <v>81</v>
      </c>
      <c r="O80" s="131" t="s">
        <v>81</v>
      </c>
      <c r="P80" s="131" t="s">
        <v>311</v>
      </c>
      <c r="Q80" s="131" t="s">
        <v>81</v>
      </c>
      <c r="R80" s="131" t="s">
        <v>89</v>
      </c>
      <c r="S80" s="131" t="s">
        <v>297</v>
      </c>
      <c r="T80" s="131"/>
      <c r="U80" s="132" t="s">
        <v>81</v>
      </c>
      <c r="V80" s="132" t="s">
        <v>172</v>
      </c>
      <c r="W80" s="132"/>
      <c r="X80" s="132"/>
      <c r="Y80" s="133">
        <v>0</v>
      </c>
      <c r="Z80" s="133">
        <v>18</v>
      </c>
      <c r="AA80" s="132" t="s">
        <v>71</v>
      </c>
      <c r="AB80" s="132" t="s">
        <v>60</v>
      </c>
      <c r="AC80" s="132" t="s">
        <v>60</v>
      </c>
      <c r="AD80" s="132" t="s">
        <v>71</v>
      </c>
      <c r="AE80" s="132" t="s">
        <v>71</v>
      </c>
      <c r="AF80" s="134" t="s">
        <v>68</v>
      </c>
      <c r="AG80" s="132" t="s">
        <v>81</v>
      </c>
      <c r="AH80" s="132" t="s">
        <v>71</v>
      </c>
      <c r="AI80" s="132" t="s">
        <v>60</v>
      </c>
      <c r="AJ80" s="132" t="s">
        <v>71</v>
      </c>
      <c r="AK80" s="132" t="s">
        <v>60</v>
      </c>
      <c r="AL80" s="132" t="s">
        <v>60</v>
      </c>
      <c r="AM80" s="132" t="s">
        <v>60</v>
      </c>
      <c r="AN80" s="132" t="s">
        <v>60</v>
      </c>
      <c r="AO80" s="132" t="s">
        <v>71</v>
      </c>
      <c r="AP80" s="132" t="s">
        <v>71</v>
      </c>
      <c r="AQ80" s="132" t="s">
        <v>71</v>
      </c>
      <c r="AR80" s="132" t="s">
        <v>71</v>
      </c>
      <c r="AS80" s="132" t="s">
        <v>71</v>
      </c>
      <c r="AT80" s="132" t="s">
        <v>71</v>
      </c>
      <c r="AU80" s="132" t="s">
        <v>71</v>
      </c>
      <c r="AV80" s="132" t="s">
        <v>71</v>
      </c>
      <c r="AW80" s="132" t="s">
        <v>71</v>
      </c>
      <c r="AX80" s="132" t="s">
        <v>71</v>
      </c>
      <c r="AY80" s="132" t="s">
        <v>71</v>
      </c>
      <c r="AZ80" s="132" t="s">
        <v>71</v>
      </c>
      <c r="BA80" s="132" t="s">
        <v>71</v>
      </c>
      <c r="BB80" s="132" t="s">
        <v>71</v>
      </c>
      <c r="BC80" s="132" t="s">
        <v>71</v>
      </c>
      <c r="BD80" s="132" t="s">
        <v>71</v>
      </c>
      <c r="BE80" s="132" t="s">
        <v>71</v>
      </c>
      <c r="BF80" s="132" t="s">
        <v>71</v>
      </c>
      <c r="BG80" s="132" t="s">
        <v>71</v>
      </c>
      <c r="BH80" s="132" t="s">
        <v>71</v>
      </c>
      <c r="BI80" s="132" t="s">
        <v>71</v>
      </c>
      <c r="BJ80" s="132" t="s">
        <v>71</v>
      </c>
      <c r="BK80" s="132" t="s">
        <v>71</v>
      </c>
      <c r="BL80" s="132" t="s">
        <v>71</v>
      </c>
      <c r="BM80" s="132" t="s">
        <v>71</v>
      </c>
      <c r="BN80" s="132" t="s">
        <v>71</v>
      </c>
      <c r="BO80" s="132" t="s">
        <v>71</v>
      </c>
      <c r="BP80" s="132" t="s">
        <v>71</v>
      </c>
      <c r="BQ80" s="132" t="s">
        <v>71</v>
      </c>
      <c r="BR80" s="132" t="s">
        <v>71</v>
      </c>
      <c r="BS80" s="132" t="s">
        <v>71</v>
      </c>
      <c r="BT80" s="132" t="s">
        <v>71</v>
      </c>
      <c r="BU80" s="132" t="s">
        <v>60</v>
      </c>
      <c r="BV80" s="132" t="s">
        <v>71</v>
      </c>
      <c r="BW80" s="132" t="s">
        <v>60</v>
      </c>
      <c r="BX80" s="132" t="s">
        <v>71</v>
      </c>
      <c r="BY80" s="132" t="s">
        <v>60</v>
      </c>
      <c r="BZ80" s="132" t="s">
        <v>71</v>
      </c>
      <c r="CA80" s="132" t="s">
        <v>60</v>
      </c>
      <c r="CB80" s="132" t="s">
        <v>71</v>
      </c>
      <c r="CC80" s="132" t="s">
        <v>60</v>
      </c>
      <c r="CD80" s="132" t="s">
        <v>71</v>
      </c>
      <c r="CE80" s="132" t="s">
        <v>60</v>
      </c>
      <c r="CF80" s="132" t="s">
        <v>71</v>
      </c>
      <c r="CG80" s="132" t="s">
        <v>60</v>
      </c>
      <c r="CH80" s="132" t="s">
        <v>71</v>
      </c>
      <c r="CI80" s="132" t="s">
        <v>60</v>
      </c>
      <c r="CJ80" s="132" t="s">
        <v>71</v>
      </c>
      <c r="CK80" s="132" t="s">
        <v>60</v>
      </c>
      <c r="CL80" s="132" t="s">
        <v>71</v>
      </c>
      <c r="CM80" s="132" t="s">
        <v>60</v>
      </c>
      <c r="CN80" s="132" t="s">
        <v>71</v>
      </c>
      <c r="CO80" s="132" t="s">
        <v>60</v>
      </c>
      <c r="CP80" s="132" t="s">
        <v>71</v>
      </c>
      <c r="CQ80" s="132" t="s">
        <v>60</v>
      </c>
      <c r="CR80" s="132" t="s">
        <v>71</v>
      </c>
      <c r="CS80" s="132" t="s">
        <v>60</v>
      </c>
      <c r="CT80" s="132" t="s">
        <v>71</v>
      </c>
      <c r="CU80" s="132" t="s">
        <v>60</v>
      </c>
      <c r="CV80" s="132" t="s">
        <v>71</v>
      </c>
      <c r="CW80" s="132" t="s">
        <v>60</v>
      </c>
      <c r="CX80" s="132" t="s">
        <v>71</v>
      </c>
      <c r="CY80" s="132" t="s">
        <v>60</v>
      </c>
      <c r="CZ80" s="132" t="s">
        <v>71</v>
      </c>
      <c r="DA80" s="132" t="s">
        <v>60</v>
      </c>
      <c r="DB80" s="132" t="s">
        <v>71</v>
      </c>
      <c r="DC80" s="132" t="s">
        <v>60</v>
      </c>
      <c r="DD80" s="132" t="s">
        <v>71</v>
      </c>
      <c r="DE80" s="137" t="str">
        <f t="shared" si="39"/>
        <v>FETAL</v>
      </c>
      <c r="DF80" s="137">
        <f t="shared" si="37"/>
        <v>0</v>
      </c>
    </row>
    <row r="81" spans="1:110" x14ac:dyDescent="0.2">
      <c r="A81" s="160"/>
      <c r="B81" s="5">
        <f t="shared" si="16"/>
        <v>79</v>
      </c>
      <c r="C81" s="131" t="str">
        <f t="shared" si="35"/>
        <v>CNS115</v>
      </c>
      <c r="D81" s="135" t="s">
        <v>213</v>
      </c>
      <c r="E81" s="131" t="str">
        <f t="shared" si="36"/>
        <v>CNS115_CONTROL</v>
      </c>
      <c r="F81" s="131"/>
      <c r="G81" s="130">
        <f t="shared" si="40"/>
        <v>115</v>
      </c>
      <c r="H81" s="131"/>
      <c r="I81" s="131"/>
      <c r="J81" s="132" t="s">
        <v>24</v>
      </c>
      <c r="K81" s="132" t="s">
        <v>177</v>
      </c>
      <c r="L81" s="132" t="s">
        <v>301</v>
      </c>
      <c r="M81" s="131" t="s">
        <v>81</v>
      </c>
      <c r="N81" s="131" t="s">
        <v>81</v>
      </c>
      <c r="O81" s="131" t="s">
        <v>81</v>
      </c>
      <c r="P81" s="131" t="s">
        <v>311</v>
      </c>
      <c r="Q81" s="131" t="s">
        <v>81</v>
      </c>
      <c r="R81" s="131" t="s">
        <v>89</v>
      </c>
      <c r="S81" s="131" t="s">
        <v>297</v>
      </c>
      <c r="T81" s="131"/>
      <c r="U81" s="132" t="s">
        <v>81</v>
      </c>
      <c r="V81" s="132" t="s">
        <v>172</v>
      </c>
      <c r="W81" s="132"/>
      <c r="X81" s="132"/>
      <c r="Y81" s="133">
        <v>0</v>
      </c>
      <c r="Z81" s="133">
        <v>18</v>
      </c>
      <c r="AA81" s="132" t="s">
        <v>71</v>
      </c>
      <c r="AB81" s="132" t="s">
        <v>60</v>
      </c>
      <c r="AC81" s="132" t="s">
        <v>60</v>
      </c>
      <c r="AD81" s="132" t="s">
        <v>71</v>
      </c>
      <c r="AE81" s="132" t="s">
        <v>71</v>
      </c>
      <c r="AF81" s="134" t="s">
        <v>68</v>
      </c>
      <c r="AG81" s="132" t="s">
        <v>81</v>
      </c>
      <c r="AH81" s="132" t="s">
        <v>71</v>
      </c>
      <c r="AI81" s="132" t="s">
        <v>60</v>
      </c>
      <c r="AJ81" s="132" t="s">
        <v>71</v>
      </c>
      <c r="AK81" s="132" t="s">
        <v>60</v>
      </c>
      <c r="AL81" s="132" t="s">
        <v>60</v>
      </c>
      <c r="AM81" s="132" t="s">
        <v>60</v>
      </c>
      <c r="AN81" s="132" t="s">
        <v>60</v>
      </c>
      <c r="AO81" s="132" t="s">
        <v>71</v>
      </c>
      <c r="AP81" s="132" t="s">
        <v>71</v>
      </c>
      <c r="AQ81" s="132" t="s">
        <v>71</v>
      </c>
      <c r="AR81" s="132" t="s">
        <v>71</v>
      </c>
      <c r="AS81" s="132" t="s">
        <v>71</v>
      </c>
      <c r="AT81" s="132" t="s">
        <v>71</v>
      </c>
      <c r="AU81" s="132" t="s">
        <v>71</v>
      </c>
      <c r="AV81" s="132" t="s">
        <v>71</v>
      </c>
      <c r="AW81" s="132" t="s">
        <v>71</v>
      </c>
      <c r="AX81" s="132" t="s">
        <v>71</v>
      </c>
      <c r="AY81" s="132" t="s">
        <v>71</v>
      </c>
      <c r="AZ81" s="132" t="s">
        <v>71</v>
      </c>
      <c r="BA81" s="132" t="s">
        <v>71</v>
      </c>
      <c r="BB81" s="132" t="s">
        <v>71</v>
      </c>
      <c r="BC81" s="132" t="s">
        <v>71</v>
      </c>
      <c r="BD81" s="132" t="s">
        <v>71</v>
      </c>
      <c r="BE81" s="132" t="s">
        <v>71</v>
      </c>
      <c r="BF81" s="132" t="s">
        <v>71</v>
      </c>
      <c r="BG81" s="132" t="s">
        <v>71</v>
      </c>
      <c r="BH81" s="132" t="s">
        <v>71</v>
      </c>
      <c r="BI81" s="132" t="s">
        <v>71</v>
      </c>
      <c r="BJ81" s="132" t="s">
        <v>71</v>
      </c>
      <c r="BK81" s="132" t="s">
        <v>71</v>
      </c>
      <c r="BL81" s="132" t="s">
        <v>71</v>
      </c>
      <c r="BM81" s="132" t="s">
        <v>71</v>
      </c>
      <c r="BN81" s="132" t="s">
        <v>71</v>
      </c>
      <c r="BO81" s="132" t="s">
        <v>71</v>
      </c>
      <c r="BP81" s="132" t="s">
        <v>71</v>
      </c>
      <c r="BQ81" s="132" t="s">
        <v>71</v>
      </c>
      <c r="BR81" s="132" t="s">
        <v>71</v>
      </c>
      <c r="BS81" s="132" t="s">
        <v>71</v>
      </c>
      <c r="BT81" s="132" t="s">
        <v>71</v>
      </c>
      <c r="BU81" s="132" t="s">
        <v>60</v>
      </c>
      <c r="BV81" s="132" t="s">
        <v>71</v>
      </c>
      <c r="BW81" s="132" t="s">
        <v>60</v>
      </c>
      <c r="BX81" s="132" t="s">
        <v>71</v>
      </c>
      <c r="BY81" s="132" t="s">
        <v>60</v>
      </c>
      <c r="BZ81" s="132" t="s">
        <v>71</v>
      </c>
      <c r="CA81" s="132" t="s">
        <v>60</v>
      </c>
      <c r="CB81" s="132" t="s">
        <v>71</v>
      </c>
      <c r="CC81" s="132" t="s">
        <v>60</v>
      </c>
      <c r="CD81" s="132" t="s">
        <v>71</v>
      </c>
      <c r="CE81" s="132" t="s">
        <v>60</v>
      </c>
      <c r="CF81" s="132" t="s">
        <v>71</v>
      </c>
      <c r="CG81" s="132" t="s">
        <v>60</v>
      </c>
      <c r="CH81" s="132" t="s">
        <v>71</v>
      </c>
      <c r="CI81" s="132" t="s">
        <v>60</v>
      </c>
      <c r="CJ81" s="132" t="s">
        <v>71</v>
      </c>
      <c r="CK81" s="132" t="s">
        <v>60</v>
      </c>
      <c r="CL81" s="132" t="s">
        <v>71</v>
      </c>
      <c r="CM81" s="132" t="s">
        <v>60</v>
      </c>
      <c r="CN81" s="132" t="s">
        <v>71</v>
      </c>
      <c r="CO81" s="132" t="s">
        <v>60</v>
      </c>
      <c r="CP81" s="132" t="s">
        <v>71</v>
      </c>
      <c r="CQ81" s="132" t="s">
        <v>60</v>
      </c>
      <c r="CR81" s="132" t="s">
        <v>71</v>
      </c>
      <c r="CS81" s="132" t="s">
        <v>60</v>
      </c>
      <c r="CT81" s="132" t="s">
        <v>71</v>
      </c>
      <c r="CU81" s="132" t="s">
        <v>60</v>
      </c>
      <c r="CV81" s="132" t="s">
        <v>71</v>
      </c>
      <c r="CW81" s="132" t="s">
        <v>60</v>
      </c>
      <c r="CX81" s="132" t="s">
        <v>71</v>
      </c>
      <c r="CY81" s="132" t="s">
        <v>60</v>
      </c>
      <c r="CZ81" s="132" t="s">
        <v>71</v>
      </c>
      <c r="DA81" s="132" t="s">
        <v>60</v>
      </c>
      <c r="DB81" s="132" t="s">
        <v>71</v>
      </c>
      <c r="DC81" s="132" t="s">
        <v>60</v>
      </c>
      <c r="DD81" s="132" t="s">
        <v>71</v>
      </c>
      <c r="DE81" s="137" t="str">
        <f t="shared" si="39"/>
        <v>FETAL</v>
      </c>
      <c r="DF81" s="137">
        <f t="shared" si="37"/>
        <v>0</v>
      </c>
    </row>
    <row r="82" spans="1:110" x14ac:dyDescent="0.2">
      <c r="A82" s="160"/>
      <c r="B82" s="5">
        <f t="shared" si="16"/>
        <v>80</v>
      </c>
      <c r="C82" s="131" t="str">
        <f t="shared" si="35"/>
        <v>CNS116</v>
      </c>
      <c r="D82" s="135" t="s">
        <v>214</v>
      </c>
      <c r="E82" s="131" t="str">
        <f t="shared" si="36"/>
        <v>CNS116_CONTROL</v>
      </c>
      <c r="F82" s="131"/>
      <c r="G82" s="130">
        <f t="shared" si="40"/>
        <v>116</v>
      </c>
      <c r="H82" s="131"/>
      <c r="I82" s="131"/>
      <c r="J82" s="132" t="s">
        <v>24</v>
      </c>
      <c r="K82" s="132" t="s">
        <v>177</v>
      </c>
      <c r="L82" s="132" t="s">
        <v>301</v>
      </c>
      <c r="M82" s="131" t="s">
        <v>81</v>
      </c>
      <c r="N82" s="131" t="s">
        <v>81</v>
      </c>
      <c r="O82" s="131" t="s">
        <v>81</v>
      </c>
      <c r="P82" s="131" t="s">
        <v>311</v>
      </c>
      <c r="Q82" s="131" t="s">
        <v>81</v>
      </c>
      <c r="R82" s="131" t="s">
        <v>89</v>
      </c>
      <c r="S82" s="131" t="s">
        <v>297</v>
      </c>
      <c r="T82" s="131"/>
      <c r="U82" s="132" t="s">
        <v>81</v>
      </c>
      <c r="V82" s="132" t="s">
        <v>172</v>
      </c>
      <c r="W82" s="132"/>
      <c r="X82" s="132"/>
      <c r="Y82" s="133">
        <v>0</v>
      </c>
      <c r="Z82" s="133">
        <v>18</v>
      </c>
      <c r="AA82" s="132" t="s">
        <v>71</v>
      </c>
      <c r="AB82" s="132" t="s">
        <v>60</v>
      </c>
      <c r="AC82" s="132" t="s">
        <v>60</v>
      </c>
      <c r="AD82" s="132" t="s">
        <v>71</v>
      </c>
      <c r="AE82" s="132" t="s">
        <v>71</v>
      </c>
      <c r="AF82" s="134" t="s">
        <v>68</v>
      </c>
      <c r="AG82" s="132" t="s">
        <v>81</v>
      </c>
      <c r="AH82" s="132" t="s">
        <v>71</v>
      </c>
      <c r="AI82" s="132" t="s">
        <v>60</v>
      </c>
      <c r="AJ82" s="132" t="s">
        <v>71</v>
      </c>
      <c r="AK82" s="132" t="s">
        <v>60</v>
      </c>
      <c r="AL82" s="132" t="s">
        <v>60</v>
      </c>
      <c r="AM82" s="132" t="s">
        <v>60</v>
      </c>
      <c r="AN82" s="132" t="s">
        <v>60</v>
      </c>
      <c r="AO82" s="132" t="s">
        <v>71</v>
      </c>
      <c r="AP82" s="132" t="s">
        <v>71</v>
      </c>
      <c r="AQ82" s="132" t="s">
        <v>71</v>
      </c>
      <c r="AR82" s="132" t="s">
        <v>71</v>
      </c>
      <c r="AS82" s="132" t="s">
        <v>71</v>
      </c>
      <c r="AT82" s="132" t="s">
        <v>71</v>
      </c>
      <c r="AU82" s="132" t="s">
        <v>71</v>
      </c>
      <c r="AV82" s="132" t="s">
        <v>71</v>
      </c>
      <c r="AW82" s="132" t="s">
        <v>71</v>
      </c>
      <c r="AX82" s="132" t="s">
        <v>71</v>
      </c>
      <c r="AY82" s="132" t="s">
        <v>71</v>
      </c>
      <c r="AZ82" s="132" t="s">
        <v>71</v>
      </c>
      <c r="BA82" s="132" t="s">
        <v>71</v>
      </c>
      <c r="BB82" s="132" t="s">
        <v>71</v>
      </c>
      <c r="BC82" s="132" t="s">
        <v>71</v>
      </c>
      <c r="BD82" s="132" t="s">
        <v>71</v>
      </c>
      <c r="BE82" s="132" t="s">
        <v>71</v>
      </c>
      <c r="BF82" s="132" t="s">
        <v>71</v>
      </c>
      <c r="BG82" s="132" t="s">
        <v>71</v>
      </c>
      <c r="BH82" s="132" t="s">
        <v>71</v>
      </c>
      <c r="BI82" s="132" t="s">
        <v>71</v>
      </c>
      <c r="BJ82" s="132" t="s">
        <v>71</v>
      </c>
      <c r="BK82" s="132" t="s">
        <v>71</v>
      </c>
      <c r="BL82" s="132" t="s">
        <v>71</v>
      </c>
      <c r="BM82" s="132" t="s">
        <v>71</v>
      </c>
      <c r="BN82" s="132" t="s">
        <v>71</v>
      </c>
      <c r="BO82" s="132" t="s">
        <v>71</v>
      </c>
      <c r="BP82" s="132" t="s">
        <v>71</v>
      </c>
      <c r="BQ82" s="132" t="s">
        <v>71</v>
      </c>
      <c r="BR82" s="132" t="s">
        <v>71</v>
      </c>
      <c r="BS82" s="132" t="s">
        <v>71</v>
      </c>
      <c r="BT82" s="132" t="s">
        <v>71</v>
      </c>
      <c r="BU82" s="132" t="s">
        <v>60</v>
      </c>
      <c r="BV82" s="132" t="s">
        <v>71</v>
      </c>
      <c r="BW82" s="132" t="s">
        <v>60</v>
      </c>
      <c r="BX82" s="132" t="s">
        <v>71</v>
      </c>
      <c r="BY82" s="132" t="s">
        <v>60</v>
      </c>
      <c r="BZ82" s="132" t="s">
        <v>71</v>
      </c>
      <c r="CA82" s="132" t="s">
        <v>60</v>
      </c>
      <c r="CB82" s="132" t="s">
        <v>71</v>
      </c>
      <c r="CC82" s="132" t="s">
        <v>60</v>
      </c>
      <c r="CD82" s="132" t="s">
        <v>71</v>
      </c>
      <c r="CE82" s="132" t="s">
        <v>60</v>
      </c>
      <c r="CF82" s="132" t="s">
        <v>71</v>
      </c>
      <c r="CG82" s="132" t="s">
        <v>60</v>
      </c>
      <c r="CH82" s="132" t="s">
        <v>71</v>
      </c>
      <c r="CI82" s="132" t="s">
        <v>60</v>
      </c>
      <c r="CJ82" s="132" t="s">
        <v>71</v>
      </c>
      <c r="CK82" s="132" t="s">
        <v>60</v>
      </c>
      <c r="CL82" s="132" t="s">
        <v>71</v>
      </c>
      <c r="CM82" s="132" t="s">
        <v>60</v>
      </c>
      <c r="CN82" s="132" t="s">
        <v>71</v>
      </c>
      <c r="CO82" s="132" t="s">
        <v>60</v>
      </c>
      <c r="CP82" s="132" t="s">
        <v>71</v>
      </c>
      <c r="CQ82" s="132" t="s">
        <v>60</v>
      </c>
      <c r="CR82" s="132" t="s">
        <v>71</v>
      </c>
      <c r="CS82" s="132" t="s">
        <v>60</v>
      </c>
      <c r="CT82" s="132" t="s">
        <v>71</v>
      </c>
      <c r="CU82" s="132" t="s">
        <v>60</v>
      </c>
      <c r="CV82" s="132" t="s">
        <v>71</v>
      </c>
      <c r="CW82" s="132" t="s">
        <v>60</v>
      </c>
      <c r="CX82" s="132" t="s">
        <v>71</v>
      </c>
      <c r="CY82" s="132" t="s">
        <v>60</v>
      </c>
      <c r="CZ82" s="132" t="s">
        <v>71</v>
      </c>
      <c r="DA82" s="132" t="s">
        <v>60</v>
      </c>
      <c r="DB82" s="132" t="s">
        <v>71</v>
      </c>
      <c r="DC82" s="132" t="s">
        <v>60</v>
      </c>
      <c r="DD82" s="132" t="s">
        <v>71</v>
      </c>
      <c r="DE82" s="137" t="str">
        <f t="shared" si="39"/>
        <v>FETAL</v>
      </c>
      <c r="DF82" s="137">
        <f t="shared" si="37"/>
        <v>0</v>
      </c>
    </row>
    <row r="83" spans="1:110" x14ac:dyDescent="0.2">
      <c r="A83" s="160"/>
      <c r="B83" s="5">
        <f t="shared" si="16"/>
        <v>81</v>
      </c>
      <c r="C83" s="131" t="str">
        <f t="shared" si="35"/>
        <v>CNS117</v>
      </c>
      <c r="D83" s="135" t="s">
        <v>215</v>
      </c>
      <c r="E83" s="131" t="str">
        <f t="shared" si="36"/>
        <v>CNS117_CONTROL</v>
      </c>
      <c r="F83" s="131"/>
      <c r="G83" s="130">
        <f t="shared" si="40"/>
        <v>117</v>
      </c>
      <c r="H83" s="131"/>
      <c r="I83" s="131"/>
      <c r="J83" s="132" t="s">
        <v>25</v>
      </c>
      <c r="K83" s="132" t="s">
        <v>177</v>
      </c>
      <c r="L83" s="132" t="s">
        <v>301</v>
      </c>
      <c r="M83" s="131" t="s">
        <v>81</v>
      </c>
      <c r="N83" s="131" t="s">
        <v>81</v>
      </c>
      <c r="O83" s="131" t="s">
        <v>81</v>
      </c>
      <c r="P83" s="131" t="s">
        <v>311</v>
      </c>
      <c r="Q83" s="131" t="s">
        <v>81</v>
      </c>
      <c r="R83" s="131" t="s">
        <v>89</v>
      </c>
      <c r="S83" s="131" t="s">
        <v>297</v>
      </c>
      <c r="T83" s="131"/>
      <c r="U83" s="132" t="s">
        <v>81</v>
      </c>
      <c r="V83" s="132" t="s">
        <v>172</v>
      </c>
      <c r="W83" s="132"/>
      <c r="X83" s="132"/>
      <c r="Y83" s="133">
        <v>0</v>
      </c>
      <c r="Z83" s="133">
        <v>18</v>
      </c>
      <c r="AA83" s="132" t="s">
        <v>71</v>
      </c>
      <c r="AB83" s="132" t="s">
        <v>60</v>
      </c>
      <c r="AC83" s="132" t="s">
        <v>60</v>
      </c>
      <c r="AD83" s="132" t="s">
        <v>71</v>
      </c>
      <c r="AE83" s="132" t="s">
        <v>71</v>
      </c>
      <c r="AF83" s="134" t="s">
        <v>68</v>
      </c>
      <c r="AG83" s="132" t="s">
        <v>81</v>
      </c>
      <c r="AH83" s="132" t="s">
        <v>71</v>
      </c>
      <c r="AI83" s="132" t="s">
        <v>60</v>
      </c>
      <c r="AJ83" s="132" t="s">
        <v>71</v>
      </c>
      <c r="AK83" s="132" t="s">
        <v>60</v>
      </c>
      <c r="AL83" s="132" t="s">
        <v>60</v>
      </c>
      <c r="AM83" s="132" t="s">
        <v>60</v>
      </c>
      <c r="AN83" s="132" t="s">
        <v>60</v>
      </c>
      <c r="AO83" s="132" t="s">
        <v>71</v>
      </c>
      <c r="AP83" s="132" t="s">
        <v>71</v>
      </c>
      <c r="AQ83" s="132" t="s">
        <v>71</v>
      </c>
      <c r="AR83" s="132" t="s">
        <v>71</v>
      </c>
      <c r="AS83" s="132" t="s">
        <v>71</v>
      </c>
      <c r="AT83" s="132" t="s">
        <v>71</v>
      </c>
      <c r="AU83" s="132" t="s">
        <v>71</v>
      </c>
      <c r="AV83" s="132" t="s">
        <v>71</v>
      </c>
      <c r="AW83" s="132" t="s">
        <v>71</v>
      </c>
      <c r="AX83" s="132" t="s">
        <v>71</v>
      </c>
      <c r="AY83" s="132" t="s">
        <v>71</v>
      </c>
      <c r="AZ83" s="132" t="s">
        <v>71</v>
      </c>
      <c r="BA83" s="132" t="s">
        <v>71</v>
      </c>
      <c r="BB83" s="132" t="s">
        <v>71</v>
      </c>
      <c r="BC83" s="132" t="s">
        <v>71</v>
      </c>
      <c r="BD83" s="132" t="s">
        <v>71</v>
      </c>
      <c r="BE83" s="132" t="s">
        <v>71</v>
      </c>
      <c r="BF83" s="132" t="s">
        <v>71</v>
      </c>
      <c r="BG83" s="132" t="s">
        <v>71</v>
      </c>
      <c r="BH83" s="132" t="s">
        <v>71</v>
      </c>
      <c r="BI83" s="132" t="s">
        <v>71</v>
      </c>
      <c r="BJ83" s="132" t="s">
        <v>71</v>
      </c>
      <c r="BK83" s="132" t="s">
        <v>71</v>
      </c>
      <c r="BL83" s="132" t="s">
        <v>71</v>
      </c>
      <c r="BM83" s="132" t="s">
        <v>71</v>
      </c>
      <c r="BN83" s="132" t="s">
        <v>71</v>
      </c>
      <c r="BO83" s="132" t="s">
        <v>71</v>
      </c>
      <c r="BP83" s="132" t="s">
        <v>71</v>
      </c>
      <c r="BQ83" s="132" t="s">
        <v>71</v>
      </c>
      <c r="BR83" s="132" t="s">
        <v>71</v>
      </c>
      <c r="BS83" s="132" t="s">
        <v>71</v>
      </c>
      <c r="BT83" s="132" t="s">
        <v>71</v>
      </c>
      <c r="BU83" s="132" t="s">
        <v>60</v>
      </c>
      <c r="BV83" s="132" t="s">
        <v>71</v>
      </c>
      <c r="BW83" s="132" t="s">
        <v>60</v>
      </c>
      <c r="BX83" s="132" t="s">
        <v>71</v>
      </c>
      <c r="BY83" s="132" t="s">
        <v>60</v>
      </c>
      <c r="BZ83" s="132" t="s">
        <v>71</v>
      </c>
      <c r="CA83" s="132" t="s">
        <v>60</v>
      </c>
      <c r="CB83" s="132" t="s">
        <v>71</v>
      </c>
      <c r="CC83" s="132" t="s">
        <v>60</v>
      </c>
      <c r="CD83" s="132" t="s">
        <v>71</v>
      </c>
      <c r="CE83" s="132" t="s">
        <v>60</v>
      </c>
      <c r="CF83" s="132" t="s">
        <v>71</v>
      </c>
      <c r="CG83" s="132" t="s">
        <v>60</v>
      </c>
      <c r="CH83" s="132" t="s">
        <v>71</v>
      </c>
      <c r="CI83" s="132" t="s">
        <v>60</v>
      </c>
      <c r="CJ83" s="132" t="s">
        <v>71</v>
      </c>
      <c r="CK83" s="132" t="s">
        <v>60</v>
      </c>
      <c r="CL83" s="132" t="s">
        <v>71</v>
      </c>
      <c r="CM83" s="132" t="s">
        <v>60</v>
      </c>
      <c r="CN83" s="132" t="s">
        <v>71</v>
      </c>
      <c r="CO83" s="132" t="s">
        <v>60</v>
      </c>
      <c r="CP83" s="132" t="s">
        <v>71</v>
      </c>
      <c r="CQ83" s="132" t="s">
        <v>60</v>
      </c>
      <c r="CR83" s="132" t="s">
        <v>71</v>
      </c>
      <c r="CS83" s="132" t="s">
        <v>60</v>
      </c>
      <c r="CT83" s="132" t="s">
        <v>71</v>
      </c>
      <c r="CU83" s="132" t="s">
        <v>60</v>
      </c>
      <c r="CV83" s="132" t="s">
        <v>71</v>
      </c>
      <c r="CW83" s="132" t="s">
        <v>60</v>
      </c>
      <c r="CX83" s="132" t="s">
        <v>71</v>
      </c>
      <c r="CY83" s="132" t="s">
        <v>60</v>
      </c>
      <c r="CZ83" s="132" t="s">
        <v>71</v>
      </c>
      <c r="DA83" s="132" t="s">
        <v>60</v>
      </c>
      <c r="DB83" s="132" t="s">
        <v>71</v>
      </c>
      <c r="DC83" s="132" t="s">
        <v>60</v>
      </c>
      <c r="DD83" s="132" t="s">
        <v>71</v>
      </c>
      <c r="DE83" s="137" t="str">
        <f t="shared" si="39"/>
        <v>FETAL</v>
      </c>
      <c r="DF83" s="137">
        <f t="shared" si="37"/>
        <v>0</v>
      </c>
    </row>
    <row r="84" spans="1:110" x14ac:dyDescent="0.2">
      <c r="A84" s="160"/>
      <c r="B84" s="5">
        <f t="shared" si="16"/>
        <v>82</v>
      </c>
      <c r="C84" s="131" t="str">
        <f t="shared" si="35"/>
        <v>CNS118</v>
      </c>
      <c r="D84" s="135" t="s">
        <v>216</v>
      </c>
      <c r="E84" s="131" t="str">
        <f t="shared" si="36"/>
        <v>CNS118_CONTROL</v>
      </c>
      <c r="F84" s="131"/>
      <c r="G84" s="130">
        <f t="shared" si="40"/>
        <v>118</v>
      </c>
      <c r="H84" s="131"/>
      <c r="I84" s="131"/>
      <c r="J84" s="132" t="s">
        <v>25</v>
      </c>
      <c r="K84" s="132" t="s">
        <v>177</v>
      </c>
      <c r="L84" s="132" t="s">
        <v>301</v>
      </c>
      <c r="M84" s="131" t="s">
        <v>81</v>
      </c>
      <c r="N84" s="131" t="s">
        <v>81</v>
      </c>
      <c r="O84" s="131" t="s">
        <v>81</v>
      </c>
      <c r="P84" s="131" t="s">
        <v>311</v>
      </c>
      <c r="Q84" s="131" t="s">
        <v>81</v>
      </c>
      <c r="R84" s="131" t="s">
        <v>89</v>
      </c>
      <c r="S84" s="131" t="s">
        <v>297</v>
      </c>
      <c r="T84" s="131"/>
      <c r="U84" s="132" t="s">
        <v>81</v>
      </c>
      <c r="V84" s="132" t="s">
        <v>172</v>
      </c>
      <c r="W84" s="132"/>
      <c r="X84" s="132"/>
      <c r="Y84" s="133">
        <v>0</v>
      </c>
      <c r="Z84" s="133">
        <v>18</v>
      </c>
      <c r="AA84" s="132" t="s">
        <v>71</v>
      </c>
      <c r="AB84" s="132" t="s">
        <v>60</v>
      </c>
      <c r="AC84" s="132" t="s">
        <v>60</v>
      </c>
      <c r="AD84" s="132" t="s">
        <v>71</v>
      </c>
      <c r="AE84" s="132" t="s">
        <v>71</v>
      </c>
      <c r="AF84" s="134" t="s">
        <v>68</v>
      </c>
      <c r="AG84" s="132" t="s">
        <v>81</v>
      </c>
      <c r="AH84" s="132" t="s">
        <v>71</v>
      </c>
      <c r="AI84" s="132" t="s">
        <v>60</v>
      </c>
      <c r="AJ84" s="132" t="s">
        <v>71</v>
      </c>
      <c r="AK84" s="132" t="s">
        <v>60</v>
      </c>
      <c r="AL84" s="132" t="s">
        <v>60</v>
      </c>
      <c r="AM84" s="132" t="s">
        <v>60</v>
      </c>
      <c r="AN84" s="132" t="s">
        <v>60</v>
      </c>
      <c r="AO84" s="132" t="s">
        <v>71</v>
      </c>
      <c r="AP84" s="132" t="s">
        <v>71</v>
      </c>
      <c r="AQ84" s="132" t="s">
        <v>71</v>
      </c>
      <c r="AR84" s="132" t="s">
        <v>71</v>
      </c>
      <c r="AS84" s="132" t="s">
        <v>71</v>
      </c>
      <c r="AT84" s="132" t="s">
        <v>71</v>
      </c>
      <c r="AU84" s="132" t="s">
        <v>71</v>
      </c>
      <c r="AV84" s="132" t="s">
        <v>71</v>
      </c>
      <c r="AW84" s="132" t="s">
        <v>71</v>
      </c>
      <c r="AX84" s="132" t="s">
        <v>71</v>
      </c>
      <c r="AY84" s="132" t="s">
        <v>71</v>
      </c>
      <c r="AZ84" s="132" t="s">
        <v>71</v>
      </c>
      <c r="BA84" s="132" t="s">
        <v>71</v>
      </c>
      <c r="BB84" s="132" t="s">
        <v>71</v>
      </c>
      <c r="BC84" s="132" t="s">
        <v>71</v>
      </c>
      <c r="BD84" s="132" t="s">
        <v>71</v>
      </c>
      <c r="BE84" s="132" t="s">
        <v>71</v>
      </c>
      <c r="BF84" s="132" t="s">
        <v>71</v>
      </c>
      <c r="BG84" s="132" t="s">
        <v>71</v>
      </c>
      <c r="BH84" s="132" t="s">
        <v>71</v>
      </c>
      <c r="BI84" s="132" t="s">
        <v>71</v>
      </c>
      <c r="BJ84" s="132" t="s">
        <v>71</v>
      </c>
      <c r="BK84" s="132" t="s">
        <v>71</v>
      </c>
      <c r="BL84" s="132" t="s">
        <v>71</v>
      </c>
      <c r="BM84" s="132" t="s">
        <v>71</v>
      </c>
      <c r="BN84" s="132" t="s">
        <v>71</v>
      </c>
      <c r="BO84" s="132" t="s">
        <v>71</v>
      </c>
      <c r="BP84" s="132" t="s">
        <v>71</v>
      </c>
      <c r="BQ84" s="132" t="s">
        <v>71</v>
      </c>
      <c r="BR84" s="132" t="s">
        <v>71</v>
      </c>
      <c r="BS84" s="132" t="s">
        <v>71</v>
      </c>
      <c r="BT84" s="132" t="s">
        <v>71</v>
      </c>
      <c r="BU84" s="132" t="s">
        <v>60</v>
      </c>
      <c r="BV84" s="132" t="s">
        <v>71</v>
      </c>
      <c r="BW84" s="132" t="s">
        <v>60</v>
      </c>
      <c r="BX84" s="132" t="s">
        <v>71</v>
      </c>
      <c r="BY84" s="132" t="s">
        <v>60</v>
      </c>
      <c r="BZ84" s="132" t="s">
        <v>71</v>
      </c>
      <c r="CA84" s="132" t="s">
        <v>60</v>
      </c>
      <c r="CB84" s="132" t="s">
        <v>71</v>
      </c>
      <c r="CC84" s="132" t="s">
        <v>60</v>
      </c>
      <c r="CD84" s="132" t="s">
        <v>71</v>
      </c>
      <c r="CE84" s="132" t="s">
        <v>60</v>
      </c>
      <c r="CF84" s="132" t="s">
        <v>71</v>
      </c>
      <c r="CG84" s="132" t="s">
        <v>60</v>
      </c>
      <c r="CH84" s="132" t="s">
        <v>71</v>
      </c>
      <c r="CI84" s="132" t="s">
        <v>60</v>
      </c>
      <c r="CJ84" s="132" t="s">
        <v>71</v>
      </c>
      <c r="CK84" s="132" t="s">
        <v>60</v>
      </c>
      <c r="CL84" s="132" t="s">
        <v>71</v>
      </c>
      <c r="CM84" s="132" t="s">
        <v>60</v>
      </c>
      <c r="CN84" s="132" t="s">
        <v>71</v>
      </c>
      <c r="CO84" s="132" t="s">
        <v>60</v>
      </c>
      <c r="CP84" s="132" t="s">
        <v>71</v>
      </c>
      <c r="CQ84" s="132" t="s">
        <v>60</v>
      </c>
      <c r="CR84" s="132" t="s">
        <v>71</v>
      </c>
      <c r="CS84" s="132" t="s">
        <v>60</v>
      </c>
      <c r="CT84" s="132" t="s">
        <v>71</v>
      </c>
      <c r="CU84" s="132" t="s">
        <v>60</v>
      </c>
      <c r="CV84" s="132" t="s">
        <v>71</v>
      </c>
      <c r="CW84" s="132" t="s">
        <v>60</v>
      </c>
      <c r="CX84" s="132" t="s">
        <v>71</v>
      </c>
      <c r="CY84" s="132" t="s">
        <v>60</v>
      </c>
      <c r="CZ84" s="132" t="s">
        <v>71</v>
      </c>
      <c r="DA84" s="132" t="s">
        <v>60</v>
      </c>
      <c r="DB84" s="132" t="s">
        <v>71</v>
      </c>
      <c r="DC84" s="132" t="s">
        <v>60</v>
      </c>
      <c r="DD84" s="132" t="s">
        <v>71</v>
      </c>
      <c r="DE84" s="137" t="str">
        <f t="shared" si="39"/>
        <v>FETAL</v>
      </c>
      <c r="DF84" s="137">
        <f t="shared" si="37"/>
        <v>0</v>
      </c>
    </row>
    <row r="85" spans="1:110" x14ac:dyDescent="0.2">
      <c r="A85" s="160"/>
      <c r="B85" s="5">
        <f t="shared" si="16"/>
        <v>83</v>
      </c>
      <c r="C85" s="131" t="str">
        <f t="shared" si="35"/>
        <v>CNS119</v>
      </c>
      <c r="D85" s="135" t="s">
        <v>217</v>
      </c>
      <c r="E85" s="131" t="str">
        <f t="shared" si="36"/>
        <v>CNS119_CONTROL</v>
      </c>
      <c r="F85" s="131"/>
      <c r="G85" s="130">
        <f t="shared" si="40"/>
        <v>119</v>
      </c>
      <c r="H85" s="131"/>
      <c r="I85" s="131"/>
      <c r="J85" s="132" t="s">
        <v>24</v>
      </c>
      <c r="K85" s="132" t="s">
        <v>177</v>
      </c>
      <c r="L85" s="132" t="s">
        <v>301</v>
      </c>
      <c r="M85" s="131" t="s">
        <v>81</v>
      </c>
      <c r="N85" s="131" t="s">
        <v>81</v>
      </c>
      <c r="O85" s="131" t="s">
        <v>81</v>
      </c>
      <c r="P85" s="131" t="s">
        <v>311</v>
      </c>
      <c r="Q85" s="131" t="s">
        <v>81</v>
      </c>
      <c r="R85" s="131" t="s">
        <v>89</v>
      </c>
      <c r="S85" s="131" t="s">
        <v>297</v>
      </c>
      <c r="T85" s="131"/>
      <c r="U85" s="132" t="s">
        <v>81</v>
      </c>
      <c r="V85" s="132" t="s">
        <v>172</v>
      </c>
      <c r="W85" s="132"/>
      <c r="X85" s="132"/>
      <c r="Y85" s="133">
        <v>0</v>
      </c>
      <c r="Z85" s="133">
        <v>24</v>
      </c>
      <c r="AA85" s="132" t="s">
        <v>71</v>
      </c>
      <c r="AB85" s="132" t="s">
        <v>60</v>
      </c>
      <c r="AC85" s="132" t="s">
        <v>60</v>
      </c>
      <c r="AD85" s="132" t="s">
        <v>71</v>
      </c>
      <c r="AE85" s="132" t="s">
        <v>71</v>
      </c>
      <c r="AF85" s="134" t="s">
        <v>68</v>
      </c>
      <c r="AG85" s="132" t="s">
        <v>81</v>
      </c>
      <c r="AH85" s="132" t="s">
        <v>71</v>
      </c>
      <c r="AI85" s="132" t="s">
        <v>60</v>
      </c>
      <c r="AJ85" s="132" t="s">
        <v>71</v>
      </c>
      <c r="AK85" s="132" t="s">
        <v>60</v>
      </c>
      <c r="AL85" s="132" t="s">
        <v>60</v>
      </c>
      <c r="AM85" s="132" t="s">
        <v>60</v>
      </c>
      <c r="AN85" s="132" t="s">
        <v>60</v>
      </c>
      <c r="AO85" s="132" t="s">
        <v>71</v>
      </c>
      <c r="AP85" s="132" t="s">
        <v>71</v>
      </c>
      <c r="AQ85" s="132" t="s">
        <v>71</v>
      </c>
      <c r="AR85" s="132" t="s">
        <v>71</v>
      </c>
      <c r="AS85" s="132" t="s">
        <v>71</v>
      </c>
      <c r="AT85" s="132" t="s">
        <v>71</v>
      </c>
      <c r="AU85" s="132" t="s">
        <v>71</v>
      </c>
      <c r="AV85" s="132" t="s">
        <v>71</v>
      </c>
      <c r="AW85" s="132" t="s">
        <v>71</v>
      </c>
      <c r="AX85" s="132" t="s">
        <v>71</v>
      </c>
      <c r="AY85" s="132" t="s">
        <v>71</v>
      </c>
      <c r="AZ85" s="132" t="s">
        <v>71</v>
      </c>
      <c r="BA85" s="132" t="s">
        <v>71</v>
      </c>
      <c r="BB85" s="132" t="s">
        <v>71</v>
      </c>
      <c r="BC85" s="132" t="s">
        <v>71</v>
      </c>
      <c r="BD85" s="132" t="s">
        <v>71</v>
      </c>
      <c r="BE85" s="132" t="s">
        <v>71</v>
      </c>
      <c r="BF85" s="132" t="s">
        <v>71</v>
      </c>
      <c r="BG85" s="132" t="s">
        <v>71</v>
      </c>
      <c r="BH85" s="132" t="s">
        <v>71</v>
      </c>
      <c r="BI85" s="132" t="s">
        <v>71</v>
      </c>
      <c r="BJ85" s="132" t="s">
        <v>71</v>
      </c>
      <c r="BK85" s="132" t="s">
        <v>71</v>
      </c>
      <c r="BL85" s="132" t="s">
        <v>71</v>
      </c>
      <c r="BM85" s="132" t="s">
        <v>71</v>
      </c>
      <c r="BN85" s="132" t="s">
        <v>71</v>
      </c>
      <c r="BO85" s="132" t="s">
        <v>71</v>
      </c>
      <c r="BP85" s="132" t="s">
        <v>71</v>
      </c>
      <c r="BQ85" s="132" t="s">
        <v>71</v>
      </c>
      <c r="BR85" s="132" t="s">
        <v>71</v>
      </c>
      <c r="BS85" s="132" t="s">
        <v>71</v>
      </c>
      <c r="BT85" s="132" t="s">
        <v>71</v>
      </c>
      <c r="BU85" s="132" t="s">
        <v>60</v>
      </c>
      <c r="BV85" s="132" t="s">
        <v>71</v>
      </c>
      <c r="BW85" s="132" t="s">
        <v>60</v>
      </c>
      <c r="BX85" s="132" t="s">
        <v>71</v>
      </c>
      <c r="BY85" s="132" t="s">
        <v>60</v>
      </c>
      <c r="BZ85" s="132" t="s">
        <v>71</v>
      </c>
      <c r="CA85" s="132" t="s">
        <v>60</v>
      </c>
      <c r="CB85" s="132" t="s">
        <v>71</v>
      </c>
      <c r="CC85" s="132" t="s">
        <v>60</v>
      </c>
      <c r="CD85" s="132" t="s">
        <v>71</v>
      </c>
      <c r="CE85" s="132" t="s">
        <v>60</v>
      </c>
      <c r="CF85" s="132" t="s">
        <v>71</v>
      </c>
      <c r="CG85" s="132" t="s">
        <v>60</v>
      </c>
      <c r="CH85" s="132" t="s">
        <v>71</v>
      </c>
      <c r="CI85" s="132" t="s">
        <v>60</v>
      </c>
      <c r="CJ85" s="132" t="s">
        <v>71</v>
      </c>
      <c r="CK85" s="132" t="s">
        <v>60</v>
      </c>
      <c r="CL85" s="132" t="s">
        <v>71</v>
      </c>
      <c r="CM85" s="132" t="s">
        <v>60</v>
      </c>
      <c r="CN85" s="132" t="s">
        <v>71</v>
      </c>
      <c r="CO85" s="132" t="s">
        <v>60</v>
      </c>
      <c r="CP85" s="132" t="s">
        <v>71</v>
      </c>
      <c r="CQ85" s="132" t="s">
        <v>60</v>
      </c>
      <c r="CR85" s="132" t="s">
        <v>71</v>
      </c>
      <c r="CS85" s="132" t="s">
        <v>60</v>
      </c>
      <c r="CT85" s="132" t="s">
        <v>71</v>
      </c>
      <c r="CU85" s="132" t="s">
        <v>60</v>
      </c>
      <c r="CV85" s="132" t="s">
        <v>71</v>
      </c>
      <c r="CW85" s="132" t="s">
        <v>60</v>
      </c>
      <c r="CX85" s="132" t="s">
        <v>71</v>
      </c>
      <c r="CY85" s="132" t="s">
        <v>60</v>
      </c>
      <c r="CZ85" s="132" t="s">
        <v>71</v>
      </c>
      <c r="DA85" s="132" t="s">
        <v>60</v>
      </c>
      <c r="DB85" s="132" t="s">
        <v>71</v>
      </c>
      <c r="DC85" s="132" t="s">
        <v>60</v>
      </c>
      <c r="DD85" s="132" t="s">
        <v>71</v>
      </c>
      <c r="DE85" s="137" t="str">
        <f t="shared" si="39"/>
        <v>FETAL</v>
      </c>
      <c r="DF85" s="137">
        <f t="shared" ref="DF85:DF116" si="41">IF(M85="CONTROL",0,1)</f>
        <v>0</v>
      </c>
    </row>
    <row r="86" spans="1:110" x14ac:dyDescent="0.2">
      <c r="A86" s="160"/>
      <c r="B86" s="5">
        <f t="shared" si="16"/>
        <v>84</v>
      </c>
      <c r="C86" s="131" t="str">
        <f t="shared" si="35"/>
        <v>CNS120</v>
      </c>
      <c r="D86" s="135" t="s">
        <v>218</v>
      </c>
      <c r="E86" s="131" t="str">
        <f t="shared" si="36"/>
        <v>CNS120_CONTROL</v>
      </c>
      <c r="F86" s="131"/>
      <c r="G86" s="130">
        <f t="shared" si="40"/>
        <v>120</v>
      </c>
      <c r="H86" s="131"/>
      <c r="I86" s="131"/>
      <c r="J86" s="132" t="s">
        <v>24</v>
      </c>
      <c r="K86" s="132" t="s">
        <v>177</v>
      </c>
      <c r="L86" s="132" t="s">
        <v>301</v>
      </c>
      <c r="M86" s="131" t="s">
        <v>81</v>
      </c>
      <c r="N86" s="131" t="s">
        <v>81</v>
      </c>
      <c r="O86" s="131" t="s">
        <v>81</v>
      </c>
      <c r="P86" s="131" t="s">
        <v>311</v>
      </c>
      <c r="Q86" s="131" t="s">
        <v>81</v>
      </c>
      <c r="R86" s="131" t="s">
        <v>89</v>
      </c>
      <c r="S86" s="131" t="s">
        <v>297</v>
      </c>
      <c r="T86" s="131"/>
      <c r="U86" s="132" t="s">
        <v>81</v>
      </c>
      <c r="V86" s="132" t="s">
        <v>172</v>
      </c>
      <c r="W86" s="132"/>
      <c r="X86" s="132"/>
      <c r="Y86" s="133">
        <v>0</v>
      </c>
      <c r="Z86" s="133">
        <v>18</v>
      </c>
      <c r="AA86" s="132" t="s">
        <v>71</v>
      </c>
      <c r="AB86" s="132" t="s">
        <v>60</v>
      </c>
      <c r="AC86" s="132" t="s">
        <v>60</v>
      </c>
      <c r="AD86" s="132" t="s">
        <v>71</v>
      </c>
      <c r="AE86" s="132" t="s">
        <v>71</v>
      </c>
      <c r="AF86" s="134" t="s">
        <v>68</v>
      </c>
      <c r="AG86" s="132" t="s">
        <v>81</v>
      </c>
      <c r="AH86" s="132" t="s">
        <v>71</v>
      </c>
      <c r="AI86" s="132" t="s">
        <v>60</v>
      </c>
      <c r="AJ86" s="132" t="s">
        <v>71</v>
      </c>
      <c r="AK86" s="132" t="s">
        <v>60</v>
      </c>
      <c r="AL86" s="132" t="s">
        <v>60</v>
      </c>
      <c r="AM86" s="132" t="s">
        <v>60</v>
      </c>
      <c r="AN86" s="132" t="s">
        <v>60</v>
      </c>
      <c r="AO86" s="132" t="s">
        <v>71</v>
      </c>
      <c r="AP86" s="132" t="s">
        <v>71</v>
      </c>
      <c r="AQ86" s="132" t="s">
        <v>71</v>
      </c>
      <c r="AR86" s="132" t="s">
        <v>71</v>
      </c>
      <c r="AS86" s="132" t="s">
        <v>71</v>
      </c>
      <c r="AT86" s="132" t="s">
        <v>71</v>
      </c>
      <c r="AU86" s="132" t="s">
        <v>71</v>
      </c>
      <c r="AV86" s="132" t="s">
        <v>71</v>
      </c>
      <c r="AW86" s="132" t="s">
        <v>71</v>
      </c>
      <c r="AX86" s="132" t="s">
        <v>71</v>
      </c>
      <c r="AY86" s="132" t="s">
        <v>71</v>
      </c>
      <c r="AZ86" s="132" t="s">
        <v>71</v>
      </c>
      <c r="BA86" s="132" t="s">
        <v>71</v>
      </c>
      <c r="BB86" s="132" t="s">
        <v>71</v>
      </c>
      <c r="BC86" s="132" t="s">
        <v>71</v>
      </c>
      <c r="BD86" s="132" t="s">
        <v>71</v>
      </c>
      <c r="BE86" s="132" t="s">
        <v>71</v>
      </c>
      <c r="BF86" s="132" t="s">
        <v>71</v>
      </c>
      <c r="BG86" s="132" t="s">
        <v>71</v>
      </c>
      <c r="BH86" s="132" t="s">
        <v>71</v>
      </c>
      <c r="BI86" s="132" t="s">
        <v>71</v>
      </c>
      <c r="BJ86" s="132" t="s">
        <v>71</v>
      </c>
      <c r="BK86" s="132" t="s">
        <v>71</v>
      </c>
      <c r="BL86" s="132" t="s">
        <v>71</v>
      </c>
      <c r="BM86" s="132" t="s">
        <v>71</v>
      </c>
      <c r="BN86" s="132" t="s">
        <v>71</v>
      </c>
      <c r="BO86" s="132" t="s">
        <v>71</v>
      </c>
      <c r="BP86" s="132" t="s">
        <v>71</v>
      </c>
      <c r="BQ86" s="132" t="s">
        <v>71</v>
      </c>
      <c r="BR86" s="132" t="s">
        <v>71</v>
      </c>
      <c r="BS86" s="132" t="s">
        <v>71</v>
      </c>
      <c r="BT86" s="132" t="s">
        <v>71</v>
      </c>
      <c r="BU86" s="132" t="s">
        <v>60</v>
      </c>
      <c r="BV86" s="132" t="s">
        <v>71</v>
      </c>
      <c r="BW86" s="132" t="s">
        <v>60</v>
      </c>
      <c r="BX86" s="132" t="s">
        <v>71</v>
      </c>
      <c r="BY86" s="132" t="s">
        <v>60</v>
      </c>
      <c r="BZ86" s="132" t="s">
        <v>71</v>
      </c>
      <c r="CA86" s="132" t="s">
        <v>60</v>
      </c>
      <c r="CB86" s="132" t="s">
        <v>71</v>
      </c>
      <c r="CC86" s="132" t="s">
        <v>60</v>
      </c>
      <c r="CD86" s="132" t="s">
        <v>71</v>
      </c>
      <c r="CE86" s="132" t="s">
        <v>60</v>
      </c>
      <c r="CF86" s="132" t="s">
        <v>71</v>
      </c>
      <c r="CG86" s="132" t="s">
        <v>60</v>
      </c>
      <c r="CH86" s="132" t="s">
        <v>71</v>
      </c>
      <c r="CI86" s="132" t="s">
        <v>60</v>
      </c>
      <c r="CJ86" s="132" t="s">
        <v>71</v>
      </c>
      <c r="CK86" s="132" t="s">
        <v>60</v>
      </c>
      <c r="CL86" s="132" t="s">
        <v>71</v>
      </c>
      <c r="CM86" s="132" t="s">
        <v>60</v>
      </c>
      <c r="CN86" s="132" t="s">
        <v>71</v>
      </c>
      <c r="CO86" s="132" t="s">
        <v>60</v>
      </c>
      <c r="CP86" s="132" t="s">
        <v>71</v>
      </c>
      <c r="CQ86" s="132" t="s">
        <v>60</v>
      </c>
      <c r="CR86" s="132" t="s">
        <v>71</v>
      </c>
      <c r="CS86" s="132" t="s">
        <v>60</v>
      </c>
      <c r="CT86" s="132" t="s">
        <v>71</v>
      </c>
      <c r="CU86" s="132" t="s">
        <v>60</v>
      </c>
      <c r="CV86" s="132" t="s">
        <v>71</v>
      </c>
      <c r="CW86" s="132" t="s">
        <v>60</v>
      </c>
      <c r="CX86" s="132" t="s">
        <v>71</v>
      </c>
      <c r="CY86" s="132" t="s">
        <v>60</v>
      </c>
      <c r="CZ86" s="132" t="s">
        <v>71</v>
      </c>
      <c r="DA86" s="132" t="s">
        <v>60</v>
      </c>
      <c r="DB86" s="132" t="s">
        <v>71</v>
      </c>
      <c r="DC86" s="132" t="s">
        <v>60</v>
      </c>
      <c r="DD86" s="132" t="s">
        <v>71</v>
      </c>
      <c r="DE86" s="137" t="str">
        <f t="shared" si="39"/>
        <v>FETAL</v>
      </c>
      <c r="DF86" s="137">
        <f t="shared" si="41"/>
        <v>0</v>
      </c>
    </row>
    <row r="87" spans="1:110" x14ac:dyDescent="0.2">
      <c r="A87" s="160"/>
      <c r="B87" s="5">
        <f t="shared" si="16"/>
        <v>85</v>
      </c>
      <c r="C87" s="131" t="str">
        <f t="shared" si="35"/>
        <v>CNS121</v>
      </c>
      <c r="D87" s="135" t="s">
        <v>219</v>
      </c>
      <c r="E87" s="131" t="str">
        <f t="shared" si="36"/>
        <v>CNS121_CONTROL</v>
      </c>
      <c r="F87" s="131"/>
      <c r="G87" s="130">
        <f t="shared" si="40"/>
        <v>121</v>
      </c>
      <c r="H87" s="131"/>
      <c r="I87" s="131"/>
      <c r="J87" s="132" t="s">
        <v>25</v>
      </c>
      <c r="K87" s="132" t="s">
        <v>177</v>
      </c>
      <c r="L87" s="132" t="s">
        <v>301</v>
      </c>
      <c r="M87" s="131" t="s">
        <v>81</v>
      </c>
      <c r="N87" s="131" t="s">
        <v>81</v>
      </c>
      <c r="O87" s="131" t="s">
        <v>81</v>
      </c>
      <c r="P87" s="131" t="s">
        <v>311</v>
      </c>
      <c r="Q87" s="131" t="s">
        <v>81</v>
      </c>
      <c r="R87" s="131" t="s">
        <v>89</v>
      </c>
      <c r="S87" s="131" t="s">
        <v>297</v>
      </c>
      <c r="T87" s="131"/>
      <c r="U87" s="132" t="s">
        <v>81</v>
      </c>
      <c r="V87" s="132" t="s">
        <v>172</v>
      </c>
      <c r="W87" s="132"/>
      <c r="X87" s="132"/>
      <c r="Y87" s="133">
        <v>0</v>
      </c>
      <c r="Z87" s="133">
        <v>18</v>
      </c>
      <c r="AA87" s="132" t="s">
        <v>71</v>
      </c>
      <c r="AB87" s="132" t="s">
        <v>60</v>
      </c>
      <c r="AC87" s="132" t="s">
        <v>60</v>
      </c>
      <c r="AD87" s="132" t="s">
        <v>71</v>
      </c>
      <c r="AE87" s="132" t="s">
        <v>71</v>
      </c>
      <c r="AF87" s="134" t="s">
        <v>68</v>
      </c>
      <c r="AG87" s="132" t="s">
        <v>81</v>
      </c>
      <c r="AH87" s="132" t="s">
        <v>71</v>
      </c>
      <c r="AI87" s="132" t="s">
        <v>60</v>
      </c>
      <c r="AJ87" s="132" t="s">
        <v>71</v>
      </c>
      <c r="AK87" s="132" t="s">
        <v>60</v>
      </c>
      <c r="AL87" s="132" t="s">
        <v>60</v>
      </c>
      <c r="AM87" s="132" t="s">
        <v>60</v>
      </c>
      <c r="AN87" s="132" t="s">
        <v>60</v>
      </c>
      <c r="AO87" s="132" t="s">
        <v>71</v>
      </c>
      <c r="AP87" s="132" t="s">
        <v>71</v>
      </c>
      <c r="AQ87" s="132" t="s">
        <v>71</v>
      </c>
      <c r="AR87" s="132" t="s">
        <v>71</v>
      </c>
      <c r="AS87" s="132" t="s">
        <v>71</v>
      </c>
      <c r="AT87" s="132" t="s">
        <v>71</v>
      </c>
      <c r="AU87" s="132" t="s">
        <v>71</v>
      </c>
      <c r="AV87" s="132" t="s">
        <v>71</v>
      </c>
      <c r="AW87" s="132" t="s">
        <v>71</v>
      </c>
      <c r="AX87" s="132" t="s">
        <v>71</v>
      </c>
      <c r="AY87" s="132" t="s">
        <v>71</v>
      </c>
      <c r="AZ87" s="132" t="s">
        <v>71</v>
      </c>
      <c r="BA87" s="132" t="s">
        <v>71</v>
      </c>
      <c r="BB87" s="132" t="s">
        <v>71</v>
      </c>
      <c r="BC87" s="132" t="s">
        <v>71</v>
      </c>
      <c r="BD87" s="132" t="s">
        <v>71</v>
      </c>
      <c r="BE87" s="132" t="s">
        <v>71</v>
      </c>
      <c r="BF87" s="132" t="s">
        <v>71</v>
      </c>
      <c r="BG87" s="132" t="s">
        <v>71</v>
      </c>
      <c r="BH87" s="132" t="s">
        <v>71</v>
      </c>
      <c r="BI87" s="132" t="s">
        <v>71</v>
      </c>
      <c r="BJ87" s="132" t="s">
        <v>71</v>
      </c>
      <c r="BK87" s="132" t="s">
        <v>71</v>
      </c>
      <c r="BL87" s="132" t="s">
        <v>71</v>
      </c>
      <c r="BM87" s="132" t="s">
        <v>71</v>
      </c>
      <c r="BN87" s="132" t="s">
        <v>71</v>
      </c>
      <c r="BO87" s="132" t="s">
        <v>71</v>
      </c>
      <c r="BP87" s="132" t="s">
        <v>71</v>
      </c>
      <c r="BQ87" s="132" t="s">
        <v>71</v>
      </c>
      <c r="BR87" s="132" t="s">
        <v>71</v>
      </c>
      <c r="BS87" s="132" t="s">
        <v>71</v>
      </c>
      <c r="BT87" s="132" t="s">
        <v>71</v>
      </c>
      <c r="BU87" s="132" t="s">
        <v>60</v>
      </c>
      <c r="BV87" s="132" t="s">
        <v>71</v>
      </c>
      <c r="BW87" s="132" t="s">
        <v>60</v>
      </c>
      <c r="BX87" s="132" t="s">
        <v>71</v>
      </c>
      <c r="BY87" s="132" t="s">
        <v>60</v>
      </c>
      <c r="BZ87" s="132" t="s">
        <v>71</v>
      </c>
      <c r="CA87" s="132" t="s">
        <v>60</v>
      </c>
      <c r="CB87" s="132" t="s">
        <v>71</v>
      </c>
      <c r="CC87" s="132" t="s">
        <v>60</v>
      </c>
      <c r="CD87" s="132" t="s">
        <v>71</v>
      </c>
      <c r="CE87" s="132" t="s">
        <v>60</v>
      </c>
      <c r="CF87" s="132" t="s">
        <v>71</v>
      </c>
      <c r="CG87" s="132" t="s">
        <v>60</v>
      </c>
      <c r="CH87" s="132" t="s">
        <v>71</v>
      </c>
      <c r="CI87" s="132" t="s">
        <v>60</v>
      </c>
      <c r="CJ87" s="132" t="s">
        <v>71</v>
      </c>
      <c r="CK87" s="132" t="s">
        <v>60</v>
      </c>
      <c r="CL87" s="132" t="s">
        <v>71</v>
      </c>
      <c r="CM87" s="132" t="s">
        <v>60</v>
      </c>
      <c r="CN87" s="132" t="s">
        <v>71</v>
      </c>
      <c r="CO87" s="132" t="s">
        <v>60</v>
      </c>
      <c r="CP87" s="132" t="s">
        <v>71</v>
      </c>
      <c r="CQ87" s="132" t="s">
        <v>60</v>
      </c>
      <c r="CR87" s="132" t="s">
        <v>71</v>
      </c>
      <c r="CS87" s="132" t="s">
        <v>60</v>
      </c>
      <c r="CT87" s="132" t="s">
        <v>71</v>
      </c>
      <c r="CU87" s="132" t="s">
        <v>60</v>
      </c>
      <c r="CV87" s="132" t="s">
        <v>71</v>
      </c>
      <c r="CW87" s="132" t="s">
        <v>60</v>
      </c>
      <c r="CX87" s="132" t="s">
        <v>71</v>
      </c>
      <c r="CY87" s="132" t="s">
        <v>60</v>
      </c>
      <c r="CZ87" s="132" t="s">
        <v>71</v>
      </c>
      <c r="DA87" s="132" t="s">
        <v>60</v>
      </c>
      <c r="DB87" s="132" t="s">
        <v>71</v>
      </c>
      <c r="DC87" s="132" t="s">
        <v>60</v>
      </c>
      <c r="DD87" s="132" t="s">
        <v>71</v>
      </c>
      <c r="DE87" s="137" t="str">
        <f t="shared" si="39"/>
        <v>FETAL</v>
      </c>
      <c r="DF87" s="137">
        <f t="shared" si="41"/>
        <v>0</v>
      </c>
    </row>
    <row r="88" spans="1:110" x14ac:dyDescent="0.2">
      <c r="A88" s="160"/>
      <c r="B88" s="5">
        <f t="shared" si="16"/>
        <v>86</v>
      </c>
      <c r="C88" s="131" t="str">
        <f t="shared" si="35"/>
        <v>CNS122</v>
      </c>
      <c r="D88" s="135" t="s">
        <v>220</v>
      </c>
      <c r="E88" s="131" t="str">
        <f t="shared" si="36"/>
        <v>CNS122_CONTROL</v>
      </c>
      <c r="F88" s="131"/>
      <c r="G88" s="130">
        <f t="shared" si="40"/>
        <v>122</v>
      </c>
      <c r="H88" s="131"/>
      <c r="I88" s="131"/>
      <c r="J88" s="132" t="s">
        <v>25</v>
      </c>
      <c r="K88" s="132" t="s">
        <v>177</v>
      </c>
      <c r="L88" s="132" t="s">
        <v>301</v>
      </c>
      <c r="M88" s="131" t="s">
        <v>81</v>
      </c>
      <c r="N88" s="131" t="s">
        <v>81</v>
      </c>
      <c r="O88" s="131" t="s">
        <v>81</v>
      </c>
      <c r="P88" s="131" t="s">
        <v>311</v>
      </c>
      <c r="Q88" s="131" t="s">
        <v>81</v>
      </c>
      <c r="R88" s="131" t="s">
        <v>89</v>
      </c>
      <c r="S88" s="131" t="s">
        <v>297</v>
      </c>
      <c r="T88" s="131"/>
      <c r="U88" s="132" t="s">
        <v>81</v>
      </c>
      <c r="V88" s="132" t="s">
        <v>172</v>
      </c>
      <c r="W88" s="132"/>
      <c r="X88" s="132"/>
      <c r="Y88" s="133">
        <v>0</v>
      </c>
      <c r="Z88" s="133">
        <v>19</v>
      </c>
      <c r="AA88" s="132" t="s">
        <v>71</v>
      </c>
      <c r="AB88" s="132" t="s">
        <v>60</v>
      </c>
      <c r="AC88" s="132" t="s">
        <v>60</v>
      </c>
      <c r="AD88" s="132" t="s">
        <v>71</v>
      </c>
      <c r="AE88" s="132" t="s">
        <v>71</v>
      </c>
      <c r="AF88" s="134" t="s">
        <v>68</v>
      </c>
      <c r="AG88" s="132" t="s">
        <v>81</v>
      </c>
      <c r="AH88" s="132" t="s">
        <v>71</v>
      </c>
      <c r="AI88" s="132" t="s">
        <v>60</v>
      </c>
      <c r="AJ88" s="132" t="s">
        <v>71</v>
      </c>
      <c r="AK88" s="132" t="s">
        <v>60</v>
      </c>
      <c r="AL88" s="132" t="s">
        <v>60</v>
      </c>
      <c r="AM88" s="132" t="s">
        <v>60</v>
      </c>
      <c r="AN88" s="132" t="s">
        <v>60</v>
      </c>
      <c r="AO88" s="132" t="s">
        <v>71</v>
      </c>
      <c r="AP88" s="132" t="s">
        <v>71</v>
      </c>
      <c r="AQ88" s="132" t="s">
        <v>71</v>
      </c>
      <c r="AR88" s="132" t="s">
        <v>71</v>
      </c>
      <c r="AS88" s="132" t="s">
        <v>71</v>
      </c>
      <c r="AT88" s="132" t="s">
        <v>71</v>
      </c>
      <c r="AU88" s="132" t="s">
        <v>71</v>
      </c>
      <c r="AV88" s="132" t="s">
        <v>71</v>
      </c>
      <c r="AW88" s="132" t="s">
        <v>71</v>
      </c>
      <c r="AX88" s="132" t="s">
        <v>71</v>
      </c>
      <c r="AY88" s="132" t="s">
        <v>71</v>
      </c>
      <c r="AZ88" s="132" t="s">
        <v>71</v>
      </c>
      <c r="BA88" s="132" t="s">
        <v>71</v>
      </c>
      <c r="BB88" s="132" t="s">
        <v>71</v>
      </c>
      <c r="BC88" s="132" t="s">
        <v>71</v>
      </c>
      <c r="BD88" s="132" t="s">
        <v>71</v>
      </c>
      <c r="BE88" s="132" t="s">
        <v>71</v>
      </c>
      <c r="BF88" s="132" t="s">
        <v>71</v>
      </c>
      <c r="BG88" s="132" t="s">
        <v>71</v>
      </c>
      <c r="BH88" s="132" t="s">
        <v>71</v>
      </c>
      <c r="BI88" s="132" t="s">
        <v>71</v>
      </c>
      <c r="BJ88" s="132" t="s">
        <v>71</v>
      </c>
      <c r="BK88" s="132" t="s">
        <v>71</v>
      </c>
      <c r="BL88" s="132" t="s">
        <v>71</v>
      </c>
      <c r="BM88" s="132" t="s">
        <v>71</v>
      </c>
      <c r="BN88" s="132" t="s">
        <v>71</v>
      </c>
      <c r="BO88" s="132" t="s">
        <v>71</v>
      </c>
      <c r="BP88" s="132" t="s">
        <v>71</v>
      </c>
      <c r="BQ88" s="132" t="s">
        <v>71</v>
      </c>
      <c r="BR88" s="132" t="s">
        <v>71</v>
      </c>
      <c r="BS88" s="132" t="s">
        <v>71</v>
      </c>
      <c r="BT88" s="132" t="s">
        <v>71</v>
      </c>
      <c r="BU88" s="132" t="s">
        <v>60</v>
      </c>
      <c r="BV88" s="132" t="s">
        <v>71</v>
      </c>
      <c r="BW88" s="132" t="s">
        <v>60</v>
      </c>
      <c r="BX88" s="132" t="s">
        <v>71</v>
      </c>
      <c r="BY88" s="132" t="s">
        <v>60</v>
      </c>
      <c r="BZ88" s="132" t="s">
        <v>71</v>
      </c>
      <c r="CA88" s="132" t="s">
        <v>60</v>
      </c>
      <c r="CB88" s="132" t="s">
        <v>71</v>
      </c>
      <c r="CC88" s="132" t="s">
        <v>60</v>
      </c>
      <c r="CD88" s="132" t="s">
        <v>71</v>
      </c>
      <c r="CE88" s="132" t="s">
        <v>60</v>
      </c>
      <c r="CF88" s="132" t="s">
        <v>71</v>
      </c>
      <c r="CG88" s="132" t="s">
        <v>60</v>
      </c>
      <c r="CH88" s="132" t="s">
        <v>71</v>
      </c>
      <c r="CI88" s="132" t="s">
        <v>60</v>
      </c>
      <c r="CJ88" s="132" t="s">
        <v>71</v>
      </c>
      <c r="CK88" s="132" t="s">
        <v>60</v>
      </c>
      <c r="CL88" s="132" t="s">
        <v>71</v>
      </c>
      <c r="CM88" s="132" t="s">
        <v>60</v>
      </c>
      <c r="CN88" s="132" t="s">
        <v>71</v>
      </c>
      <c r="CO88" s="132" t="s">
        <v>60</v>
      </c>
      <c r="CP88" s="132" t="s">
        <v>71</v>
      </c>
      <c r="CQ88" s="132" t="s">
        <v>60</v>
      </c>
      <c r="CR88" s="132" t="s">
        <v>71</v>
      </c>
      <c r="CS88" s="132" t="s">
        <v>60</v>
      </c>
      <c r="CT88" s="132" t="s">
        <v>71</v>
      </c>
      <c r="CU88" s="132" t="s">
        <v>60</v>
      </c>
      <c r="CV88" s="132" t="s">
        <v>71</v>
      </c>
      <c r="CW88" s="132" t="s">
        <v>60</v>
      </c>
      <c r="CX88" s="132" t="s">
        <v>71</v>
      </c>
      <c r="CY88" s="132" t="s">
        <v>60</v>
      </c>
      <c r="CZ88" s="132" t="s">
        <v>71</v>
      </c>
      <c r="DA88" s="132" t="s">
        <v>60</v>
      </c>
      <c r="DB88" s="132" t="s">
        <v>71</v>
      </c>
      <c r="DC88" s="132" t="s">
        <v>60</v>
      </c>
      <c r="DD88" s="132" t="s">
        <v>71</v>
      </c>
      <c r="DE88" s="137" t="str">
        <f t="shared" si="39"/>
        <v>FETAL</v>
      </c>
      <c r="DF88" s="137">
        <f t="shared" si="41"/>
        <v>0</v>
      </c>
    </row>
    <row r="89" spans="1:110" x14ac:dyDescent="0.2">
      <c r="A89" s="160"/>
      <c r="B89" s="5">
        <f t="shared" si="16"/>
        <v>87</v>
      </c>
      <c r="C89" s="131" t="str">
        <f t="shared" si="35"/>
        <v>CNS123</v>
      </c>
      <c r="D89" s="135" t="s">
        <v>221</v>
      </c>
      <c r="E89" s="131" t="str">
        <f t="shared" si="36"/>
        <v>CNS123_CONTROL</v>
      </c>
      <c r="F89" s="131"/>
      <c r="G89" s="130">
        <f t="shared" si="40"/>
        <v>123</v>
      </c>
      <c r="H89" s="131"/>
      <c r="I89" s="131"/>
      <c r="J89" s="132" t="s">
        <v>25</v>
      </c>
      <c r="K89" s="132" t="s">
        <v>177</v>
      </c>
      <c r="L89" s="132" t="s">
        <v>301</v>
      </c>
      <c r="M89" s="131" t="s">
        <v>81</v>
      </c>
      <c r="N89" s="131" t="s">
        <v>81</v>
      </c>
      <c r="O89" s="131" t="s">
        <v>81</v>
      </c>
      <c r="P89" s="131" t="s">
        <v>311</v>
      </c>
      <c r="Q89" s="131" t="s">
        <v>81</v>
      </c>
      <c r="R89" s="131" t="s">
        <v>89</v>
      </c>
      <c r="S89" s="131" t="s">
        <v>297</v>
      </c>
      <c r="T89" s="131"/>
      <c r="U89" s="132" t="s">
        <v>81</v>
      </c>
      <c r="V89" s="132" t="s">
        <v>172</v>
      </c>
      <c r="W89" s="132"/>
      <c r="X89" s="132"/>
      <c r="Y89" s="133">
        <v>0</v>
      </c>
      <c r="Z89" s="133">
        <v>16</v>
      </c>
      <c r="AA89" s="132" t="s">
        <v>71</v>
      </c>
      <c r="AB89" s="132" t="s">
        <v>60</v>
      </c>
      <c r="AC89" s="132" t="s">
        <v>60</v>
      </c>
      <c r="AD89" s="132" t="s">
        <v>71</v>
      </c>
      <c r="AE89" s="132" t="s">
        <v>71</v>
      </c>
      <c r="AF89" s="134" t="s">
        <v>68</v>
      </c>
      <c r="AG89" s="132" t="s">
        <v>81</v>
      </c>
      <c r="AH89" s="132" t="s">
        <v>71</v>
      </c>
      <c r="AI89" s="132" t="s">
        <v>60</v>
      </c>
      <c r="AJ89" s="132" t="s">
        <v>71</v>
      </c>
      <c r="AK89" s="132" t="s">
        <v>60</v>
      </c>
      <c r="AL89" s="132" t="s">
        <v>60</v>
      </c>
      <c r="AM89" s="132" t="s">
        <v>60</v>
      </c>
      <c r="AN89" s="132" t="s">
        <v>60</v>
      </c>
      <c r="AO89" s="132" t="s">
        <v>71</v>
      </c>
      <c r="AP89" s="132" t="s">
        <v>71</v>
      </c>
      <c r="AQ89" s="132" t="s">
        <v>71</v>
      </c>
      <c r="AR89" s="132" t="s">
        <v>71</v>
      </c>
      <c r="AS89" s="132" t="s">
        <v>71</v>
      </c>
      <c r="AT89" s="132" t="s">
        <v>71</v>
      </c>
      <c r="AU89" s="132" t="s">
        <v>71</v>
      </c>
      <c r="AV89" s="132" t="s">
        <v>71</v>
      </c>
      <c r="AW89" s="132" t="s">
        <v>71</v>
      </c>
      <c r="AX89" s="132" t="s">
        <v>71</v>
      </c>
      <c r="AY89" s="132" t="s">
        <v>71</v>
      </c>
      <c r="AZ89" s="132" t="s">
        <v>71</v>
      </c>
      <c r="BA89" s="132" t="s">
        <v>71</v>
      </c>
      <c r="BB89" s="132" t="s">
        <v>71</v>
      </c>
      <c r="BC89" s="132" t="s">
        <v>71</v>
      </c>
      <c r="BD89" s="132" t="s">
        <v>71</v>
      </c>
      <c r="BE89" s="132" t="s">
        <v>71</v>
      </c>
      <c r="BF89" s="132" t="s">
        <v>71</v>
      </c>
      <c r="BG89" s="132" t="s">
        <v>71</v>
      </c>
      <c r="BH89" s="132" t="s">
        <v>71</v>
      </c>
      <c r="BI89" s="132" t="s">
        <v>71</v>
      </c>
      <c r="BJ89" s="132" t="s">
        <v>71</v>
      </c>
      <c r="BK89" s="132" t="s">
        <v>71</v>
      </c>
      <c r="BL89" s="132" t="s">
        <v>71</v>
      </c>
      <c r="BM89" s="132" t="s">
        <v>71</v>
      </c>
      <c r="BN89" s="132" t="s">
        <v>71</v>
      </c>
      <c r="BO89" s="132" t="s">
        <v>71</v>
      </c>
      <c r="BP89" s="132" t="s">
        <v>71</v>
      </c>
      <c r="BQ89" s="132" t="s">
        <v>71</v>
      </c>
      <c r="BR89" s="132" t="s">
        <v>71</v>
      </c>
      <c r="BS89" s="132" t="s">
        <v>71</v>
      </c>
      <c r="BT89" s="132" t="s">
        <v>71</v>
      </c>
      <c r="BU89" s="132" t="s">
        <v>60</v>
      </c>
      <c r="BV89" s="132" t="s">
        <v>71</v>
      </c>
      <c r="BW89" s="132" t="s">
        <v>60</v>
      </c>
      <c r="BX89" s="132" t="s">
        <v>71</v>
      </c>
      <c r="BY89" s="132" t="s">
        <v>60</v>
      </c>
      <c r="BZ89" s="132" t="s">
        <v>71</v>
      </c>
      <c r="CA89" s="132" t="s">
        <v>60</v>
      </c>
      <c r="CB89" s="132" t="s">
        <v>71</v>
      </c>
      <c r="CC89" s="132" t="s">
        <v>60</v>
      </c>
      <c r="CD89" s="132" t="s">
        <v>71</v>
      </c>
      <c r="CE89" s="132" t="s">
        <v>60</v>
      </c>
      <c r="CF89" s="132" t="s">
        <v>71</v>
      </c>
      <c r="CG89" s="132" t="s">
        <v>60</v>
      </c>
      <c r="CH89" s="132" t="s">
        <v>71</v>
      </c>
      <c r="CI89" s="132" t="s">
        <v>60</v>
      </c>
      <c r="CJ89" s="132" t="s">
        <v>71</v>
      </c>
      <c r="CK89" s="132" t="s">
        <v>60</v>
      </c>
      <c r="CL89" s="132" t="s">
        <v>71</v>
      </c>
      <c r="CM89" s="132" t="s">
        <v>60</v>
      </c>
      <c r="CN89" s="132" t="s">
        <v>71</v>
      </c>
      <c r="CO89" s="132" t="s">
        <v>60</v>
      </c>
      <c r="CP89" s="132" t="s">
        <v>71</v>
      </c>
      <c r="CQ89" s="132" t="s">
        <v>60</v>
      </c>
      <c r="CR89" s="132" t="s">
        <v>71</v>
      </c>
      <c r="CS89" s="132" t="s">
        <v>60</v>
      </c>
      <c r="CT89" s="132" t="s">
        <v>71</v>
      </c>
      <c r="CU89" s="132" t="s">
        <v>60</v>
      </c>
      <c r="CV89" s="132" t="s">
        <v>71</v>
      </c>
      <c r="CW89" s="132" t="s">
        <v>60</v>
      </c>
      <c r="CX89" s="132" t="s">
        <v>71</v>
      </c>
      <c r="CY89" s="132" t="s">
        <v>60</v>
      </c>
      <c r="CZ89" s="132" t="s">
        <v>71</v>
      </c>
      <c r="DA89" s="132" t="s">
        <v>60</v>
      </c>
      <c r="DB89" s="132" t="s">
        <v>71</v>
      </c>
      <c r="DC89" s="132" t="s">
        <v>60</v>
      </c>
      <c r="DD89" s="132" t="s">
        <v>71</v>
      </c>
      <c r="DE89" s="137" t="str">
        <f t="shared" si="39"/>
        <v>FETAL</v>
      </c>
      <c r="DF89" s="137">
        <f t="shared" si="41"/>
        <v>0</v>
      </c>
    </row>
    <row r="90" spans="1:110" x14ac:dyDescent="0.2">
      <c r="A90" s="160"/>
      <c r="B90" s="5">
        <f t="shared" si="16"/>
        <v>88</v>
      </c>
      <c r="C90" s="131" t="str">
        <f t="shared" si="35"/>
        <v>CNS124</v>
      </c>
      <c r="D90" s="135" t="s">
        <v>222</v>
      </c>
      <c r="E90" s="131" t="str">
        <f t="shared" si="36"/>
        <v>CNS124_CONTROL</v>
      </c>
      <c r="F90" s="131"/>
      <c r="G90" s="130">
        <f t="shared" si="40"/>
        <v>124</v>
      </c>
      <c r="H90" s="131"/>
      <c r="I90" s="131"/>
      <c r="J90" s="132" t="s">
        <v>24</v>
      </c>
      <c r="K90" s="132" t="s">
        <v>177</v>
      </c>
      <c r="L90" s="132" t="s">
        <v>301</v>
      </c>
      <c r="M90" s="131" t="s">
        <v>81</v>
      </c>
      <c r="N90" s="131" t="s">
        <v>81</v>
      </c>
      <c r="O90" s="131" t="s">
        <v>81</v>
      </c>
      <c r="P90" s="131" t="s">
        <v>311</v>
      </c>
      <c r="Q90" s="131" t="s">
        <v>81</v>
      </c>
      <c r="R90" s="131" t="s">
        <v>89</v>
      </c>
      <c r="S90" s="131" t="s">
        <v>297</v>
      </c>
      <c r="T90" s="131"/>
      <c r="U90" s="132" t="s">
        <v>81</v>
      </c>
      <c r="V90" s="132" t="s">
        <v>172</v>
      </c>
      <c r="W90" s="132"/>
      <c r="X90" s="132"/>
      <c r="Y90" s="133">
        <v>0</v>
      </c>
      <c r="Z90" s="133">
        <v>18</v>
      </c>
      <c r="AA90" s="132" t="s">
        <v>71</v>
      </c>
      <c r="AB90" s="132" t="s">
        <v>60</v>
      </c>
      <c r="AC90" s="132" t="s">
        <v>60</v>
      </c>
      <c r="AD90" s="132" t="s">
        <v>71</v>
      </c>
      <c r="AE90" s="132" t="s">
        <v>71</v>
      </c>
      <c r="AF90" s="134" t="s">
        <v>68</v>
      </c>
      <c r="AG90" s="132" t="s">
        <v>81</v>
      </c>
      <c r="AH90" s="132" t="s">
        <v>71</v>
      </c>
      <c r="AI90" s="132" t="s">
        <v>60</v>
      </c>
      <c r="AJ90" s="132" t="s">
        <v>71</v>
      </c>
      <c r="AK90" s="132" t="s">
        <v>60</v>
      </c>
      <c r="AL90" s="132" t="s">
        <v>60</v>
      </c>
      <c r="AM90" s="132" t="s">
        <v>60</v>
      </c>
      <c r="AN90" s="132" t="s">
        <v>60</v>
      </c>
      <c r="AO90" s="132" t="s">
        <v>71</v>
      </c>
      <c r="AP90" s="132" t="s">
        <v>71</v>
      </c>
      <c r="AQ90" s="132" t="s">
        <v>71</v>
      </c>
      <c r="AR90" s="132" t="s">
        <v>71</v>
      </c>
      <c r="AS90" s="132" t="s">
        <v>71</v>
      </c>
      <c r="AT90" s="132" t="s">
        <v>71</v>
      </c>
      <c r="AU90" s="132" t="s">
        <v>71</v>
      </c>
      <c r="AV90" s="132" t="s">
        <v>71</v>
      </c>
      <c r="AW90" s="132" t="s">
        <v>71</v>
      </c>
      <c r="AX90" s="132" t="s">
        <v>71</v>
      </c>
      <c r="AY90" s="132" t="s">
        <v>71</v>
      </c>
      <c r="AZ90" s="132" t="s">
        <v>71</v>
      </c>
      <c r="BA90" s="132" t="s">
        <v>71</v>
      </c>
      <c r="BB90" s="132" t="s">
        <v>71</v>
      </c>
      <c r="BC90" s="132" t="s">
        <v>71</v>
      </c>
      <c r="BD90" s="132" t="s">
        <v>71</v>
      </c>
      <c r="BE90" s="132" t="s">
        <v>71</v>
      </c>
      <c r="BF90" s="132" t="s">
        <v>71</v>
      </c>
      <c r="BG90" s="132" t="s">
        <v>71</v>
      </c>
      <c r="BH90" s="132" t="s">
        <v>71</v>
      </c>
      <c r="BI90" s="132" t="s">
        <v>71</v>
      </c>
      <c r="BJ90" s="132" t="s">
        <v>71</v>
      </c>
      <c r="BK90" s="132" t="s">
        <v>71</v>
      </c>
      <c r="BL90" s="132" t="s">
        <v>71</v>
      </c>
      <c r="BM90" s="132" t="s">
        <v>71</v>
      </c>
      <c r="BN90" s="132" t="s">
        <v>71</v>
      </c>
      <c r="BO90" s="132" t="s">
        <v>71</v>
      </c>
      <c r="BP90" s="132" t="s">
        <v>71</v>
      </c>
      <c r="BQ90" s="132" t="s">
        <v>71</v>
      </c>
      <c r="BR90" s="132" t="s">
        <v>71</v>
      </c>
      <c r="BS90" s="132" t="s">
        <v>71</v>
      </c>
      <c r="BT90" s="132" t="s">
        <v>71</v>
      </c>
      <c r="BU90" s="132" t="s">
        <v>60</v>
      </c>
      <c r="BV90" s="132" t="s">
        <v>71</v>
      </c>
      <c r="BW90" s="132" t="s">
        <v>60</v>
      </c>
      <c r="BX90" s="132" t="s">
        <v>71</v>
      </c>
      <c r="BY90" s="132" t="s">
        <v>60</v>
      </c>
      <c r="BZ90" s="132" t="s">
        <v>71</v>
      </c>
      <c r="CA90" s="132" t="s">
        <v>60</v>
      </c>
      <c r="CB90" s="132" t="s">
        <v>71</v>
      </c>
      <c r="CC90" s="132" t="s">
        <v>60</v>
      </c>
      <c r="CD90" s="132" t="s">
        <v>71</v>
      </c>
      <c r="CE90" s="132" t="s">
        <v>60</v>
      </c>
      <c r="CF90" s="132" t="s">
        <v>71</v>
      </c>
      <c r="CG90" s="132" t="s">
        <v>60</v>
      </c>
      <c r="CH90" s="132" t="s">
        <v>71</v>
      </c>
      <c r="CI90" s="132" t="s">
        <v>60</v>
      </c>
      <c r="CJ90" s="132" t="s">
        <v>71</v>
      </c>
      <c r="CK90" s="132" t="s">
        <v>60</v>
      </c>
      <c r="CL90" s="132" t="s">
        <v>71</v>
      </c>
      <c r="CM90" s="132" t="s">
        <v>60</v>
      </c>
      <c r="CN90" s="132" t="s">
        <v>71</v>
      </c>
      <c r="CO90" s="132" t="s">
        <v>60</v>
      </c>
      <c r="CP90" s="132" t="s">
        <v>71</v>
      </c>
      <c r="CQ90" s="132" t="s">
        <v>60</v>
      </c>
      <c r="CR90" s="132" t="s">
        <v>71</v>
      </c>
      <c r="CS90" s="132" t="s">
        <v>60</v>
      </c>
      <c r="CT90" s="132" t="s">
        <v>71</v>
      </c>
      <c r="CU90" s="132" t="s">
        <v>60</v>
      </c>
      <c r="CV90" s="132" t="s">
        <v>71</v>
      </c>
      <c r="CW90" s="132" t="s">
        <v>60</v>
      </c>
      <c r="CX90" s="132" t="s">
        <v>71</v>
      </c>
      <c r="CY90" s="132" t="s">
        <v>60</v>
      </c>
      <c r="CZ90" s="132" t="s">
        <v>71</v>
      </c>
      <c r="DA90" s="132" t="s">
        <v>60</v>
      </c>
      <c r="DB90" s="132" t="s">
        <v>71</v>
      </c>
      <c r="DC90" s="132" t="s">
        <v>60</v>
      </c>
      <c r="DD90" s="132" t="s">
        <v>71</v>
      </c>
      <c r="DE90" s="137" t="str">
        <f t="shared" si="39"/>
        <v>FETAL</v>
      </c>
      <c r="DF90" s="137">
        <f t="shared" si="41"/>
        <v>0</v>
      </c>
    </row>
    <row r="91" spans="1:110" x14ac:dyDescent="0.2">
      <c r="A91" s="160"/>
      <c r="B91" s="5">
        <f t="shared" si="16"/>
        <v>89</v>
      </c>
      <c r="C91" s="131" t="str">
        <f t="shared" si="35"/>
        <v>CNS125</v>
      </c>
      <c r="D91" s="135" t="s">
        <v>223</v>
      </c>
      <c r="E91" s="131" t="str">
        <f t="shared" si="36"/>
        <v>CNS125_CONTROL</v>
      </c>
      <c r="F91" s="131"/>
      <c r="G91" s="130">
        <f t="shared" si="40"/>
        <v>125</v>
      </c>
      <c r="H91" s="131"/>
      <c r="I91" s="131"/>
      <c r="J91" s="132" t="s">
        <v>24</v>
      </c>
      <c r="K91" s="132" t="s">
        <v>177</v>
      </c>
      <c r="L91" s="132" t="s">
        <v>301</v>
      </c>
      <c r="M91" s="131" t="s">
        <v>81</v>
      </c>
      <c r="N91" s="131" t="s">
        <v>81</v>
      </c>
      <c r="O91" s="131" t="s">
        <v>81</v>
      </c>
      <c r="P91" s="131" t="s">
        <v>311</v>
      </c>
      <c r="Q91" s="131" t="s">
        <v>81</v>
      </c>
      <c r="R91" s="131" t="s">
        <v>89</v>
      </c>
      <c r="S91" s="131" t="s">
        <v>297</v>
      </c>
      <c r="T91" s="131"/>
      <c r="U91" s="132" t="s">
        <v>81</v>
      </c>
      <c r="V91" s="132" t="s">
        <v>172</v>
      </c>
      <c r="W91" s="132"/>
      <c r="X91" s="132"/>
      <c r="Y91" s="133">
        <v>0</v>
      </c>
      <c r="Z91" s="133">
        <v>17</v>
      </c>
      <c r="AA91" s="132" t="s">
        <v>71</v>
      </c>
      <c r="AB91" s="132" t="s">
        <v>60</v>
      </c>
      <c r="AC91" s="132" t="s">
        <v>60</v>
      </c>
      <c r="AD91" s="132" t="s">
        <v>71</v>
      </c>
      <c r="AE91" s="132" t="s">
        <v>71</v>
      </c>
      <c r="AF91" s="134" t="s">
        <v>68</v>
      </c>
      <c r="AG91" s="132" t="s">
        <v>81</v>
      </c>
      <c r="AH91" s="132" t="s">
        <v>71</v>
      </c>
      <c r="AI91" s="132" t="s">
        <v>60</v>
      </c>
      <c r="AJ91" s="132" t="s">
        <v>71</v>
      </c>
      <c r="AK91" s="132" t="s">
        <v>60</v>
      </c>
      <c r="AL91" s="132" t="s">
        <v>60</v>
      </c>
      <c r="AM91" s="132" t="s">
        <v>60</v>
      </c>
      <c r="AN91" s="132" t="s">
        <v>60</v>
      </c>
      <c r="AO91" s="132" t="s">
        <v>71</v>
      </c>
      <c r="AP91" s="132" t="s">
        <v>71</v>
      </c>
      <c r="AQ91" s="132" t="s">
        <v>71</v>
      </c>
      <c r="AR91" s="132" t="s">
        <v>71</v>
      </c>
      <c r="AS91" s="132" t="s">
        <v>71</v>
      </c>
      <c r="AT91" s="132" t="s">
        <v>71</v>
      </c>
      <c r="AU91" s="132" t="s">
        <v>71</v>
      </c>
      <c r="AV91" s="132" t="s">
        <v>71</v>
      </c>
      <c r="AW91" s="132" t="s">
        <v>71</v>
      </c>
      <c r="AX91" s="132" t="s">
        <v>71</v>
      </c>
      <c r="AY91" s="132" t="s">
        <v>71</v>
      </c>
      <c r="AZ91" s="132" t="s">
        <v>71</v>
      </c>
      <c r="BA91" s="132" t="s">
        <v>71</v>
      </c>
      <c r="BB91" s="132" t="s">
        <v>71</v>
      </c>
      <c r="BC91" s="132" t="s">
        <v>71</v>
      </c>
      <c r="BD91" s="132" t="s">
        <v>71</v>
      </c>
      <c r="BE91" s="132" t="s">
        <v>71</v>
      </c>
      <c r="BF91" s="132" t="s">
        <v>71</v>
      </c>
      <c r="BG91" s="132" t="s">
        <v>71</v>
      </c>
      <c r="BH91" s="132" t="s">
        <v>71</v>
      </c>
      <c r="BI91" s="132" t="s">
        <v>71</v>
      </c>
      <c r="BJ91" s="132" t="s">
        <v>71</v>
      </c>
      <c r="BK91" s="132" t="s">
        <v>71</v>
      </c>
      <c r="BL91" s="132" t="s">
        <v>71</v>
      </c>
      <c r="BM91" s="132" t="s">
        <v>71</v>
      </c>
      <c r="BN91" s="132" t="s">
        <v>71</v>
      </c>
      <c r="BO91" s="132" t="s">
        <v>71</v>
      </c>
      <c r="BP91" s="132" t="s">
        <v>71</v>
      </c>
      <c r="BQ91" s="132" t="s">
        <v>71</v>
      </c>
      <c r="BR91" s="132" t="s">
        <v>71</v>
      </c>
      <c r="BS91" s="132" t="s">
        <v>71</v>
      </c>
      <c r="BT91" s="132" t="s">
        <v>71</v>
      </c>
      <c r="BU91" s="132" t="s">
        <v>60</v>
      </c>
      <c r="BV91" s="132" t="s">
        <v>71</v>
      </c>
      <c r="BW91" s="132" t="s">
        <v>60</v>
      </c>
      <c r="BX91" s="132" t="s">
        <v>71</v>
      </c>
      <c r="BY91" s="132" t="s">
        <v>60</v>
      </c>
      <c r="BZ91" s="132" t="s">
        <v>71</v>
      </c>
      <c r="CA91" s="132" t="s">
        <v>60</v>
      </c>
      <c r="CB91" s="132" t="s">
        <v>71</v>
      </c>
      <c r="CC91" s="132" t="s">
        <v>60</v>
      </c>
      <c r="CD91" s="132" t="s">
        <v>71</v>
      </c>
      <c r="CE91" s="132" t="s">
        <v>60</v>
      </c>
      <c r="CF91" s="132" t="s">
        <v>71</v>
      </c>
      <c r="CG91" s="132" t="s">
        <v>60</v>
      </c>
      <c r="CH91" s="132" t="s">
        <v>71</v>
      </c>
      <c r="CI91" s="132" t="s">
        <v>60</v>
      </c>
      <c r="CJ91" s="132" t="s">
        <v>71</v>
      </c>
      <c r="CK91" s="132" t="s">
        <v>60</v>
      </c>
      <c r="CL91" s="132" t="s">
        <v>71</v>
      </c>
      <c r="CM91" s="132" t="s">
        <v>60</v>
      </c>
      <c r="CN91" s="132" t="s">
        <v>71</v>
      </c>
      <c r="CO91" s="132" t="s">
        <v>60</v>
      </c>
      <c r="CP91" s="132" t="s">
        <v>71</v>
      </c>
      <c r="CQ91" s="132" t="s">
        <v>60</v>
      </c>
      <c r="CR91" s="132" t="s">
        <v>71</v>
      </c>
      <c r="CS91" s="132" t="s">
        <v>60</v>
      </c>
      <c r="CT91" s="132" t="s">
        <v>71</v>
      </c>
      <c r="CU91" s="132" t="s">
        <v>60</v>
      </c>
      <c r="CV91" s="132" t="s">
        <v>71</v>
      </c>
      <c r="CW91" s="132" t="s">
        <v>60</v>
      </c>
      <c r="CX91" s="132" t="s">
        <v>71</v>
      </c>
      <c r="CY91" s="132" t="s">
        <v>60</v>
      </c>
      <c r="CZ91" s="132" t="s">
        <v>71</v>
      </c>
      <c r="DA91" s="132" t="s">
        <v>60</v>
      </c>
      <c r="DB91" s="132" t="s">
        <v>71</v>
      </c>
      <c r="DC91" s="132" t="s">
        <v>60</v>
      </c>
      <c r="DD91" s="132" t="s">
        <v>71</v>
      </c>
      <c r="DE91" s="137" t="str">
        <f t="shared" si="39"/>
        <v>FETAL</v>
      </c>
      <c r="DF91" s="137">
        <f t="shared" si="41"/>
        <v>0</v>
      </c>
    </row>
    <row r="92" spans="1:110" x14ac:dyDescent="0.2">
      <c r="A92" s="160"/>
      <c r="B92" s="5">
        <f t="shared" si="16"/>
        <v>90</v>
      </c>
      <c r="C92" s="131" t="str">
        <f t="shared" si="35"/>
        <v>CNS126</v>
      </c>
      <c r="D92" s="135" t="s">
        <v>224</v>
      </c>
      <c r="E92" s="131" t="str">
        <f t="shared" si="36"/>
        <v>CNS126_CONTROL</v>
      </c>
      <c r="F92" s="131"/>
      <c r="G92" s="130">
        <f t="shared" si="40"/>
        <v>126</v>
      </c>
      <c r="H92" s="131"/>
      <c r="I92" s="131"/>
      <c r="J92" s="132" t="s">
        <v>25</v>
      </c>
      <c r="K92" s="132" t="s">
        <v>177</v>
      </c>
      <c r="L92" s="132" t="s">
        <v>301</v>
      </c>
      <c r="M92" s="131" t="s">
        <v>81</v>
      </c>
      <c r="N92" s="131" t="s">
        <v>81</v>
      </c>
      <c r="O92" s="131" t="s">
        <v>81</v>
      </c>
      <c r="P92" s="131" t="s">
        <v>311</v>
      </c>
      <c r="Q92" s="131" t="s">
        <v>81</v>
      </c>
      <c r="R92" s="131" t="s">
        <v>89</v>
      </c>
      <c r="S92" s="131" t="s">
        <v>297</v>
      </c>
      <c r="T92" s="131"/>
      <c r="U92" s="132" t="s">
        <v>81</v>
      </c>
      <c r="V92" s="132" t="s">
        <v>172</v>
      </c>
      <c r="W92" s="132"/>
      <c r="X92" s="132"/>
      <c r="Y92" s="133">
        <v>0</v>
      </c>
      <c r="Z92" s="133">
        <v>20</v>
      </c>
      <c r="AA92" s="132" t="s">
        <v>71</v>
      </c>
      <c r="AB92" s="132" t="s">
        <v>60</v>
      </c>
      <c r="AC92" s="132" t="s">
        <v>60</v>
      </c>
      <c r="AD92" s="132" t="s">
        <v>71</v>
      </c>
      <c r="AE92" s="132" t="s">
        <v>71</v>
      </c>
      <c r="AF92" s="134" t="s">
        <v>68</v>
      </c>
      <c r="AG92" s="132" t="s">
        <v>81</v>
      </c>
      <c r="AH92" s="132" t="s">
        <v>71</v>
      </c>
      <c r="AI92" s="132" t="s">
        <v>60</v>
      </c>
      <c r="AJ92" s="132" t="s">
        <v>71</v>
      </c>
      <c r="AK92" s="132" t="s">
        <v>60</v>
      </c>
      <c r="AL92" s="132" t="s">
        <v>60</v>
      </c>
      <c r="AM92" s="132" t="s">
        <v>60</v>
      </c>
      <c r="AN92" s="132" t="s">
        <v>60</v>
      </c>
      <c r="AO92" s="132" t="s">
        <v>71</v>
      </c>
      <c r="AP92" s="132" t="s">
        <v>71</v>
      </c>
      <c r="AQ92" s="132" t="s">
        <v>71</v>
      </c>
      <c r="AR92" s="132" t="s">
        <v>71</v>
      </c>
      <c r="AS92" s="132" t="s">
        <v>71</v>
      </c>
      <c r="AT92" s="132" t="s">
        <v>71</v>
      </c>
      <c r="AU92" s="132" t="s">
        <v>71</v>
      </c>
      <c r="AV92" s="132" t="s">
        <v>71</v>
      </c>
      <c r="AW92" s="132" t="s">
        <v>71</v>
      </c>
      <c r="AX92" s="132" t="s">
        <v>71</v>
      </c>
      <c r="AY92" s="132" t="s">
        <v>71</v>
      </c>
      <c r="AZ92" s="132" t="s">
        <v>71</v>
      </c>
      <c r="BA92" s="132" t="s">
        <v>71</v>
      </c>
      <c r="BB92" s="132" t="s">
        <v>71</v>
      </c>
      <c r="BC92" s="132" t="s">
        <v>71</v>
      </c>
      <c r="BD92" s="132" t="s">
        <v>71</v>
      </c>
      <c r="BE92" s="132" t="s">
        <v>71</v>
      </c>
      <c r="BF92" s="132" t="s">
        <v>71</v>
      </c>
      <c r="BG92" s="132" t="s">
        <v>71</v>
      </c>
      <c r="BH92" s="132" t="s">
        <v>71</v>
      </c>
      <c r="BI92" s="132" t="s">
        <v>71</v>
      </c>
      <c r="BJ92" s="132" t="s">
        <v>71</v>
      </c>
      <c r="BK92" s="132" t="s">
        <v>71</v>
      </c>
      <c r="BL92" s="132" t="s">
        <v>71</v>
      </c>
      <c r="BM92" s="132" t="s">
        <v>71</v>
      </c>
      <c r="BN92" s="132" t="s">
        <v>71</v>
      </c>
      <c r="BO92" s="132" t="s">
        <v>71</v>
      </c>
      <c r="BP92" s="132" t="s">
        <v>71</v>
      </c>
      <c r="BQ92" s="132" t="s">
        <v>71</v>
      </c>
      <c r="BR92" s="132" t="s">
        <v>71</v>
      </c>
      <c r="BS92" s="132" t="s">
        <v>71</v>
      </c>
      <c r="BT92" s="132" t="s">
        <v>71</v>
      </c>
      <c r="BU92" s="132" t="s">
        <v>60</v>
      </c>
      <c r="BV92" s="132" t="s">
        <v>71</v>
      </c>
      <c r="BW92" s="132" t="s">
        <v>60</v>
      </c>
      <c r="BX92" s="132" t="s">
        <v>71</v>
      </c>
      <c r="BY92" s="132" t="s">
        <v>60</v>
      </c>
      <c r="BZ92" s="132" t="s">
        <v>71</v>
      </c>
      <c r="CA92" s="132" t="s">
        <v>60</v>
      </c>
      <c r="CB92" s="132" t="s">
        <v>71</v>
      </c>
      <c r="CC92" s="132" t="s">
        <v>60</v>
      </c>
      <c r="CD92" s="132" t="s">
        <v>71</v>
      </c>
      <c r="CE92" s="132" t="s">
        <v>60</v>
      </c>
      <c r="CF92" s="132" t="s">
        <v>71</v>
      </c>
      <c r="CG92" s="132" t="s">
        <v>60</v>
      </c>
      <c r="CH92" s="132" t="s">
        <v>71</v>
      </c>
      <c r="CI92" s="132" t="s">
        <v>60</v>
      </c>
      <c r="CJ92" s="132" t="s">
        <v>71</v>
      </c>
      <c r="CK92" s="132" t="s">
        <v>60</v>
      </c>
      <c r="CL92" s="132" t="s">
        <v>71</v>
      </c>
      <c r="CM92" s="132" t="s">
        <v>60</v>
      </c>
      <c r="CN92" s="132" t="s">
        <v>71</v>
      </c>
      <c r="CO92" s="132" t="s">
        <v>60</v>
      </c>
      <c r="CP92" s="132" t="s">
        <v>71</v>
      </c>
      <c r="CQ92" s="132" t="s">
        <v>60</v>
      </c>
      <c r="CR92" s="132" t="s">
        <v>71</v>
      </c>
      <c r="CS92" s="132" t="s">
        <v>60</v>
      </c>
      <c r="CT92" s="132" t="s">
        <v>71</v>
      </c>
      <c r="CU92" s="132" t="s">
        <v>60</v>
      </c>
      <c r="CV92" s="132" t="s">
        <v>71</v>
      </c>
      <c r="CW92" s="132" t="s">
        <v>60</v>
      </c>
      <c r="CX92" s="132" t="s">
        <v>71</v>
      </c>
      <c r="CY92" s="132" t="s">
        <v>60</v>
      </c>
      <c r="CZ92" s="132" t="s">
        <v>71</v>
      </c>
      <c r="DA92" s="132" t="s">
        <v>60</v>
      </c>
      <c r="DB92" s="132" t="s">
        <v>71</v>
      </c>
      <c r="DC92" s="132" t="s">
        <v>60</v>
      </c>
      <c r="DD92" s="132" t="s">
        <v>71</v>
      </c>
      <c r="DE92" s="137" t="str">
        <f t="shared" si="39"/>
        <v>FETAL</v>
      </c>
      <c r="DF92" s="137">
        <f t="shared" si="41"/>
        <v>0</v>
      </c>
    </row>
    <row r="93" spans="1:110" x14ac:dyDescent="0.2">
      <c r="A93" s="160"/>
      <c r="B93" s="5">
        <f t="shared" ref="B93:B156" si="42">B92+1</f>
        <v>91</v>
      </c>
      <c r="C93" s="131" t="str">
        <f t="shared" si="35"/>
        <v>CNS127</v>
      </c>
      <c r="D93" s="135" t="s">
        <v>225</v>
      </c>
      <c r="E93" s="131" t="str">
        <f t="shared" si="36"/>
        <v>CNS127_CONTROL</v>
      </c>
      <c r="F93" s="131"/>
      <c r="G93" s="130">
        <f t="shared" si="40"/>
        <v>127</v>
      </c>
      <c r="H93" s="131"/>
      <c r="I93" s="131"/>
      <c r="J93" s="132" t="s">
        <v>24</v>
      </c>
      <c r="K93" s="132" t="s">
        <v>177</v>
      </c>
      <c r="L93" s="132" t="s">
        <v>301</v>
      </c>
      <c r="M93" s="131" t="s">
        <v>81</v>
      </c>
      <c r="N93" s="131" t="s">
        <v>81</v>
      </c>
      <c r="O93" s="131" t="s">
        <v>81</v>
      </c>
      <c r="P93" s="131" t="s">
        <v>311</v>
      </c>
      <c r="Q93" s="131" t="s">
        <v>81</v>
      </c>
      <c r="R93" s="131" t="s">
        <v>89</v>
      </c>
      <c r="S93" s="131" t="s">
        <v>297</v>
      </c>
      <c r="T93" s="131"/>
      <c r="U93" s="132" t="s">
        <v>81</v>
      </c>
      <c r="V93" s="132" t="s">
        <v>172</v>
      </c>
      <c r="W93" s="132"/>
      <c r="X93" s="132"/>
      <c r="Y93" s="133">
        <v>0</v>
      </c>
      <c r="Z93" s="133">
        <v>16</v>
      </c>
      <c r="AA93" s="132" t="s">
        <v>71</v>
      </c>
      <c r="AB93" s="132" t="s">
        <v>60</v>
      </c>
      <c r="AC93" s="132" t="s">
        <v>60</v>
      </c>
      <c r="AD93" s="132" t="s">
        <v>71</v>
      </c>
      <c r="AE93" s="132" t="s">
        <v>71</v>
      </c>
      <c r="AF93" s="134" t="s">
        <v>68</v>
      </c>
      <c r="AG93" s="132" t="s">
        <v>81</v>
      </c>
      <c r="AH93" s="132" t="s">
        <v>71</v>
      </c>
      <c r="AI93" s="132" t="s">
        <v>60</v>
      </c>
      <c r="AJ93" s="132" t="s">
        <v>71</v>
      </c>
      <c r="AK93" s="132" t="s">
        <v>60</v>
      </c>
      <c r="AL93" s="132" t="s">
        <v>60</v>
      </c>
      <c r="AM93" s="132" t="s">
        <v>60</v>
      </c>
      <c r="AN93" s="132" t="s">
        <v>60</v>
      </c>
      <c r="AO93" s="132" t="s">
        <v>71</v>
      </c>
      <c r="AP93" s="132" t="s">
        <v>71</v>
      </c>
      <c r="AQ93" s="132" t="s">
        <v>71</v>
      </c>
      <c r="AR93" s="132" t="s">
        <v>71</v>
      </c>
      <c r="AS93" s="132" t="s">
        <v>71</v>
      </c>
      <c r="AT93" s="132" t="s">
        <v>71</v>
      </c>
      <c r="AU93" s="132" t="s">
        <v>71</v>
      </c>
      <c r="AV93" s="132" t="s">
        <v>71</v>
      </c>
      <c r="AW93" s="132" t="s">
        <v>71</v>
      </c>
      <c r="AX93" s="132" t="s">
        <v>71</v>
      </c>
      <c r="AY93" s="132" t="s">
        <v>71</v>
      </c>
      <c r="AZ93" s="132" t="s">
        <v>71</v>
      </c>
      <c r="BA93" s="132" t="s">
        <v>71</v>
      </c>
      <c r="BB93" s="132" t="s">
        <v>71</v>
      </c>
      <c r="BC93" s="132" t="s">
        <v>71</v>
      </c>
      <c r="BD93" s="132" t="s">
        <v>71</v>
      </c>
      <c r="BE93" s="132" t="s">
        <v>71</v>
      </c>
      <c r="BF93" s="132" t="s">
        <v>71</v>
      </c>
      <c r="BG93" s="132" t="s">
        <v>71</v>
      </c>
      <c r="BH93" s="132" t="s">
        <v>71</v>
      </c>
      <c r="BI93" s="132" t="s">
        <v>71</v>
      </c>
      <c r="BJ93" s="132" t="s">
        <v>71</v>
      </c>
      <c r="BK93" s="132" t="s">
        <v>71</v>
      </c>
      <c r="BL93" s="132" t="s">
        <v>71</v>
      </c>
      <c r="BM93" s="132" t="s">
        <v>71</v>
      </c>
      <c r="BN93" s="132" t="s">
        <v>71</v>
      </c>
      <c r="BO93" s="132" t="s">
        <v>71</v>
      </c>
      <c r="BP93" s="132" t="s">
        <v>71</v>
      </c>
      <c r="BQ93" s="132" t="s">
        <v>71</v>
      </c>
      <c r="BR93" s="132" t="s">
        <v>71</v>
      </c>
      <c r="BS93" s="132" t="s">
        <v>71</v>
      </c>
      <c r="BT93" s="132" t="s">
        <v>71</v>
      </c>
      <c r="BU93" s="132" t="s">
        <v>60</v>
      </c>
      <c r="BV93" s="132" t="s">
        <v>71</v>
      </c>
      <c r="BW93" s="132" t="s">
        <v>60</v>
      </c>
      <c r="BX93" s="132" t="s">
        <v>71</v>
      </c>
      <c r="BY93" s="132" t="s">
        <v>60</v>
      </c>
      <c r="BZ93" s="132" t="s">
        <v>71</v>
      </c>
      <c r="CA93" s="132" t="s">
        <v>60</v>
      </c>
      <c r="CB93" s="132" t="s">
        <v>71</v>
      </c>
      <c r="CC93" s="132" t="s">
        <v>60</v>
      </c>
      <c r="CD93" s="132" t="s">
        <v>71</v>
      </c>
      <c r="CE93" s="132" t="s">
        <v>60</v>
      </c>
      <c r="CF93" s="132" t="s">
        <v>71</v>
      </c>
      <c r="CG93" s="132" t="s">
        <v>60</v>
      </c>
      <c r="CH93" s="132" t="s">
        <v>71</v>
      </c>
      <c r="CI93" s="132" t="s">
        <v>60</v>
      </c>
      <c r="CJ93" s="132" t="s">
        <v>71</v>
      </c>
      <c r="CK93" s="132" t="s">
        <v>60</v>
      </c>
      <c r="CL93" s="132" t="s">
        <v>71</v>
      </c>
      <c r="CM93" s="132" t="s">
        <v>60</v>
      </c>
      <c r="CN93" s="132" t="s">
        <v>71</v>
      </c>
      <c r="CO93" s="132" t="s">
        <v>60</v>
      </c>
      <c r="CP93" s="132" t="s">
        <v>71</v>
      </c>
      <c r="CQ93" s="132" t="s">
        <v>60</v>
      </c>
      <c r="CR93" s="132" t="s">
        <v>71</v>
      </c>
      <c r="CS93" s="132" t="s">
        <v>60</v>
      </c>
      <c r="CT93" s="132" t="s">
        <v>71</v>
      </c>
      <c r="CU93" s="132" t="s">
        <v>60</v>
      </c>
      <c r="CV93" s="132" t="s">
        <v>71</v>
      </c>
      <c r="CW93" s="132" t="s">
        <v>60</v>
      </c>
      <c r="CX93" s="132" t="s">
        <v>71</v>
      </c>
      <c r="CY93" s="132" t="s">
        <v>60</v>
      </c>
      <c r="CZ93" s="132" t="s">
        <v>71</v>
      </c>
      <c r="DA93" s="132" t="s">
        <v>60</v>
      </c>
      <c r="DB93" s="132" t="s">
        <v>71</v>
      </c>
      <c r="DC93" s="132" t="s">
        <v>60</v>
      </c>
      <c r="DD93" s="132" t="s">
        <v>71</v>
      </c>
      <c r="DE93" s="137" t="str">
        <f t="shared" si="39"/>
        <v>FETAL</v>
      </c>
      <c r="DF93" s="137">
        <f t="shared" si="41"/>
        <v>0</v>
      </c>
    </row>
    <row r="94" spans="1:110" x14ac:dyDescent="0.2">
      <c r="A94" s="160"/>
      <c r="B94" s="5">
        <f t="shared" si="42"/>
        <v>92</v>
      </c>
      <c r="C94" s="131" t="str">
        <f t="shared" si="35"/>
        <v>CNS128</v>
      </c>
      <c r="D94" s="135" t="s">
        <v>226</v>
      </c>
      <c r="E94" s="131" t="str">
        <f t="shared" si="36"/>
        <v>CNS128_CONTROL</v>
      </c>
      <c r="F94" s="131"/>
      <c r="G94" s="130">
        <f t="shared" si="40"/>
        <v>128</v>
      </c>
      <c r="H94" s="131"/>
      <c r="I94" s="131"/>
      <c r="J94" s="132" t="s">
        <v>24</v>
      </c>
      <c r="K94" s="132" t="s">
        <v>177</v>
      </c>
      <c r="L94" s="132" t="s">
        <v>301</v>
      </c>
      <c r="M94" s="131" t="s">
        <v>81</v>
      </c>
      <c r="N94" s="131" t="s">
        <v>81</v>
      </c>
      <c r="O94" s="131" t="s">
        <v>81</v>
      </c>
      <c r="P94" s="131" t="s">
        <v>311</v>
      </c>
      <c r="Q94" s="131" t="s">
        <v>81</v>
      </c>
      <c r="R94" s="131" t="s">
        <v>89</v>
      </c>
      <c r="S94" s="131" t="s">
        <v>297</v>
      </c>
      <c r="T94" s="131"/>
      <c r="U94" s="132" t="s">
        <v>81</v>
      </c>
      <c r="V94" s="132" t="s">
        <v>172</v>
      </c>
      <c r="W94" s="132"/>
      <c r="X94" s="132"/>
      <c r="Y94" s="133">
        <v>0</v>
      </c>
      <c r="Z94" s="133">
        <v>19</v>
      </c>
      <c r="AA94" s="132" t="s">
        <v>71</v>
      </c>
      <c r="AB94" s="132" t="s">
        <v>60</v>
      </c>
      <c r="AC94" s="132" t="s">
        <v>60</v>
      </c>
      <c r="AD94" s="132" t="s">
        <v>71</v>
      </c>
      <c r="AE94" s="132" t="s">
        <v>71</v>
      </c>
      <c r="AF94" s="134" t="s">
        <v>68</v>
      </c>
      <c r="AG94" s="132" t="s">
        <v>81</v>
      </c>
      <c r="AH94" s="132" t="s">
        <v>71</v>
      </c>
      <c r="AI94" s="132" t="s">
        <v>60</v>
      </c>
      <c r="AJ94" s="132" t="s">
        <v>71</v>
      </c>
      <c r="AK94" s="132" t="s">
        <v>60</v>
      </c>
      <c r="AL94" s="132" t="s">
        <v>60</v>
      </c>
      <c r="AM94" s="132" t="s">
        <v>60</v>
      </c>
      <c r="AN94" s="132" t="s">
        <v>60</v>
      </c>
      <c r="AO94" s="132" t="s">
        <v>71</v>
      </c>
      <c r="AP94" s="132" t="s">
        <v>71</v>
      </c>
      <c r="AQ94" s="132" t="s">
        <v>71</v>
      </c>
      <c r="AR94" s="132" t="s">
        <v>71</v>
      </c>
      <c r="AS94" s="132" t="s">
        <v>71</v>
      </c>
      <c r="AT94" s="132" t="s">
        <v>71</v>
      </c>
      <c r="AU94" s="132" t="s">
        <v>71</v>
      </c>
      <c r="AV94" s="132" t="s">
        <v>71</v>
      </c>
      <c r="AW94" s="132" t="s">
        <v>71</v>
      </c>
      <c r="AX94" s="132" t="s">
        <v>71</v>
      </c>
      <c r="AY94" s="132" t="s">
        <v>71</v>
      </c>
      <c r="AZ94" s="132" t="s">
        <v>71</v>
      </c>
      <c r="BA94" s="132" t="s">
        <v>71</v>
      </c>
      <c r="BB94" s="132" t="s">
        <v>71</v>
      </c>
      <c r="BC94" s="132" t="s">
        <v>71</v>
      </c>
      <c r="BD94" s="132" t="s">
        <v>71</v>
      </c>
      <c r="BE94" s="132" t="s">
        <v>71</v>
      </c>
      <c r="BF94" s="132" t="s">
        <v>71</v>
      </c>
      <c r="BG94" s="132" t="s">
        <v>71</v>
      </c>
      <c r="BH94" s="132" t="s">
        <v>71</v>
      </c>
      <c r="BI94" s="132" t="s">
        <v>71</v>
      </c>
      <c r="BJ94" s="132" t="s">
        <v>71</v>
      </c>
      <c r="BK94" s="132" t="s">
        <v>71</v>
      </c>
      <c r="BL94" s="132" t="s">
        <v>71</v>
      </c>
      <c r="BM94" s="132" t="s">
        <v>71</v>
      </c>
      <c r="BN94" s="132" t="s">
        <v>71</v>
      </c>
      <c r="BO94" s="132" t="s">
        <v>71</v>
      </c>
      <c r="BP94" s="132" t="s">
        <v>71</v>
      </c>
      <c r="BQ94" s="132" t="s">
        <v>71</v>
      </c>
      <c r="BR94" s="132" t="s">
        <v>71</v>
      </c>
      <c r="BS94" s="132" t="s">
        <v>71</v>
      </c>
      <c r="BT94" s="132" t="s">
        <v>71</v>
      </c>
      <c r="BU94" s="132" t="s">
        <v>60</v>
      </c>
      <c r="BV94" s="132" t="s">
        <v>71</v>
      </c>
      <c r="BW94" s="132" t="s">
        <v>60</v>
      </c>
      <c r="BX94" s="132" t="s">
        <v>71</v>
      </c>
      <c r="BY94" s="132" t="s">
        <v>60</v>
      </c>
      <c r="BZ94" s="132" t="s">
        <v>71</v>
      </c>
      <c r="CA94" s="132" t="s">
        <v>60</v>
      </c>
      <c r="CB94" s="132" t="s">
        <v>71</v>
      </c>
      <c r="CC94" s="132" t="s">
        <v>60</v>
      </c>
      <c r="CD94" s="132" t="s">
        <v>71</v>
      </c>
      <c r="CE94" s="132" t="s">
        <v>60</v>
      </c>
      <c r="CF94" s="132" t="s">
        <v>71</v>
      </c>
      <c r="CG94" s="132" t="s">
        <v>60</v>
      </c>
      <c r="CH94" s="132" t="s">
        <v>71</v>
      </c>
      <c r="CI94" s="132" t="s">
        <v>60</v>
      </c>
      <c r="CJ94" s="132" t="s">
        <v>71</v>
      </c>
      <c r="CK94" s="132" t="s">
        <v>60</v>
      </c>
      <c r="CL94" s="132" t="s">
        <v>71</v>
      </c>
      <c r="CM94" s="132" t="s">
        <v>60</v>
      </c>
      <c r="CN94" s="132" t="s">
        <v>71</v>
      </c>
      <c r="CO94" s="132" t="s">
        <v>60</v>
      </c>
      <c r="CP94" s="132" t="s">
        <v>71</v>
      </c>
      <c r="CQ94" s="132" t="s">
        <v>60</v>
      </c>
      <c r="CR94" s="132" t="s">
        <v>71</v>
      </c>
      <c r="CS94" s="132" t="s">
        <v>60</v>
      </c>
      <c r="CT94" s="132" t="s">
        <v>71</v>
      </c>
      <c r="CU94" s="132" t="s">
        <v>60</v>
      </c>
      <c r="CV94" s="132" t="s">
        <v>71</v>
      </c>
      <c r="CW94" s="132" t="s">
        <v>60</v>
      </c>
      <c r="CX94" s="132" t="s">
        <v>71</v>
      </c>
      <c r="CY94" s="132" t="s">
        <v>60</v>
      </c>
      <c r="CZ94" s="132" t="s">
        <v>71</v>
      </c>
      <c r="DA94" s="132" t="s">
        <v>60</v>
      </c>
      <c r="DB94" s="132" t="s">
        <v>71</v>
      </c>
      <c r="DC94" s="132" t="s">
        <v>60</v>
      </c>
      <c r="DD94" s="132" t="s">
        <v>71</v>
      </c>
      <c r="DE94" s="137" t="str">
        <f t="shared" si="39"/>
        <v>FETAL</v>
      </c>
      <c r="DF94" s="137">
        <f t="shared" si="41"/>
        <v>0</v>
      </c>
    </row>
    <row r="95" spans="1:110" x14ac:dyDescent="0.2">
      <c r="A95" s="160"/>
      <c r="B95" s="5">
        <f t="shared" si="42"/>
        <v>93</v>
      </c>
      <c r="C95" s="131" t="str">
        <f t="shared" si="35"/>
        <v>CNS129</v>
      </c>
      <c r="D95" s="135" t="s">
        <v>227</v>
      </c>
      <c r="E95" s="131" t="str">
        <f t="shared" ref="E95:E126" si="43">CONCATENATE(C95,"_",M95)</f>
        <v>CNS129_CONTROL</v>
      </c>
      <c r="F95" s="131"/>
      <c r="G95" s="130">
        <f t="shared" si="40"/>
        <v>129</v>
      </c>
      <c r="H95" s="131"/>
      <c r="I95" s="131"/>
      <c r="J95" s="132" t="s">
        <v>24</v>
      </c>
      <c r="K95" s="132" t="s">
        <v>177</v>
      </c>
      <c r="L95" s="132" t="s">
        <v>301</v>
      </c>
      <c r="M95" s="131" t="s">
        <v>81</v>
      </c>
      <c r="N95" s="131" t="s">
        <v>81</v>
      </c>
      <c r="O95" s="131" t="s">
        <v>81</v>
      </c>
      <c r="P95" s="131" t="s">
        <v>311</v>
      </c>
      <c r="Q95" s="131" t="s">
        <v>81</v>
      </c>
      <c r="R95" s="131" t="s">
        <v>89</v>
      </c>
      <c r="S95" s="131" t="s">
        <v>297</v>
      </c>
      <c r="T95" s="131"/>
      <c r="U95" s="132" t="s">
        <v>81</v>
      </c>
      <c r="V95" s="132" t="s">
        <v>172</v>
      </c>
      <c r="W95" s="132"/>
      <c r="X95" s="132"/>
      <c r="Y95" s="133">
        <v>0</v>
      </c>
      <c r="Z95" s="133">
        <v>19</v>
      </c>
      <c r="AA95" s="132" t="s">
        <v>71</v>
      </c>
      <c r="AB95" s="132" t="s">
        <v>60</v>
      </c>
      <c r="AC95" s="132" t="s">
        <v>60</v>
      </c>
      <c r="AD95" s="132" t="s">
        <v>71</v>
      </c>
      <c r="AE95" s="132" t="s">
        <v>71</v>
      </c>
      <c r="AF95" s="134" t="s">
        <v>68</v>
      </c>
      <c r="AG95" s="132" t="s">
        <v>81</v>
      </c>
      <c r="AH95" s="132" t="s">
        <v>71</v>
      </c>
      <c r="AI95" s="132" t="s">
        <v>60</v>
      </c>
      <c r="AJ95" s="132" t="s">
        <v>71</v>
      </c>
      <c r="AK95" s="132" t="s">
        <v>60</v>
      </c>
      <c r="AL95" s="132" t="s">
        <v>60</v>
      </c>
      <c r="AM95" s="132" t="s">
        <v>60</v>
      </c>
      <c r="AN95" s="132" t="s">
        <v>60</v>
      </c>
      <c r="AO95" s="132" t="s">
        <v>71</v>
      </c>
      <c r="AP95" s="132" t="s">
        <v>71</v>
      </c>
      <c r="AQ95" s="132" t="s">
        <v>71</v>
      </c>
      <c r="AR95" s="132" t="s">
        <v>71</v>
      </c>
      <c r="AS95" s="132" t="s">
        <v>71</v>
      </c>
      <c r="AT95" s="132" t="s">
        <v>71</v>
      </c>
      <c r="AU95" s="132" t="s">
        <v>71</v>
      </c>
      <c r="AV95" s="132" t="s">
        <v>71</v>
      </c>
      <c r="AW95" s="132" t="s">
        <v>71</v>
      </c>
      <c r="AX95" s="132" t="s">
        <v>71</v>
      </c>
      <c r="AY95" s="132" t="s">
        <v>71</v>
      </c>
      <c r="AZ95" s="132" t="s">
        <v>71</v>
      </c>
      <c r="BA95" s="132" t="s">
        <v>71</v>
      </c>
      <c r="BB95" s="132" t="s">
        <v>71</v>
      </c>
      <c r="BC95" s="132" t="s">
        <v>71</v>
      </c>
      <c r="BD95" s="132" t="s">
        <v>71</v>
      </c>
      <c r="BE95" s="132" t="s">
        <v>71</v>
      </c>
      <c r="BF95" s="132" t="s">
        <v>71</v>
      </c>
      <c r="BG95" s="132" t="s">
        <v>71</v>
      </c>
      <c r="BH95" s="132" t="s">
        <v>71</v>
      </c>
      <c r="BI95" s="132" t="s">
        <v>71</v>
      </c>
      <c r="BJ95" s="132" t="s">
        <v>71</v>
      </c>
      <c r="BK95" s="132" t="s">
        <v>71</v>
      </c>
      <c r="BL95" s="132" t="s">
        <v>71</v>
      </c>
      <c r="BM95" s="132" t="s">
        <v>71</v>
      </c>
      <c r="BN95" s="132" t="s">
        <v>71</v>
      </c>
      <c r="BO95" s="132" t="s">
        <v>71</v>
      </c>
      <c r="BP95" s="132" t="s">
        <v>71</v>
      </c>
      <c r="BQ95" s="132" t="s">
        <v>71</v>
      </c>
      <c r="BR95" s="132" t="s">
        <v>71</v>
      </c>
      <c r="BS95" s="132" t="s">
        <v>71</v>
      </c>
      <c r="BT95" s="132" t="s">
        <v>71</v>
      </c>
      <c r="BU95" s="132" t="s">
        <v>60</v>
      </c>
      <c r="BV95" s="132" t="s">
        <v>71</v>
      </c>
      <c r="BW95" s="132" t="s">
        <v>60</v>
      </c>
      <c r="BX95" s="132" t="s">
        <v>71</v>
      </c>
      <c r="BY95" s="132" t="s">
        <v>60</v>
      </c>
      <c r="BZ95" s="132" t="s">
        <v>71</v>
      </c>
      <c r="CA95" s="132" t="s">
        <v>60</v>
      </c>
      <c r="CB95" s="132" t="s">
        <v>71</v>
      </c>
      <c r="CC95" s="132" t="s">
        <v>60</v>
      </c>
      <c r="CD95" s="132" t="s">
        <v>71</v>
      </c>
      <c r="CE95" s="132" t="s">
        <v>60</v>
      </c>
      <c r="CF95" s="132" t="s">
        <v>71</v>
      </c>
      <c r="CG95" s="132" t="s">
        <v>60</v>
      </c>
      <c r="CH95" s="132" t="s">
        <v>71</v>
      </c>
      <c r="CI95" s="132" t="s">
        <v>60</v>
      </c>
      <c r="CJ95" s="132" t="s">
        <v>71</v>
      </c>
      <c r="CK95" s="132" t="s">
        <v>60</v>
      </c>
      <c r="CL95" s="132" t="s">
        <v>71</v>
      </c>
      <c r="CM95" s="132" t="s">
        <v>60</v>
      </c>
      <c r="CN95" s="132" t="s">
        <v>71</v>
      </c>
      <c r="CO95" s="132" t="s">
        <v>60</v>
      </c>
      <c r="CP95" s="132" t="s">
        <v>71</v>
      </c>
      <c r="CQ95" s="132" t="s">
        <v>60</v>
      </c>
      <c r="CR95" s="132" t="s">
        <v>71</v>
      </c>
      <c r="CS95" s="132" t="s">
        <v>60</v>
      </c>
      <c r="CT95" s="132" t="s">
        <v>71</v>
      </c>
      <c r="CU95" s="132" t="s">
        <v>60</v>
      </c>
      <c r="CV95" s="132" t="s">
        <v>71</v>
      </c>
      <c r="CW95" s="132" t="s">
        <v>60</v>
      </c>
      <c r="CX95" s="132" t="s">
        <v>71</v>
      </c>
      <c r="CY95" s="132" t="s">
        <v>60</v>
      </c>
      <c r="CZ95" s="132" t="s">
        <v>71</v>
      </c>
      <c r="DA95" s="132" t="s">
        <v>60</v>
      </c>
      <c r="DB95" s="132" t="s">
        <v>71</v>
      </c>
      <c r="DC95" s="132" t="s">
        <v>60</v>
      </c>
      <c r="DD95" s="132" t="s">
        <v>71</v>
      </c>
      <c r="DE95" s="137" t="str">
        <f t="shared" si="39"/>
        <v>FETAL</v>
      </c>
      <c r="DF95" s="137">
        <f t="shared" si="41"/>
        <v>0</v>
      </c>
    </row>
    <row r="96" spans="1:110" x14ac:dyDescent="0.2">
      <c r="A96" s="160"/>
      <c r="B96" s="5">
        <f t="shared" si="42"/>
        <v>94</v>
      </c>
      <c r="C96" s="131" t="str">
        <f t="shared" si="35"/>
        <v>CNS130</v>
      </c>
      <c r="D96" s="135" t="s">
        <v>228</v>
      </c>
      <c r="E96" s="131" t="str">
        <f t="shared" si="43"/>
        <v>CNS130_CONTROL</v>
      </c>
      <c r="F96" s="131"/>
      <c r="G96" s="130">
        <f t="shared" si="40"/>
        <v>130</v>
      </c>
      <c r="H96" s="131"/>
      <c r="I96" s="131"/>
      <c r="J96" s="132" t="s">
        <v>60</v>
      </c>
      <c r="K96" s="132" t="s">
        <v>177</v>
      </c>
      <c r="L96" s="132" t="s">
        <v>301</v>
      </c>
      <c r="M96" s="131" t="s">
        <v>81</v>
      </c>
      <c r="N96" s="131" t="s">
        <v>81</v>
      </c>
      <c r="O96" s="131" t="s">
        <v>81</v>
      </c>
      <c r="P96" s="131" t="s">
        <v>311</v>
      </c>
      <c r="Q96" s="131" t="s">
        <v>81</v>
      </c>
      <c r="R96" s="131" t="s">
        <v>89</v>
      </c>
      <c r="S96" s="131" t="s">
        <v>297</v>
      </c>
      <c r="T96" s="131"/>
      <c r="U96" s="132" t="s">
        <v>81</v>
      </c>
      <c r="V96" s="132" t="s">
        <v>172</v>
      </c>
      <c r="W96" s="132"/>
      <c r="X96" s="132"/>
      <c r="Y96" s="133">
        <v>0</v>
      </c>
      <c r="Z96" s="133">
        <v>20</v>
      </c>
      <c r="AA96" s="132" t="s">
        <v>71</v>
      </c>
      <c r="AB96" s="132" t="s">
        <v>60</v>
      </c>
      <c r="AC96" s="132" t="s">
        <v>60</v>
      </c>
      <c r="AD96" s="132" t="s">
        <v>71</v>
      </c>
      <c r="AE96" s="132" t="s">
        <v>71</v>
      </c>
      <c r="AF96" s="134" t="s">
        <v>68</v>
      </c>
      <c r="AG96" s="132" t="s">
        <v>81</v>
      </c>
      <c r="AH96" s="132" t="s">
        <v>71</v>
      </c>
      <c r="AI96" s="132" t="s">
        <v>60</v>
      </c>
      <c r="AJ96" s="132" t="s">
        <v>71</v>
      </c>
      <c r="AK96" s="132" t="s">
        <v>60</v>
      </c>
      <c r="AL96" s="132" t="s">
        <v>60</v>
      </c>
      <c r="AM96" s="132" t="s">
        <v>60</v>
      </c>
      <c r="AN96" s="132" t="s">
        <v>60</v>
      </c>
      <c r="AO96" s="132" t="s">
        <v>71</v>
      </c>
      <c r="AP96" s="132" t="s">
        <v>71</v>
      </c>
      <c r="AQ96" s="132" t="s">
        <v>71</v>
      </c>
      <c r="AR96" s="132" t="s">
        <v>71</v>
      </c>
      <c r="AS96" s="132" t="s">
        <v>71</v>
      </c>
      <c r="AT96" s="132" t="s">
        <v>71</v>
      </c>
      <c r="AU96" s="132" t="s">
        <v>71</v>
      </c>
      <c r="AV96" s="132" t="s">
        <v>71</v>
      </c>
      <c r="AW96" s="132" t="s">
        <v>71</v>
      </c>
      <c r="AX96" s="132" t="s">
        <v>71</v>
      </c>
      <c r="AY96" s="132" t="s">
        <v>71</v>
      </c>
      <c r="AZ96" s="132" t="s">
        <v>71</v>
      </c>
      <c r="BA96" s="132" t="s">
        <v>71</v>
      </c>
      <c r="BB96" s="132" t="s">
        <v>71</v>
      </c>
      <c r="BC96" s="132" t="s">
        <v>71</v>
      </c>
      <c r="BD96" s="132" t="s">
        <v>71</v>
      </c>
      <c r="BE96" s="132" t="s">
        <v>71</v>
      </c>
      <c r="BF96" s="132" t="s">
        <v>71</v>
      </c>
      <c r="BG96" s="132" t="s">
        <v>71</v>
      </c>
      <c r="BH96" s="132" t="s">
        <v>71</v>
      </c>
      <c r="BI96" s="132" t="s">
        <v>71</v>
      </c>
      <c r="BJ96" s="132" t="s">
        <v>71</v>
      </c>
      <c r="BK96" s="132" t="s">
        <v>71</v>
      </c>
      <c r="BL96" s="132" t="s">
        <v>71</v>
      </c>
      <c r="BM96" s="132" t="s">
        <v>71</v>
      </c>
      <c r="BN96" s="132" t="s">
        <v>71</v>
      </c>
      <c r="BO96" s="132" t="s">
        <v>71</v>
      </c>
      <c r="BP96" s="132" t="s">
        <v>71</v>
      </c>
      <c r="BQ96" s="132" t="s">
        <v>71</v>
      </c>
      <c r="BR96" s="132" t="s">
        <v>71</v>
      </c>
      <c r="BS96" s="132" t="s">
        <v>71</v>
      </c>
      <c r="BT96" s="132" t="s">
        <v>71</v>
      </c>
      <c r="BU96" s="132" t="s">
        <v>60</v>
      </c>
      <c r="BV96" s="132" t="s">
        <v>71</v>
      </c>
      <c r="BW96" s="132" t="s">
        <v>60</v>
      </c>
      <c r="BX96" s="132" t="s">
        <v>71</v>
      </c>
      <c r="BY96" s="132" t="s">
        <v>60</v>
      </c>
      <c r="BZ96" s="132" t="s">
        <v>71</v>
      </c>
      <c r="CA96" s="132" t="s">
        <v>60</v>
      </c>
      <c r="CB96" s="132" t="s">
        <v>71</v>
      </c>
      <c r="CC96" s="132" t="s">
        <v>60</v>
      </c>
      <c r="CD96" s="132" t="s">
        <v>71</v>
      </c>
      <c r="CE96" s="132" t="s">
        <v>60</v>
      </c>
      <c r="CF96" s="132" t="s">
        <v>71</v>
      </c>
      <c r="CG96" s="132" t="s">
        <v>60</v>
      </c>
      <c r="CH96" s="132" t="s">
        <v>71</v>
      </c>
      <c r="CI96" s="132" t="s">
        <v>60</v>
      </c>
      <c r="CJ96" s="132" t="s">
        <v>71</v>
      </c>
      <c r="CK96" s="132" t="s">
        <v>60</v>
      </c>
      <c r="CL96" s="132" t="s">
        <v>71</v>
      </c>
      <c r="CM96" s="132" t="s">
        <v>60</v>
      </c>
      <c r="CN96" s="132" t="s">
        <v>71</v>
      </c>
      <c r="CO96" s="132" t="s">
        <v>60</v>
      </c>
      <c r="CP96" s="132" t="s">
        <v>71</v>
      </c>
      <c r="CQ96" s="132" t="s">
        <v>60</v>
      </c>
      <c r="CR96" s="132" t="s">
        <v>71</v>
      </c>
      <c r="CS96" s="132" t="s">
        <v>60</v>
      </c>
      <c r="CT96" s="132" t="s">
        <v>71</v>
      </c>
      <c r="CU96" s="132" t="s">
        <v>60</v>
      </c>
      <c r="CV96" s="132" t="s">
        <v>71</v>
      </c>
      <c r="CW96" s="132" t="s">
        <v>60</v>
      </c>
      <c r="CX96" s="132" t="s">
        <v>71</v>
      </c>
      <c r="CY96" s="132" t="s">
        <v>60</v>
      </c>
      <c r="CZ96" s="132" t="s">
        <v>71</v>
      </c>
      <c r="DA96" s="132" t="s">
        <v>60</v>
      </c>
      <c r="DB96" s="132" t="s">
        <v>71</v>
      </c>
      <c r="DC96" s="132" t="s">
        <v>60</v>
      </c>
      <c r="DD96" s="132" t="s">
        <v>71</v>
      </c>
      <c r="DE96" s="137" t="str">
        <f t="shared" si="39"/>
        <v>FETAL</v>
      </c>
      <c r="DF96" s="137">
        <f t="shared" si="41"/>
        <v>0</v>
      </c>
    </row>
    <row r="97" spans="1:110" x14ac:dyDescent="0.2">
      <c r="A97" s="160"/>
      <c r="B97" s="5">
        <f t="shared" si="42"/>
        <v>95</v>
      </c>
      <c r="C97" s="131" t="str">
        <f t="shared" si="35"/>
        <v>CNS131</v>
      </c>
      <c r="D97" s="135" t="s">
        <v>229</v>
      </c>
      <c r="E97" s="131" t="str">
        <f t="shared" si="43"/>
        <v>CNS131_CONTROL</v>
      </c>
      <c r="F97" s="131"/>
      <c r="G97" s="130">
        <f t="shared" si="40"/>
        <v>131</v>
      </c>
      <c r="H97" s="131"/>
      <c r="I97" s="131"/>
      <c r="J97" s="132" t="s">
        <v>25</v>
      </c>
      <c r="K97" s="132" t="s">
        <v>177</v>
      </c>
      <c r="L97" s="132" t="s">
        <v>301</v>
      </c>
      <c r="M97" s="131" t="s">
        <v>81</v>
      </c>
      <c r="N97" s="131" t="s">
        <v>81</v>
      </c>
      <c r="O97" s="131" t="s">
        <v>81</v>
      </c>
      <c r="P97" s="131" t="s">
        <v>309</v>
      </c>
      <c r="Q97" s="131" t="s">
        <v>81</v>
      </c>
      <c r="R97" s="131" t="s">
        <v>89</v>
      </c>
      <c r="S97" s="131" t="s">
        <v>297</v>
      </c>
      <c r="T97" s="131"/>
      <c r="U97" s="132" t="s">
        <v>81</v>
      </c>
      <c r="V97" s="132" t="s">
        <v>174</v>
      </c>
      <c r="W97" s="132"/>
      <c r="X97" s="132"/>
      <c r="Y97" s="133">
        <v>4.7479452054794518</v>
      </c>
      <c r="Z97" s="133">
        <f t="shared" si="38"/>
        <v>263.90136986301366</v>
      </c>
      <c r="AA97" s="132" t="s">
        <v>71</v>
      </c>
      <c r="AB97" s="132" t="s">
        <v>60</v>
      </c>
      <c r="AC97" s="132" t="s">
        <v>60</v>
      </c>
      <c r="AD97" s="132" t="s">
        <v>71</v>
      </c>
      <c r="AE97" s="132" t="s">
        <v>71</v>
      </c>
      <c r="AF97" s="134" t="s">
        <v>68</v>
      </c>
      <c r="AG97" s="132" t="s">
        <v>81</v>
      </c>
      <c r="AH97" s="132" t="s">
        <v>71</v>
      </c>
      <c r="AI97" s="132" t="s">
        <v>60</v>
      </c>
      <c r="AJ97" s="132" t="s">
        <v>71</v>
      </c>
      <c r="AK97" s="132" t="s">
        <v>60</v>
      </c>
      <c r="AL97" s="132" t="s">
        <v>60</v>
      </c>
      <c r="AM97" s="132" t="s">
        <v>60</v>
      </c>
      <c r="AN97" s="132" t="s">
        <v>60</v>
      </c>
      <c r="AO97" s="132" t="s">
        <v>71</v>
      </c>
      <c r="AP97" s="132" t="s">
        <v>71</v>
      </c>
      <c r="AQ97" s="132" t="s">
        <v>71</v>
      </c>
      <c r="AR97" s="132" t="s">
        <v>71</v>
      </c>
      <c r="AS97" s="132" t="s">
        <v>71</v>
      </c>
      <c r="AT97" s="132" t="s">
        <v>71</v>
      </c>
      <c r="AU97" s="132" t="s">
        <v>71</v>
      </c>
      <c r="AV97" s="132" t="s">
        <v>71</v>
      </c>
      <c r="AW97" s="132" t="s">
        <v>71</v>
      </c>
      <c r="AX97" s="132" t="s">
        <v>71</v>
      </c>
      <c r="AY97" s="132" t="s">
        <v>71</v>
      </c>
      <c r="AZ97" s="132" t="s">
        <v>71</v>
      </c>
      <c r="BA97" s="132" t="s">
        <v>71</v>
      </c>
      <c r="BB97" s="132" t="s">
        <v>71</v>
      </c>
      <c r="BC97" s="132" t="s">
        <v>71</v>
      </c>
      <c r="BD97" s="132" t="s">
        <v>71</v>
      </c>
      <c r="BE97" s="132" t="s">
        <v>71</v>
      </c>
      <c r="BF97" s="132" t="s">
        <v>71</v>
      </c>
      <c r="BG97" s="132" t="s">
        <v>71</v>
      </c>
      <c r="BH97" s="132" t="s">
        <v>71</v>
      </c>
      <c r="BI97" s="132" t="s">
        <v>71</v>
      </c>
      <c r="BJ97" s="132" t="s">
        <v>71</v>
      </c>
      <c r="BK97" s="132" t="s">
        <v>71</v>
      </c>
      <c r="BL97" s="132" t="s">
        <v>71</v>
      </c>
      <c r="BM97" s="132" t="s">
        <v>71</v>
      </c>
      <c r="BN97" s="132" t="s">
        <v>71</v>
      </c>
      <c r="BO97" s="132" t="s">
        <v>71</v>
      </c>
      <c r="BP97" s="132" t="s">
        <v>71</v>
      </c>
      <c r="BQ97" s="132" t="s">
        <v>71</v>
      </c>
      <c r="BR97" s="132" t="s">
        <v>71</v>
      </c>
      <c r="BS97" s="132" t="s">
        <v>71</v>
      </c>
      <c r="BT97" s="132" t="s">
        <v>71</v>
      </c>
      <c r="BU97" s="132" t="s">
        <v>60</v>
      </c>
      <c r="BV97" s="132" t="s">
        <v>71</v>
      </c>
      <c r="BW97" s="132" t="s">
        <v>60</v>
      </c>
      <c r="BX97" s="132" t="s">
        <v>71</v>
      </c>
      <c r="BY97" s="132" t="s">
        <v>60</v>
      </c>
      <c r="BZ97" s="132" t="s">
        <v>71</v>
      </c>
      <c r="CA97" s="132" t="s">
        <v>60</v>
      </c>
      <c r="CB97" s="132" t="s">
        <v>71</v>
      </c>
      <c r="CC97" s="132" t="s">
        <v>60</v>
      </c>
      <c r="CD97" s="132" t="s">
        <v>71</v>
      </c>
      <c r="CE97" s="132" t="s">
        <v>60</v>
      </c>
      <c r="CF97" s="132" t="s">
        <v>71</v>
      </c>
      <c r="CG97" s="132" t="s">
        <v>60</v>
      </c>
      <c r="CH97" s="132" t="s">
        <v>71</v>
      </c>
      <c r="CI97" s="132" t="s">
        <v>60</v>
      </c>
      <c r="CJ97" s="132" t="s">
        <v>71</v>
      </c>
      <c r="CK97" s="132" t="s">
        <v>60</v>
      </c>
      <c r="CL97" s="132" t="s">
        <v>71</v>
      </c>
      <c r="CM97" s="132" t="s">
        <v>60</v>
      </c>
      <c r="CN97" s="132" t="s">
        <v>71</v>
      </c>
      <c r="CO97" s="132" t="s">
        <v>60</v>
      </c>
      <c r="CP97" s="132" t="s">
        <v>71</v>
      </c>
      <c r="CQ97" s="132" t="s">
        <v>60</v>
      </c>
      <c r="CR97" s="132" t="s">
        <v>71</v>
      </c>
      <c r="CS97" s="132" t="s">
        <v>60</v>
      </c>
      <c r="CT97" s="132" t="s">
        <v>71</v>
      </c>
      <c r="CU97" s="132" t="s">
        <v>60</v>
      </c>
      <c r="CV97" s="132" t="s">
        <v>71</v>
      </c>
      <c r="CW97" s="132" t="s">
        <v>60</v>
      </c>
      <c r="CX97" s="132" t="s">
        <v>71</v>
      </c>
      <c r="CY97" s="132" t="s">
        <v>60</v>
      </c>
      <c r="CZ97" s="132" t="s">
        <v>71</v>
      </c>
      <c r="DA97" s="132" t="s">
        <v>60</v>
      </c>
      <c r="DB97" s="132" t="s">
        <v>71</v>
      </c>
      <c r="DC97" s="132" t="s">
        <v>60</v>
      </c>
      <c r="DD97" s="132" t="s">
        <v>71</v>
      </c>
      <c r="DE97" s="137" t="str">
        <f t="shared" si="39"/>
        <v>3&lt;YEARS OLD&lt;9</v>
      </c>
      <c r="DF97" s="137">
        <f t="shared" si="41"/>
        <v>0</v>
      </c>
    </row>
    <row r="98" spans="1:110" x14ac:dyDescent="0.2">
      <c r="A98" s="160"/>
      <c r="B98" s="5">
        <f t="shared" si="42"/>
        <v>96</v>
      </c>
      <c r="C98" s="131" t="str">
        <f t="shared" si="35"/>
        <v>CNS132</v>
      </c>
      <c r="D98" s="135" t="s">
        <v>230</v>
      </c>
      <c r="E98" s="131" t="str">
        <f t="shared" si="43"/>
        <v>CNS132_CONTROL</v>
      </c>
      <c r="F98" s="131"/>
      <c r="G98" s="130">
        <f t="shared" si="40"/>
        <v>132</v>
      </c>
      <c r="H98" s="131"/>
      <c r="I98" s="131"/>
      <c r="J98" s="132" t="s">
        <v>25</v>
      </c>
      <c r="K98" s="132" t="s">
        <v>177</v>
      </c>
      <c r="L98" s="132" t="s">
        <v>301</v>
      </c>
      <c r="M98" s="131" t="s">
        <v>81</v>
      </c>
      <c r="N98" s="131" t="s">
        <v>81</v>
      </c>
      <c r="O98" s="131" t="s">
        <v>81</v>
      </c>
      <c r="P98" s="131" t="s">
        <v>311</v>
      </c>
      <c r="Q98" s="131" t="s">
        <v>81</v>
      </c>
      <c r="R98" s="131" t="s">
        <v>89</v>
      </c>
      <c r="S98" s="131" t="s">
        <v>297</v>
      </c>
      <c r="T98" s="131"/>
      <c r="U98" s="132" t="s">
        <v>81</v>
      </c>
      <c r="V98" s="132" t="s">
        <v>172</v>
      </c>
      <c r="W98" s="132"/>
      <c r="X98" s="132"/>
      <c r="Y98" s="133">
        <v>0</v>
      </c>
      <c r="Z98" s="133">
        <v>20</v>
      </c>
      <c r="AA98" s="132" t="s">
        <v>71</v>
      </c>
      <c r="AB98" s="132" t="s">
        <v>60</v>
      </c>
      <c r="AC98" s="132" t="s">
        <v>60</v>
      </c>
      <c r="AD98" s="132" t="s">
        <v>71</v>
      </c>
      <c r="AE98" s="132" t="s">
        <v>71</v>
      </c>
      <c r="AF98" s="134" t="s">
        <v>68</v>
      </c>
      <c r="AG98" s="132" t="s">
        <v>81</v>
      </c>
      <c r="AH98" s="132" t="s">
        <v>71</v>
      </c>
      <c r="AI98" s="132" t="s">
        <v>60</v>
      </c>
      <c r="AJ98" s="132" t="s">
        <v>71</v>
      </c>
      <c r="AK98" s="132" t="s">
        <v>60</v>
      </c>
      <c r="AL98" s="132" t="s">
        <v>60</v>
      </c>
      <c r="AM98" s="132" t="s">
        <v>60</v>
      </c>
      <c r="AN98" s="132" t="s">
        <v>60</v>
      </c>
      <c r="AO98" s="132" t="s">
        <v>71</v>
      </c>
      <c r="AP98" s="132" t="s">
        <v>71</v>
      </c>
      <c r="AQ98" s="132" t="s">
        <v>71</v>
      </c>
      <c r="AR98" s="132" t="s">
        <v>71</v>
      </c>
      <c r="AS98" s="132" t="s">
        <v>71</v>
      </c>
      <c r="AT98" s="132" t="s">
        <v>71</v>
      </c>
      <c r="AU98" s="132" t="s">
        <v>71</v>
      </c>
      <c r="AV98" s="132" t="s">
        <v>71</v>
      </c>
      <c r="AW98" s="132" t="s">
        <v>71</v>
      </c>
      <c r="AX98" s="132" t="s">
        <v>71</v>
      </c>
      <c r="AY98" s="132" t="s">
        <v>71</v>
      </c>
      <c r="AZ98" s="132" t="s">
        <v>71</v>
      </c>
      <c r="BA98" s="132" t="s">
        <v>71</v>
      </c>
      <c r="BB98" s="132" t="s">
        <v>71</v>
      </c>
      <c r="BC98" s="132" t="s">
        <v>71</v>
      </c>
      <c r="BD98" s="132" t="s">
        <v>71</v>
      </c>
      <c r="BE98" s="132" t="s">
        <v>71</v>
      </c>
      <c r="BF98" s="132" t="s">
        <v>71</v>
      </c>
      <c r="BG98" s="132" t="s">
        <v>71</v>
      </c>
      <c r="BH98" s="132" t="s">
        <v>71</v>
      </c>
      <c r="BI98" s="132" t="s">
        <v>71</v>
      </c>
      <c r="BJ98" s="132" t="s">
        <v>71</v>
      </c>
      <c r="BK98" s="132" t="s">
        <v>71</v>
      </c>
      <c r="BL98" s="132" t="s">
        <v>71</v>
      </c>
      <c r="BM98" s="132" t="s">
        <v>71</v>
      </c>
      <c r="BN98" s="132" t="s">
        <v>71</v>
      </c>
      <c r="BO98" s="132" t="s">
        <v>71</v>
      </c>
      <c r="BP98" s="132" t="s">
        <v>71</v>
      </c>
      <c r="BQ98" s="132" t="s">
        <v>71</v>
      </c>
      <c r="BR98" s="132" t="s">
        <v>71</v>
      </c>
      <c r="BS98" s="132" t="s">
        <v>71</v>
      </c>
      <c r="BT98" s="132" t="s">
        <v>71</v>
      </c>
      <c r="BU98" s="132" t="s">
        <v>60</v>
      </c>
      <c r="BV98" s="132" t="s">
        <v>71</v>
      </c>
      <c r="BW98" s="132" t="s">
        <v>60</v>
      </c>
      <c r="BX98" s="132" t="s">
        <v>71</v>
      </c>
      <c r="BY98" s="132" t="s">
        <v>60</v>
      </c>
      <c r="BZ98" s="132" t="s">
        <v>71</v>
      </c>
      <c r="CA98" s="132" t="s">
        <v>60</v>
      </c>
      <c r="CB98" s="132" t="s">
        <v>71</v>
      </c>
      <c r="CC98" s="132" t="s">
        <v>60</v>
      </c>
      <c r="CD98" s="132" t="s">
        <v>71</v>
      </c>
      <c r="CE98" s="132" t="s">
        <v>60</v>
      </c>
      <c r="CF98" s="132" t="s">
        <v>71</v>
      </c>
      <c r="CG98" s="132" t="s">
        <v>60</v>
      </c>
      <c r="CH98" s="132" t="s">
        <v>71</v>
      </c>
      <c r="CI98" s="132" t="s">
        <v>60</v>
      </c>
      <c r="CJ98" s="132" t="s">
        <v>71</v>
      </c>
      <c r="CK98" s="132" t="s">
        <v>60</v>
      </c>
      <c r="CL98" s="132" t="s">
        <v>71</v>
      </c>
      <c r="CM98" s="132" t="s">
        <v>60</v>
      </c>
      <c r="CN98" s="132" t="s">
        <v>71</v>
      </c>
      <c r="CO98" s="132" t="s">
        <v>60</v>
      </c>
      <c r="CP98" s="132" t="s">
        <v>71</v>
      </c>
      <c r="CQ98" s="132" t="s">
        <v>60</v>
      </c>
      <c r="CR98" s="132" t="s">
        <v>71</v>
      </c>
      <c r="CS98" s="132" t="s">
        <v>60</v>
      </c>
      <c r="CT98" s="132" t="s">
        <v>71</v>
      </c>
      <c r="CU98" s="132" t="s">
        <v>60</v>
      </c>
      <c r="CV98" s="132" t="s">
        <v>71</v>
      </c>
      <c r="CW98" s="132" t="s">
        <v>60</v>
      </c>
      <c r="CX98" s="132" t="s">
        <v>71</v>
      </c>
      <c r="CY98" s="132" t="s">
        <v>60</v>
      </c>
      <c r="CZ98" s="132" t="s">
        <v>71</v>
      </c>
      <c r="DA98" s="132" t="s">
        <v>60</v>
      </c>
      <c r="DB98" s="132" t="s">
        <v>71</v>
      </c>
      <c r="DC98" s="132" t="s">
        <v>60</v>
      </c>
      <c r="DD98" s="132" t="s">
        <v>71</v>
      </c>
      <c r="DE98" s="137" t="str">
        <f t="shared" si="39"/>
        <v>FETAL</v>
      </c>
      <c r="DF98" s="137">
        <f t="shared" si="41"/>
        <v>0</v>
      </c>
    </row>
    <row r="99" spans="1:110" x14ac:dyDescent="0.2">
      <c r="A99" s="160"/>
      <c r="B99" s="5">
        <f t="shared" si="42"/>
        <v>97</v>
      </c>
      <c r="C99" s="131" t="str">
        <f t="shared" si="35"/>
        <v>CNS133</v>
      </c>
      <c r="D99" s="135" t="s">
        <v>231</v>
      </c>
      <c r="E99" s="131" t="str">
        <f t="shared" si="43"/>
        <v>CNS133_CONTROL</v>
      </c>
      <c r="F99" s="131"/>
      <c r="G99" s="130">
        <f t="shared" si="40"/>
        <v>133</v>
      </c>
      <c r="H99" s="131"/>
      <c r="I99" s="131"/>
      <c r="J99" s="132" t="s">
        <v>25</v>
      </c>
      <c r="K99" s="132" t="s">
        <v>177</v>
      </c>
      <c r="L99" s="132" t="s">
        <v>301</v>
      </c>
      <c r="M99" s="131" t="s">
        <v>81</v>
      </c>
      <c r="N99" s="131" t="s">
        <v>81</v>
      </c>
      <c r="O99" s="131" t="s">
        <v>81</v>
      </c>
      <c r="P99" s="131" t="s">
        <v>311</v>
      </c>
      <c r="Q99" s="131" t="s">
        <v>81</v>
      </c>
      <c r="R99" s="131" t="s">
        <v>89</v>
      </c>
      <c r="S99" s="131" t="s">
        <v>297</v>
      </c>
      <c r="T99" s="131"/>
      <c r="U99" s="132" t="s">
        <v>81</v>
      </c>
      <c r="V99" s="132" t="s">
        <v>172</v>
      </c>
      <c r="W99" s="132"/>
      <c r="X99" s="132"/>
      <c r="Y99" s="133">
        <v>0</v>
      </c>
      <c r="Z99" s="133">
        <v>14</v>
      </c>
      <c r="AA99" s="132" t="s">
        <v>71</v>
      </c>
      <c r="AB99" s="132" t="s">
        <v>60</v>
      </c>
      <c r="AC99" s="132" t="s">
        <v>60</v>
      </c>
      <c r="AD99" s="132" t="s">
        <v>71</v>
      </c>
      <c r="AE99" s="132" t="s">
        <v>71</v>
      </c>
      <c r="AF99" s="134" t="s">
        <v>68</v>
      </c>
      <c r="AG99" s="132" t="s">
        <v>81</v>
      </c>
      <c r="AH99" s="132" t="s">
        <v>71</v>
      </c>
      <c r="AI99" s="132" t="s">
        <v>60</v>
      </c>
      <c r="AJ99" s="132" t="s">
        <v>71</v>
      </c>
      <c r="AK99" s="132" t="s">
        <v>60</v>
      </c>
      <c r="AL99" s="132" t="s">
        <v>60</v>
      </c>
      <c r="AM99" s="132" t="s">
        <v>60</v>
      </c>
      <c r="AN99" s="132" t="s">
        <v>60</v>
      </c>
      <c r="AO99" s="132" t="s">
        <v>71</v>
      </c>
      <c r="AP99" s="132" t="s">
        <v>71</v>
      </c>
      <c r="AQ99" s="132" t="s">
        <v>71</v>
      </c>
      <c r="AR99" s="132" t="s">
        <v>71</v>
      </c>
      <c r="AS99" s="132" t="s">
        <v>71</v>
      </c>
      <c r="AT99" s="132" t="s">
        <v>71</v>
      </c>
      <c r="AU99" s="132" t="s">
        <v>71</v>
      </c>
      <c r="AV99" s="132" t="s">
        <v>71</v>
      </c>
      <c r="AW99" s="132" t="s">
        <v>71</v>
      </c>
      <c r="AX99" s="132" t="s">
        <v>71</v>
      </c>
      <c r="AY99" s="132" t="s">
        <v>71</v>
      </c>
      <c r="AZ99" s="132" t="s">
        <v>71</v>
      </c>
      <c r="BA99" s="132" t="s">
        <v>71</v>
      </c>
      <c r="BB99" s="132" t="s">
        <v>71</v>
      </c>
      <c r="BC99" s="132" t="s">
        <v>71</v>
      </c>
      <c r="BD99" s="132" t="s">
        <v>71</v>
      </c>
      <c r="BE99" s="132" t="s">
        <v>71</v>
      </c>
      <c r="BF99" s="132" t="s">
        <v>71</v>
      </c>
      <c r="BG99" s="132" t="s">
        <v>71</v>
      </c>
      <c r="BH99" s="132" t="s">
        <v>71</v>
      </c>
      <c r="BI99" s="132" t="s">
        <v>71</v>
      </c>
      <c r="BJ99" s="132" t="s">
        <v>71</v>
      </c>
      <c r="BK99" s="132" t="s">
        <v>71</v>
      </c>
      <c r="BL99" s="132" t="s">
        <v>71</v>
      </c>
      <c r="BM99" s="132" t="s">
        <v>71</v>
      </c>
      <c r="BN99" s="132" t="s">
        <v>71</v>
      </c>
      <c r="BO99" s="132" t="s">
        <v>71</v>
      </c>
      <c r="BP99" s="132" t="s">
        <v>71</v>
      </c>
      <c r="BQ99" s="132" t="s">
        <v>71</v>
      </c>
      <c r="BR99" s="132" t="s">
        <v>71</v>
      </c>
      <c r="BS99" s="132" t="s">
        <v>71</v>
      </c>
      <c r="BT99" s="132" t="s">
        <v>71</v>
      </c>
      <c r="BU99" s="132" t="s">
        <v>60</v>
      </c>
      <c r="BV99" s="132" t="s">
        <v>71</v>
      </c>
      <c r="BW99" s="132" t="s">
        <v>60</v>
      </c>
      <c r="BX99" s="132" t="s">
        <v>71</v>
      </c>
      <c r="BY99" s="132" t="s">
        <v>60</v>
      </c>
      <c r="BZ99" s="132" t="s">
        <v>71</v>
      </c>
      <c r="CA99" s="132" t="s">
        <v>60</v>
      </c>
      <c r="CB99" s="132" t="s">
        <v>71</v>
      </c>
      <c r="CC99" s="132" t="s">
        <v>60</v>
      </c>
      <c r="CD99" s="132" t="s">
        <v>71</v>
      </c>
      <c r="CE99" s="132" t="s">
        <v>60</v>
      </c>
      <c r="CF99" s="132" t="s">
        <v>71</v>
      </c>
      <c r="CG99" s="132" t="s">
        <v>60</v>
      </c>
      <c r="CH99" s="132" t="s">
        <v>71</v>
      </c>
      <c r="CI99" s="132" t="s">
        <v>60</v>
      </c>
      <c r="CJ99" s="132" t="s">
        <v>71</v>
      </c>
      <c r="CK99" s="132" t="s">
        <v>60</v>
      </c>
      <c r="CL99" s="132" t="s">
        <v>71</v>
      </c>
      <c r="CM99" s="132" t="s">
        <v>60</v>
      </c>
      <c r="CN99" s="132" t="s">
        <v>71</v>
      </c>
      <c r="CO99" s="132" t="s">
        <v>60</v>
      </c>
      <c r="CP99" s="132" t="s">
        <v>71</v>
      </c>
      <c r="CQ99" s="132" t="s">
        <v>60</v>
      </c>
      <c r="CR99" s="132" t="s">
        <v>71</v>
      </c>
      <c r="CS99" s="132" t="s">
        <v>60</v>
      </c>
      <c r="CT99" s="132" t="s">
        <v>71</v>
      </c>
      <c r="CU99" s="132" t="s">
        <v>60</v>
      </c>
      <c r="CV99" s="132" t="s">
        <v>71</v>
      </c>
      <c r="CW99" s="132" t="s">
        <v>60</v>
      </c>
      <c r="CX99" s="132" t="s">
        <v>71</v>
      </c>
      <c r="CY99" s="132" t="s">
        <v>60</v>
      </c>
      <c r="CZ99" s="132" t="s">
        <v>71</v>
      </c>
      <c r="DA99" s="132" t="s">
        <v>60</v>
      </c>
      <c r="DB99" s="132" t="s">
        <v>71</v>
      </c>
      <c r="DC99" s="132" t="s">
        <v>60</v>
      </c>
      <c r="DD99" s="132" t="s">
        <v>71</v>
      </c>
      <c r="DE99" s="137" t="str">
        <f t="shared" si="39"/>
        <v>FETAL</v>
      </c>
      <c r="DF99" s="137">
        <f t="shared" si="41"/>
        <v>0</v>
      </c>
    </row>
    <row r="100" spans="1:110" x14ac:dyDescent="0.2">
      <c r="A100" s="160"/>
      <c r="B100" s="5">
        <f t="shared" si="42"/>
        <v>98</v>
      </c>
      <c r="C100" s="131" t="str">
        <f t="shared" ref="C100" si="44">CONCATENATE("CNS",G100)</f>
        <v>CNS134</v>
      </c>
      <c r="D100" s="135" t="s">
        <v>232</v>
      </c>
      <c r="E100" s="131" t="str">
        <f t="shared" si="43"/>
        <v>CNS134_CONTROL</v>
      </c>
      <c r="F100" s="131"/>
      <c r="G100" s="130">
        <f t="shared" si="40"/>
        <v>134</v>
      </c>
      <c r="H100" s="131"/>
      <c r="I100" s="131"/>
      <c r="J100" s="132" t="s">
        <v>25</v>
      </c>
      <c r="K100" s="132" t="s">
        <v>177</v>
      </c>
      <c r="L100" s="132" t="s">
        <v>301</v>
      </c>
      <c r="M100" s="131" t="s">
        <v>81</v>
      </c>
      <c r="N100" s="131" t="s">
        <v>81</v>
      </c>
      <c r="O100" s="131" t="s">
        <v>81</v>
      </c>
      <c r="P100" s="131" t="s">
        <v>311</v>
      </c>
      <c r="Q100" s="131" t="s">
        <v>81</v>
      </c>
      <c r="R100" s="131" t="s">
        <v>89</v>
      </c>
      <c r="S100" s="131" t="s">
        <v>297</v>
      </c>
      <c r="T100" s="131"/>
      <c r="U100" s="132" t="s">
        <v>81</v>
      </c>
      <c r="V100" s="132" t="s">
        <v>172</v>
      </c>
      <c r="W100" s="132"/>
      <c r="X100" s="132"/>
      <c r="Y100" s="133">
        <v>0</v>
      </c>
      <c r="Z100" s="133">
        <v>14</v>
      </c>
      <c r="AA100" s="132" t="s">
        <v>71</v>
      </c>
      <c r="AB100" s="132" t="s">
        <v>60</v>
      </c>
      <c r="AC100" s="132" t="s">
        <v>60</v>
      </c>
      <c r="AD100" s="132" t="s">
        <v>71</v>
      </c>
      <c r="AE100" s="132" t="s">
        <v>71</v>
      </c>
      <c r="AF100" s="134" t="s">
        <v>68</v>
      </c>
      <c r="AG100" s="132" t="s">
        <v>81</v>
      </c>
      <c r="AH100" s="132" t="s">
        <v>71</v>
      </c>
      <c r="AI100" s="132" t="s">
        <v>60</v>
      </c>
      <c r="AJ100" s="132" t="s">
        <v>71</v>
      </c>
      <c r="AK100" s="132" t="s">
        <v>60</v>
      </c>
      <c r="AL100" s="132" t="s">
        <v>60</v>
      </c>
      <c r="AM100" s="132" t="s">
        <v>60</v>
      </c>
      <c r="AN100" s="132" t="s">
        <v>60</v>
      </c>
      <c r="AO100" s="132" t="s">
        <v>71</v>
      </c>
      <c r="AP100" s="132" t="s">
        <v>71</v>
      </c>
      <c r="AQ100" s="132" t="s">
        <v>71</v>
      </c>
      <c r="AR100" s="132" t="s">
        <v>71</v>
      </c>
      <c r="AS100" s="132" t="s">
        <v>71</v>
      </c>
      <c r="AT100" s="132" t="s">
        <v>71</v>
      </c>
      <c r="AU100" s="132" t="s">
        <v>71</v>
      </c>
      <c r="AV100" s="132" t="s">
        <v>71</v>
      </c>
      <c r="AW100" s="132" t="s">
        <v>71</v>
      </c>
      <c r="AX100" s="132" t="s">
        <v>71</v>
      </c>
      <c r="AY100" s="132" t="s">
        <v>71</v>
      </c>
      <c r="AZ100" s="132" t="s">
        <v>71</v>
      </c>
      <c r="BA100" s="132" t="s">
        <v>71</v>
      </c>
      <c r="BB100" s="132" t="s">
        <v>71</v>
      </c>
      <c r="BC100" s="132" t="s">
        <v>71</v>
      </c>
      <c r="BD100" s="132" t="s">
        <v>71</v>
      </c>
      <c r="BE100" s="132" t="s">
        <v>71</v>
      </c>
      <c r="BF100" s="132" t="s">
        <v>71</v>
      </c>
      <c r="BG100" s="132" t="s">
        <v>71</v>
      </c>
      <c r="BH100" s="132" t="s">
        <v>71</v>
      </c>
      <c r="BI100" s="132" t="s">
        <v>71</v>
      </c>
      <c r="BJ100" s="132" t="s">
        <v>71</v>
      </c>
      <c r="BK100" s="132" t="s">
        <v>71</v>
      </c>
      <c r="BL100" s="132" t="s">
        <v>71</v>
      </c>
      <c r="BM100" s="132" t="s">
        <v>71</v>
      </c>
      <c r="BN100" s="132" t="s">
        <v>71</v>
      </c>
      <c r="BO100" s="132" t="s">
        <v>71</v>
      </c>
      <c r="BP100" s="132" t="s">
        <v>71</v>
      </c>
      <c r="BQ100" s="132" t="s">
        <v>71</v>
      </c>
      <c r="BR100" s="132" t="s">
        <v>71</v>
      </c>
      <c r="BS100" s="132" t="s">
        <v>71</v>
      </c>
      <c r="BT100" s="132" t="s">
        <v>71</v>
      </c>
      <c r="BU100" s="132" t="s">
        <v>60</v>
      </c>
      <c r="BV100" s="132" t="s">
        <v>71</v>
      </c>
      <c r="BW100" s="132" t="s">
        <v>60</v>
      </c>
      <c r="BX100" s="132" t="s">
        <v>71</v>
      </c>
      <c r="BY100" s="132" t="s">
        <v>60</v>
      </c>
      <c r="BZ100" s="132" t="s">
        <v>71</v>
      </c>
      <c r="CA100" s="132" t="s">
        <v>60</v>
      </c>
      <c r="CB100" s="132" t="s">
        <v>71</v>
      </c>
      <c r="CC100" s="132" t="s">
        <v>60</v>
      </c>
      <c r="CD100" s="132" t="s">
        <v>71</v>
      </c>
      <c r="CE100" s="132" t="s">
        <v>60</v>
      </c>
      <c r="CF100" s="132" t="s">
        <v>71</v>
      </c>
      <c r="CG100" s="132" t="s">
        <v>60</v>
      </c>
      <c r="CH100" s="132" t="s">
        <v>71</v>
      </c>
      <c r="CI100" s="132" t="s">
        <v>60</v>
      </c>
      <c r="CJ100" s="132" t="s">
        <v>71</v>
      </c>
      <c r="CK100" s="132" t="s">
        <v>60</v>
      </c>
      <c r="CL100" s="132" t="s">
        <v>71</v>
      </c>
      <c r="CM100" s="132" t="s">
        <v>60</v>
      </c>
      <c r="CN100" s="132" t="s">
        <v>71</v>
      </c>
      <c r="CO100" s="132" t="s">
        <v>60</v>
      </c>
      <c r="CP100" s="132" t="s">
        <v>71</v>
      </c>
      <c r="CQ100" s="132" t="s">
        <v>60</v>
      </c>
      <c r="CR100" s="132" t="s">
        <v>71</v>
      </c>
      <c r="CS100" s="132" t="s">
        <v>60</v>
      </c>
      <c r="CT100" s="132" t="s">
        <v>71</v>
      </c>
      <c r="CU100" s="132" t="s">
        <v>60</v>
      </c>
      <c r="CV100" s="132" t="s">
        <v>71</v>
      </c>
      <c r="CW100" s="132" t="s">
        <v>60</v>
      </c>
      <c r="CX100" s="132" t="s">
        <v>71</v>
      </c>
      <c r="CY100" s="132" t="s">
        <v>60</v>
      </c>
      <c r="CZ100" s="132" t="s">
        <v>71</v>
      </c>
      <c r="DA100" s="132" t="s">
        <v>60</v>
      </c>
      <c r="DB100" s="132" t="s">
        <v>71</v>
      </c>
      <c r="DC100" s="132" t="s">
        <v>60</v>
      </c>
      <c r="DD100" s="132" t="s">
        <v>71</v>
      </c>
      <c r="DE100" s="137" t="str">
        <f t="shared" si="39"/>
        <v>FETAL</v>
      </c>
      <c r="DF100" s="137">
        <f t="shared" si="41"/>
        <v>0</v>
      </c>
    </row>
    <row r="101" spans="1:110" x14ac:dyDescent="0.2">
      <c r="A101" s="160"/>
      <c r="B101" s="5">
        <f t="shared" si="42"/>
        <v>99</v>
      </c>
      <c r="C101" s="131" t="str">
        <f t="shared" ref="C101:C120" si="45">CONCATENATE("CNS",G101)</f>
        <v>CNS135</v>
      </c>
      <c r="D101" s="135" t="s">
        <v>233</v>
      </c>
      <c r="E101" s="131" t="str">
        <f t="shared" si="43"/>
        <v>CNS135_CONTROL</v>
      </c>
      <c r="F101" s="131"/>
      <c r="G101" s="130">
        <f t="shared" si="40"/>
        <v>135</v>
      </c>
      <c r="H101" s="131"/>
      <c r="I101" s="131"/>
      <c r="J101" s="132" t="s">
        <v>25</v>
      </c>
      <c r="K101" s="132" t="s">
        <v>177</v>
      </c>
      <c r="L101" s="132" t="s">
        <v>301</v>
      </c>
      <c r="M101" s="131" t="s">
        <v>81</v>
      </c>
      <c r="N101" s="131" t="s">
        <v>81</v>
      </c>
      <c r="O101" s="131" t="s">
        <v>81</v>
      </c>
      <c r="P101" s="131" t="s">
        <v>311</v>
      </c>
      <c r="Q101" s="131" t="s">
        <v>81</v>
      </c>
      <c r="R101" s="131" t="s">
        <v>89</v>
      </c>
      <c r="S101" s="131" t="s">
        <v>297</v>
      </c>
      <c r="T101" s="131"/>
      <c r="U101" s="132" t="s">
        <v>81</v>
      </c>
      <c r="V101" s="132" t="s">
        <v>172</v>
      </c>
      <c r="W101" s="132"/>
      <c r="X101" s="132"/>
      <c r="Y101" s="133">
        <v>0</v>
      </c>
      <c r="Z101" s="133">
        <v>18</v>
      </c>
      <c r="AA101" s="132" t="s">
        <v>71</v>
      </c>
      <c r="AB101" s="132" t="s">
        <v>60</v>
      </c>
      <c r="AC101" s="132" t="s">
        <v>60</v>
      </c>
      <c r="AD101" s="132" t="s">
        <v>71</v>
      </c>
      <c r="AE101" s="132" t="s">
        <v>71</v>
      </c>
      <c r="AF101" s="134" t="s">
        <v>68</v>
      </c>
      <c r="AG101" s="132" t="s">
        <v>81</v>
      </c>
      <c r="AH101" s="132" t="s">
        <v>71</v>
      </c>
      <c r="AI101" s="132" t="s">
        <v>60</v>
      </c>
      <c r="AJ101" s="132" t="s">
        <v>71</v>
      </c>
      <c r="AK101" s="132" t="s">
        <v>60</v>
      </c>
      <c r="AL101" s="132" t="s">
        <v>60</v>
      </c>
      <c r="AM101" s="132" t="s">
        <v>60</v>
      </c>
      <c r="AN101" s="132" t="s">
        <v>60</v>
      </c>
      <c r="AO101" s="132" t="s">
        <v>71</v>
      </c>
      <c r="AP101" s="132" t="s">
        <v>71</v>
      </c>
      <c r="AQ101" s="132" t="s">
        <v>71</v>
      </c>
      <c r="AR101" s="132" t="s">
        <v>71</v>
      </c>
      <c r="AS101" s="132" t="s">
        <v>71</v>
      </c>
      <c r="AT101" s="132" t="s">
        <v>71</v>
      </c>
      <c r="AU101" s="132" t="s">
        <v>71</v>
      </c>
      <c r="AV101" s="132" t="s">
        <v>71</v>
      </c>
      <c r="AW101" s="132" t="s">
        <v>71</v>
      </c>
      <c r="AX101" s="132" t="s">
        <v>71</v>
      </c>
      <c r="AY101" s="132" t="s">
        <v>71</v>
      </c>
      <c r="AZ101" s="132" t="s">
        <v>71</v>
      </c>
      <c r="BA101" s="132" t="s">
        <v>71</v>
      </c>
      <c r="BB101" s="132" t="s">
        <v>71</v>
      </c>
      <c r="BC101" s="132" t="s">
        <v>71</v>
      </c>
      <c r="BD101" s="132" t="s">
        <v>71</v>
      </c>
      <c r="BE101" s="132" t="s">
        <v>71</v>
      </c>
      <c r="BF101" s="132" t="s">
        <v>71</v>
      </c>
      <c r="BG101" s="132" t="s">
        <v>71</v>
      </c>
      <c r="BH101" s="132" t="s">
        <v>71</v>
      </c>
      <c r="BI101" s="132" t="s">
        <v>71</v>
      </c>
      <c r="BJ101" s="132" t="s">
        <v>71</v>
      </c>
      <c r="BK101" s="132" t="s">
        <v>71</v>
      </c>
      <c r="BL101" s="132" t="s">
        <v>71</v>
      </c>
      <c r="BM101" s="132" t="s">
        <v>71</v>
      </c>
      <c r="BN101" s="132" t="s">
        <v>71</v>
      </c>
      <c r="BO101" s="132" t="s">
        <v>71</v>
      </c>
      <c r="BP101" s="132" t="s">
        <v>71</v>
      </c>
      <c r="BQ101" s="132" t="s">
        <v>71</v>
      </c>
      <c r="BR101" s="132" t="s">
        <v>71</v>
      </c>
      <c r="BS101" s="132" t="s">
        <v>71</v>
      </c>
      <c r="BT101" s="132" t="s">
        <v>71</v>
      </c>
      <c r="BU101" s="132" t="s">
        <v>60</v>
      </c>
      <c r="BV101" s="132" t="s">
        <v>71</v>
      </c>
      <c r="BW101" s="132" t="s">
        <v>60</v>
      </c>
      <c r="BX101" s="132" t="s">
        <v>71</v>
      </c>
      <c r="BY101" s="132" t="s">
        <v>60</v>
      </c>
      <c r="BZ101" s="132" t="s">
        <v>71</v>
      </c>
      <c r="CA101" s="132" t="s">
        <v>60</v>
      </c>
      <c r="CB101" s="132" t="s">
        <v>71</v>
      </c>
      <c r="CC101" s="132" t="s">
        <v>60</v>
      </c>
      <c r="CD101" s="132" t="s">
        <v>71</v>
      </c>
      <c r="CE101" s="132" t="s">
        <v>60</v>
      </c>
      <c r="CF101" s="132" t="s">
        <v>71</v>
      </c>
      <c r="CG101" s="132" t="s">
        <v>60</v>
      </c>
      <c r="CH101" s="132" t="s">
        <v>71</v>
      </c>
      <c r="CI101" s="132" t="s">
        <v>60</v>
      </c>
      <c r="CJ101" s="132" t="s">
        <v>71</v>
      </c>
      <c r="CK101" s="132" t="s">
        <v>60</v>
      </c>
      <c r="CL101" s="132" t="s">
        <v>71</v>
      </c>
      <c r="CM101" s="132" t="s">
        <v>60</v>
      </c>
      <c r="CN101" s="132" t="s">
        <v>71</v>
      </c>
      <c r="CO101" s="132" t="s">
        <v>60</v>
      </c>
      <c r="CP101" s="132" t="s">
        <v>71</v>
      </c>
      <c r="CQ101" s="132" t="s">
        <v>60</v>
      </c>
      <c r="CR101" s="132" t="s">
        <v>71</v>
      </c>
      <c r="CS101" s="132" t="s">
        <v>60</v>
      </c>
      <c r="CT101" s="132" t="s">
        <v>71</v>
      </c>
      <c r="CU101" s="132" t="s">
        <v>60</v>
      </c>
      <c r="CV101" s="132" t="s">
        <v>71</v>
      </c>
      <c r="CW101" s="132" t="s">
        <v>60</v>
      </c>
      <c r="CX101" s="132" t="s">
        <v>71</v>
      </c>
      <c r="CY101" s="132" t="s">
        <v>60</v>
      </c>
      <c r="CZ101" s="132" t="s">
        <v>71</v>
      </c>
      <c r="DA101" s="132" t="s">
        <v>60</v>
      </c>
      <c r="DB101" s="132" t="s">
        <v>71</v>
      </c>
      <c r="DC101" s="132" t="s">
        <v>60</v>
      </c>
      <c r="DD101" s="132" t="s">
        <v>71</v>
      </c>
      <c r="DE101" s="137" t="str">
        <f t="shared" si="39"/>
        <v>FETAL</v>
      </c>
      <c r="DF101" s="137">
        <f t="shared" si="41"/>
        <v>0</v>
      </c>
    </row>
    <row r="102" spans="1:110" x14ac:dyDescent="0.2">
      <c r="A102" s="160"/>
      <c r="B102" s="5">
        <f t="shared" si="42"/>
        <v>100</v>
      </c>
      <c r="C102" s="131" t="str">
        <f t="shared" si="45"/>
        <v>CNS136</v>
      </c>
      <c r="D102" s="135" t="s">
        <v>234</v>
      </c>
      <c r="E102" s="131" t="str">
        <f t="shared" si="43"/>
        <v>CNS136_CONTROL</v>
      </c>
      <c r="F102" s="131"/>
      <c r="G102" s="130">
        <f t="shared" si="40"/>
        <v>136</v>
      </c>
      <c r="H102" s="131"/>
      <c r="I102" s="131"/>
      <c r="J102" s="132" t="s">
        <v>25</v>
      </c>
      <c r="K102" s="132" t="s">
        <v>177</v>
      </c>
      <c r="L102" s="132" t="s">
        <v>301</v>
      </c>
      <c r="M102" s="131" t="s">
        <v>81</v>
      </c>
      <c r="N102" s="131" t="s">
        <v>81</v>
      </c>
      <c r="O102" s="131" t="s">
        <v>81</v>
      </c>
      <c r="P102" s="131" t="s">
        <v>311</v>
      </c>
      <c r="Q102" s="131" t="s">
        <v>81</v>
      </c>
      <c r="R102" s="131" t="s">
        <v>89</v>
      </c>
      <c r="S102" s="131" t="s">
        <v>297</v>
      </c>
      <c r="T102" s="131"/>
      <c r="U102" s="132" t="s">
        <v>81</v>
      </c>
      <c r="V102" s="132" t="s">
        <v>172</v>
      </c>
      <c r="W102" s="132"/>
      <c r="X102" s="132"/>
      <c r="Y102" s="133">
        <v>0</v>
      </c>
      <c r="Z102" s="133">
        <v>18</v>
      </c>
      <c r="AA102" s="132" t="s">
        <v>71</v>
      </c>
      <c r="AB102" s="132" t="s">
        <v>60</v>
      </c>
      <c r="AC102" s="132" t="s">
        <v>60</v>
      </c>
      <c r="AD102" s="132" t="s">
        <v>71</v>
      </c>
      <c r="AE102" s="132" t="s">
        <v>71</v>
      </c>
      <c r="AF102" s="134" t="s">
        <v>68</v>
      </c>
      <c r="AG102" s="132" t="s">
        <v>81</v>
      </c>
      <c r="AH102" s="132" t="s">
        <v>71</v>
      </c>
      <c r="AI102" s="132" t="s">
        <v>60</v>
      </c>
      <c r="AJ102" s="132" t="s">
        <v>71</v>
      </c>
      <c r="AK102" s="132" t="s">
        <v>60</v>
      </c>
      <c r="AL102" s="132" t="s">
        <v>60</v>
      </c>
      <c r="AM102" s="132" t="s">
        <v>60</v>
      </c>
      <c r="AN102" s="132" t="s">
        <v>60</v>
      </c>
      <c r="AO102" s="132" t="s">
        <v>71</v>
      </c>
      <c r="AP102" s="132" t="s">
        <v>71</v>
      </c>
      <c r="AQ102" s="132" t="s">
        <v>71</v>
      </c>
      <c r="AR102" s="132" t="s">
        <v>71</v>
      </c>
      <c r="AS102" s="132" t="s">
        <v>71</v>
      </c>
      <c r="AT102" s="132" t="s">
        <v>71</v>
      </c>
      <c r="AU102" s="132" t="s">
        <v>71</v>
      </c>
      <c r="AV102" s="132" t="s">
        <v>71</v>
      </c>
      <c r="AW102" s="132" t="s">
        <v>71</v>
      </c>
      <c r="AX102" s="132" t="s">
        <v>71</v>
      </c>
      <c r="AY102" s="132" t="s">
        <v>71</v>
      </c>
      <c r="AZ102" s="132" t="s">
        <v>71</v>
      </c>
      <c r="BA102" s="132" t="s">
        <v>71</v>
      </c>
      <c r="BB102" s="132" t="s">
        <v>71</v>
      </c>
      <c r="BC102" s="132" t="s">
        <v>71</v>
      </c>
      <c r="BD102" s="132" t="s">
        <v>71</v>
      </c>
      <c r="BE102" s="132" t="s">
        <v>71</v>
      </c>
      <c r="BF102" s="132" t="s">
        <v>71</v>
      </c>
      <c r="BG102" s="132" t="s">
        <v>71</v>
      </c>
      <c r="BH102" s="132" t="s">
        <v>71</v>
      </c>
      <c r="BI102" s="132" t="s">
        <v>71</v>
      </c>
      <c r="BJ102" s="132" t="s">
        <v>71</v>
      </c>
      <c r="BK102" s="132" t="s">
        <v>71</v>
      </c>
      <c r="BL102" s="132" t="s">
        <v>71</v>
      </c>
      <c r="BM102" s="132" t="s">
        <v>71</v>
      </c>
      <c r="BN102" s="132" t="s">
        <v>71</v>
      </c>
      <c r="BO102" s="132" t="s">
        <v>71</v>
      </c>
      <c r="BP102" s="132" t="s">
        <v>71</v>
      </c>
      <c r="BQ102" s="132" t="s">
        <v>71</v>
      </c>
      <c r="BR102" s="132" t="s">
        <v>71</v>
      </c>
      <c r="BS102" s="132" t="s">
        <v>71</v>
      </c>
      <c r="BT102" s="132" t="s">
        <v>71</v>
      </c>
      <c r="BU102" s="132" t="s">
        <v>60</v>
      </c>
      <c r="BV102" s="132" t="s">
        <v>71</v>
      </c>
      <c r="BW102" s="132" t="s">
        <v>60</v>
      </c>
      <c r="BX102" s="132" t="s">
        <v>71</v>
      </c>
      <c r="BY102" s="132" t="s">
        <v>60</v>
      </c>
      <c r="BZ102" s="132" t="s">
        <v>71</v>
      </c>
      <c r="CA102" s="132" t="s">
        <v>60</v>
      </c>
      <c r="CB102" s="132" t="s">
        <v>71</v>
      </c>
      <c r="CC102" s="132" t="s">
        <v>60</v>
      </c>
      <c r="CD102" s="132" t="s">
        <v>71</v>
      </c>
      <c r="CE102" s="132" t="s">
        <v>60</v>
      </c>
      <c r="CF102" s="132" t="s">
        <v>71</v>
      </c>
      <c r="CG102" s="132" t="s">
        <v>60</v>
      </c>
      <c r="CH102" s="132" t="s">
        <v>71</v>
      </c>
      <c r="CI102" s="132" t="s">
        <v>60</v>
      </c>
      <c r="CJ102" s="132" t="s">
        <v>71</v>
      </c>
      <c r="CK102" s="132" t="s">
        <v>60</v>
      </c>
      <c r="CL102" s="132" t="s">
        <v>71</v>
      </c>
      <c r="CM102" s="132" t="s">
        <v>60</v>
      </c>
      <c r="CN102" s="132" t="s">
        <v>71</v>
      </c>
      <c r="CO102" s="132" t="s">
        <v>60</v>
      </c>
      <c r="CP102" s="132" t="s">
        <v>71</v>
      </c>
      <c r="CQ102" s="132" t="s">
        <v>60</v>
      </c>
      <c r="CR102" s="132" t="s">
        <v>71</v>
      </c>
      <c r="CS102" s="132" t="s">
        <v>60</v>
      </c>
      <c r="CT102" s="132" t="s">
        <v>71</v>
      </c>
      <c r="CU102" s="132" t="s">
        <v>60</v>
      </c>
      <c r="CV102" s="132" t="s">
        <v>71</v>
      </c>
      <c r="CW102" s="132" t="s">
        <v>60</v>
      </c>
      <c r="CX102" s="132" t="s">
        <v>71</v>
      </c>
      <c r="CY102" s="132" t="s">
        <v>60</v>
      </c>
      <c r="CZ102" s="132" t="s">
        <v>71</v>
      </c>
      <c r="DA102" s="132" t="s">
        <v>60</v>
      </c>
      <c r="DB102" s="132" t="s">
        <v>71</v>
      </c>
      <c r="DC102" s="132" t="s">
        <v>60</v>
      </c>
      <c r="DD102" s="132" t="s">
        <v>71</v>
      </c>
      <c r="DE102" s="137" t="str">
        <f t="shared" si="39"/>
        <v>FETAL</v>
      </c>
      <c r="DF102" s="137">
        <f t="shared" si="41"/>
        <v>0</v>
      </c>
    </row>
    <row r="103" spans="1:110" x14ac:dyDescent="0.2">
      <c r="A103" s="160"/>
      <c r="B103" s="5">
        <f t="shared" si="42"/>
        <v>101</v>
      </c>
      <c r="C103" s="131" t="str">
        <f t="shared" si="45"/>
        <v>CNS137</v>
      </c>
      <c r="D103" s="135" t="s">
        <v>235</v>
      </c>
      <c r="E103" s="131" t="str">
        <f t="shared" si="43"/>
        <v>CNS137_CONTROL</v>
      </c>
      <c r="F103" s="131"/>
      <c r="G103" s="130">
        <f t="shared" si="40"/>
        <v>137</v>
      </c>
      <c r="H103" s="131"/>
      <c r="I103" s="131"/>
      <c r="J103" s="132" t="s">
        <v>25</v>
      </c>
      <c r="K103" s="132" t="s">
        <v>177</v>
      </c>
      <c r="L103" s="132" t="s">
        <v>301</v>
      </c>
      <c r="M103" s="131" t="s">
        <v>81</v>
      </c>
      <c r="N103" s="131" t="s">
        <v>81</v>
      </c>
      <c r="O103" s="131" t="s">
        <v>81</v>
      </c>
      <c r="P103" s="131" t="s">
        <v>311</v>
      </c>
      <c r="Q103" s="131" t="s">
        <v>81</v>
      </c>
      <c r="R103" s="131" t="s">
        <v>89</v>
      </c>
      <c r="S103" s="131" t="s">
        <v>297</v>
      </c>
      <c r="T103" s="131"/>
      <c r="U103" s="132" t="s">
        <v>81</v>
      </c>
      <c r="V103" s="132" t="s">
        <v>172</v>
      </c>
      <c r="W103" s="132"/>
      <c r="X103" s="132"/>
      <c r="Y103" s="133">
        <v>0</v>
      </c>
      <c r="Z103" s="133">
        <v>19</v>
      </c>
      <c r="AA103" s="132" t="s">
        <v>71</v>
      </c>
      <c r="AB103" s="132" t="s">
        <v>60</v>
      </c>
      <c r="AC103" s="132" t="s">
        <v>60</v>
      </c>
      <c r="AD103" s="132" t="s">
        <v>71</v>
      </c>
      <c r="AE103" s="132" t="s">
        <v>71</v>
      </c>
      <c r="AF103" s="134" t="s">
        <v>68</v>
      </c>
      <c r="AG103" s="132" t="s">
        <v>81</v>
      </c>
      <c r="AH103" s="132" t="s">
        <v>71</v>
      </c>
      <c r="AI103" s="132" t="s">
        <v>60</v>
      </c>
      <c r="AJ103" s="132" t="s">
        <v>71</v>
      </c>
      <c r="AK103" s="132" t="s">
        <v>60</v>
      </c>
      <c r="AL103" s="132" t="s">
        <v>60</v>
      </c>
      <c r="AM103" s="132" t="s">
        <v>60</v>
      </c>
      <c r="AN103" s="132" t="s">
        <v>60</v>
      </c>
      <c r="AO103" s="132" t="s">
        <v>71</v>
      </c>
      <c r="AP103" s="132" t="s">
        <v>71</v>
      </c>
      <c r="AQ103" s="132" t="s">
        <v>71</v>
      </c>
      <c r="AR103" s="132" t="s">
        <v>71</v>
      </c>
      <c r="AS103" s="132" t="s">
        <v>71</v>
      </c>
      <c r="AT103" s="132" t="s">
        <v>71</v>
      </c>
      <c r="AU103" s="132" t="s">
        <v>71</v>
      </c>
      <c r="AV103" s="132" t="s">
        <v>71</v>
      </c>
      <c r="AW103" s="132" t="s">
        <v>71</v>
      </c>
      <c r="AX103" s="132" t="s">
        <v>71</v>
      </c>
      <c r="AY103" s="132" t="s">
        <v>71</v>
      </c>
      <c r="AZ103" s="132" t="s">
        <v>71</v>
      </c>
      <c r="BA103" s="132" t="s">
        <v>71</v>
      </c>
      <c r="BB103" s="132" t="s">
        <v>71</v>
      </c>
      <c r="BC103" s="132" t="s">
        <v>71</v>
      </c>
      <c r="BD103" s="132" t="s">
        <v>71</v>
      </c>
      <c r="BE103" s="132" t="s">
        <v>71</v>
      </c>
      <c r="BF103" s="132" t="s">
        <v>71</v>
      </c>
      <c r="BG103" s="132" t="s">
        <v>71</v>
      </c>
      <c r="BH103" s="132" t="s">
        <v>71</v>
      </c>
      <c r="BI103" s="132" t="s">
        <v>71</v>
      </c>
      <c r="BJ103" s="132" t="s">
        <v>71</v>
      </c>
      <c r="BK103" s="132" t="s">
        <v>71</v>
      </c>
      <c r="BL103" s="132" t="s">
        <v>71</v>
      </c>
      <c r="BM103" s="132" t="s">
        <v>71</v>
      </c>
      <c r="BN103" s="132" t="s">
        <v>71</v>
      </c>
      <c r="BO103" s="132" t="s">
        <v>71</v>
      </c>
      <c r="BP103" s="132" t="s">
        <v>71</v>
      </c>
      <c r="BQ103" s="132" t="s">
        <v>71</v>
      </c>
      <c r="BR103" s="132" t="s">
        <v>71</v>
      </c>
      <c r="BS103" s="132" t="s">
        <v>71</v>
      </c>
      <c r="BT103" s="132" t="s">
        <v>71</v>
      </c>
      <c r="BU103" s="132" t="s">
        <v>60</v>
      </c>
      <c r="BV103" s="132" t="s">
        <v>71</v>
      </c>
      <c r="BW103" s="132" t="s">
        <v>60</v>
      </c>
      <c r="BX103" s="132" t="s">
        <v>71</v>
      </c>
      <c r="BY103" s="132" t="s">
        <v>60</v>
      </c>
      <c r="BZ103" s="132" t="s">
        <v>71</v>
      </c>
      <c r="CA103" s="132" t="s">
        <v>60</v>
      </c>
      <c r="CB103" s="132" t="s">
        <v>71</v>
      </c>
      <c r="CC103" s="132" t="s">
        <v>60</v>
      </c>
      <c r="CD103" s="132" t="s">
        <v>71</v>
      </c>
      <c r="CE103" s="132" t="s">
        <v>60</v>
      </c>
      <c r="CF103" s="132" t="s">
        <v>71</v>
      </c>
      <c r="CG103" s="132" t="s">
        <v>60</v>
      </c>
      <c r="CH103" s="132" t="s">
        <v>71</v>
      </c>
      <c r="CI103" s="132" t="s">
        <v>60</v>
      </c>
      <c r="CJ103" s="132" t="s">
        <v>71</v>
      </c>
      <c r="CK103" s="132" t="s">
        <v>60</v>
      </c>
      <c r="CL103" s="132" t="s">
        <v>71</v>
      </c>
      <c r="CM103" s="132" t="s">
        <v>60</v>
      </c>
      <c r="CN103" s="132" t="s">
        <v>71</v>
      </c>
      <c r="CO103" s="132" t="s">
        <v>60</v>
      </c>
      <c r="CP103" s="132" t="s">
        <v>71</v>
      </c>
      <c r="CQ103" s="132" t="s">
        <v>60</v>
      </c>
      <c r="CR103" s="132" t="s">
        <v>71</v>
      </c>
      <c r="CS103" s="132" t="s">
        <v>60</v>
      </c>
      <c r="CT103" s="132" t="s">
        <v>71</v>
      </c>
      <c r="CU103" s="132" t="s">
        <v>60</v>
      </c>
      <c r="CV103" s="132" t="s">
        <v>71</v>
      </c>
      <c r="CW103" s="132" t="s">
        <v>60</v>
      </c>
      <c r="CX103" s="132" t="s">
        <v>71</v>
      </c>
      <c r="CY103" s="132" t="s">
        <v>60</v>
      </c>
      <c r="CZ103" s="132" t="s">
        <v>71</v>
      </c>
      <c r="DA103" s="132" t="s">
        <v>60</v>
      </c>
      <c r="DB103" s="132" t="s">
        <v>71</v>
      </c>
      <c r="DC103" s="132" t="s">
        <v>60</v>
      </c>
      <c r="DD103" s="132" t="s">
        <v>71</v>
      </c>
      <c r="DE103" s="137" t="str">
        <f t="shared" si="39"/>
        <v>FETAL</v>
      </c>
      <c r="DF103" s="137">
        <f t="shared" si="41"/>
        <v>0</v>
      </c>
    </row>
    <row r="104" spans="1:110" x14ac:dyDescent="0.2">
      <c r="A104" s="160"/>
      <c r="B104" s="5">
        <f t="shared" si="42"/>
        <v>102</v>
      </c>
      <c r="C104" s="131" t="str">
        <f t="shared" si="45"/>
        <v>CNS138</v>
      </c>
      <c r="D104" s="135" t="s">
        <v>236</v>
      </c>
      <c r="E104" s="131" t="str">
        <f t="shared" si="43"/>
        <v>CNS138_CONTROL</v>
      </c>
      <c r="F104" s="131"/>
      <c r="G104" s="130">
        <f t="shared" si="40"/>
        <v>138</v>
      </c>
      <c r="H104" s="131"/>
      <c r="I104" s="131"/>
      <c r="J104" s="132" t="s">
        <v>24</v>
      </c>
      <c r="K104" s="132" t="s">
        <v>177</v>
      </c>
      <c r="L104" s="132" t="s">
        <v>301</v>
      </c>
      <c r="M104" s="131" t="s">
        <v>81</v>
      </c>
      <c r="N104" s="131" t="s">
        <v>81</v>
      </c>
      <c r="O104" s="131" t="s">
        <v>81</v>
      </c>
      <c r="P104" s="131" t="s">
        <v>311</v>
      </c>
      <c r="Q104" s="131" t="s">
        <v>81</v>
      </c>
      <c r="R104" s="131" t="s">
        <v>89</v>
      </c>
      <c r="S104" s="131" t="s">
        <v>297</v>
      </c>
      <c r="T104" s="131"/>
      <c r="U104" s="132" t="s">
        <v>81</v>
      </c>
      <c r="V104" s="132" t="s">
        <v>172</v>
      </c>
      <c r="W104" s="132"/>
      <c r="X104" s="132"/>
      <c r="Y104" s="133">
        <v>0</v>
      </c>
      <c r="Z104" s="133">
        <v>14</v>
      </c>
      <c r="AA104" s="132" t="s">
        <v>71</v>
      </c>
      <c r="AB104" s="132" t="s">
        <v>60</v>
      </c>
      <c r="AC104" s="132" t="s">
        <v>60</v>
      </c>
      <c r="AD104" s="132" t="s">
        <v>71</v>
      </c>
      <c r="AE104" s="132" t="s">
        <v>71</v>
      </c>
      <c r="AF104" s="134" t="s">
        <v>68</v>
      </c>
      <c r="AG104" s="132" t="s">
        <v>81</v>
      </c>
      <c r="AH104" s="132" t="s">
        <v>71</v>
      </c>
      <c r="AI104" s="132" t="s">
        <v>60</v>
      </c>
      <c r="AJ104" s="132" t="s">
        <v>71</v>
      </c>
      <c r="AK104" s="132" t="s">
        <v>60</v>
      </c>
      <c r="AL104" s="132" t="s">
        <v>60</v>
      </c>
      <c r="AM104" s="132" t="s">
        <v>60</v>
      </c>
      <c r="AN104" s="132" t="s">
        <v>60</v>
      </c>
      <c r="AO104" s="132" t="s">
        <v>71</v>
      </c>
      <c r="AP104" s="132" t="s">
        <v>71</v>
      </c>
      <c r="AQ104" s="132" t="s">
        <v>71</v>
      </c>
      <c r="AR104" s="132" t="s">
        <v>71</v>
      </c>
      <c r="AS104" s="132" t="s">
        <v>71</v>
      </c>
      <c r="AT104" s="132" t="s">
        <v>71</v>
      </c>
      <c r="AU104" s="132" t="s">
        <v>71</v>
      </c>
      <c r="AV104" s="132" t="s">
        <v>71</v>
      </c>
      <c r="AW104" s="132" t="s">
        <v>71</v>
      </c>
      <c r="AX104" s="132" t="s">
        <v>71</v>
      </c>
      <c r="AY104" s="132" t="s">
        <v>71</v>
      </c>
      <c r="AZ104" s="132" t="s">
        <v>71</v>
      </c>
      <c r="BA104" s="132" t="s">
        <v>71</v>
      </c>
      <c r="BB104" s="132" t="s">
        <v>71</v>
      </c>
      <c r="BC104" s="132" t="s">
        <v>71</v>
      </c>
      <c r="BD104" s="132" t="s">
        <v>71</v>
      </c>
      <c r="BE104" s="132" t="s">
        <v>71</v>
      </c>
      <c r="BF104" s="132" t="s">
        <v>71</v>
      </c>
      <c r="BG104" s="132" t="s">
        <v>71</v>
      </c>
      <c r="BH104" s="132" t="s">
        <v>71</v>
      </c>
      <c r="BI104" s="132" t="s">
        <v>71</v>
      </c>
      <c r="BJ104" s="132" t="s">
        <v>71</v>
      </c>
      <c r="BK104" s="132" t="s">
        <v>71</v>
      </c>
      <c r="BL104" s="132" t="s">
        <v>71</v>
      </c>
      <c r="BM104" s="132" t="s">
        <v>71</v>
      </c>
      <c r="BN104" s="132" t="s">
        <v>71</v>
      </c>
      <c r="BO104" s="132" t="s">
        <v>71</v>
      </c>
      <c r="BP104" s="132" t="s">
        <v>71</v>
      </c>
      <c r="BQ104" s="132" t="s">
        <v>71</v>
      </c>
      <c r="BR104" s="132" t="s">
        <v>71</v>
      </c>
      <c r="BS104" s="132" t="s">
        <v>71</v>
      </c>
      <c r="BT104" s="132" t="s">
        <v>71</v>
      </c>
      <c r="BU104" s="132" t="s">
        <v>60</v>
      </c>
      <c r="BV104" s="132" t="s">
        <v>71</v>
      </c>
      <c r="BW104" s="132" t="s">
        <v>60</v>
      </c>
      <c r="BX104" s="132" t="s">
        <v>71</v>
      </c>
      <c r="BY104" s="132" t="s">
        <v>60</v>
      </c>
      <c r="BZ104" s="132" t="s">
        <v>71</v>
      </c>
      <c r="CA104" s="132" t="s">
        <v>60</v>
      </c>
      <c r="CB104" s="132" t="s">
        <v>71</v>
      </c>
      <c r="CC104" s="132" t="s">
        <v>60</v>
      </c>
      <c r="CD104" s="132" t="s">
        <v>71</v>
      </c>
      <c r="CE104" s="132" t="s">
        <v>60</v>
      </c>
      <c r="CF104" s="132" t="s">
        <v>71</v>
      </c>
      <c r="CG104" s="132" t="s">
        <v>60</v>
      </c>
      <c r="CH104" s="132" t="s">
        <v>71</v>
      </c>
      <c r="CI104" s="132" t="s">
        <v>60</v>
      </c>
      <c r="CJ104" s="132" t="s">
        <v>71</v>
      </c>
      <c r="CK104" s="132" t="s">
        <v>60</v>
      </c>
      <c r="CL104" s="132" t="s">
        <v>71</v>
      </c>
      <c r="CM104" s="132" t="s">
        <v>60</v>
      </c>
      <c r="CN104" s="132" t="s">
        <v>71</v>
      </c>
      <c r="CO104" s="132" t="s">
        <v>60</v>
      </c>
      <c r="CP104" s="132" t="s">
        <v>71</v>
      </c>
      <c r="CQ104" s="132" t="s">
        <v>60</v>
      </c>
      <c r="CR104" s="132" t="s">
        <v>71</v>
      </c>
      <c r="CS104" s="132" t="s">
        <v>60</v>
      </c>
      <c r="CT104" s="132" t="s">
        <v>71</v>
      </c>
      <c r="CU104" s="132" t="s">
        <v>60</v>
      </c>
      <c r="CV104" s="132" t="s">
        <v>71</v>
      </c>
      <c r="CW104" s="132" t="s">
        <v>60</v>
      </c>
      <c r="CX104" s="132" t="s">
        <v>71</v>
      </c>
      <c r="CY104" s="132" t="s">
        <v>60</v>
      </c>
      <c r="CZ104" s="132" t="s">
        <v>71</v>
      </c>
      <c r="DA104" s="132" t="s">
        <v>60</v>
      </c>
      <c r="DB104" s="132" t="s">
        <v>71</v>
      </c>
      <c r="DC104" s="132" t="s">
        <v>60</v>
      </c>
      <c r="DD104" s="132" t="s">
        <v>71</v>
      </c>
      <c r="DE104" s="137" t="str">
        <f t="shared" si="39"/>
        <v>FETAL</v>
      </c>
      <c r="DF104" s="137">
        <f t="shared" si="41"/>
        <v>0</v>
      </c>
    </row>
    <row r="105" spans="1:110" x14ac:dyDescent="0.2">
      <c r="A105" s="160"/>
      <c r="B105" s="5">
        <f t="shared" si="42"/>
        <v>103</v>
      </c>
      <c r="C105" s="131" t="str">
        <f t="shared" si="45"/>
        <v>CNS139</v>
      </c>
      <c r="D105" s="135" t="s">
        <v>237</v>
      </c>
      <c r="E105" s="131" t="str">
        <f t="shared" si="43"/>
        <v>CNS139_CONTROL</v>
      </c>
      <c r="F105" s="131"/>
      <c r="G105" s="130">
        <f t="shared" si="40"/>
        <v>139</v>
      </c>
      <c r="H105" s="131"/>
      <c r="I105" s="131"/>
      <c r="J105" s="132" t="s">
        <v>25</v>
      </c>
      <c r="K105" s="132" t="s">
        <v>177</v>
      </c>
      <c r="L105" s="132" t="s">
        <v>301</v>
      </c>
      <c r="M105" s="131" t="s">
        <v>81</v>
      </c>
      <c r="N105" s="131" t="s">
        <v>81</v>
      </c>
      <c r="O105" s="131" t="s">
        <v>81</v>
      </c>
      <c r="P105" s="131" t="s">
        <v>311</v>
      </c>
      <c r="Q105" s="131" t="s">
        <v>81</v>
      </c>
      <c r="R105" s="131" t="s">
        <v>89</v>
      </c>
      <c r="S105" s="131" t="s">
        <v>297</v>
      </c>
      <c r="T105" s="131"/>
      <c r="U105" s="132" t="s">
        <v>81</v>
      </c>
      <c r="V105" s="132" t="s">
        <v>172</v>
      </c>
      <c r="W105" s="132"/>
      <c r="X105" s="132"/>
      <c r="Y105" s="133">
        <v>0</v>
      </c>
      <c r="Z105" s="133">
        <v>16</v>
      </c>
      <c r="AA105" s="132" t="s">
        <v>71</v>
      </c>
      <c r="AB105" s="132" t="s">
        <v>60</v>
      </c>
      <c r="AC105" s="132" t="s">
        <v>60</v>
      </c>
      <c r="AD105" s="132" t="s">
        <v>71</v>
      </c>
      <c r="AE105" s="132" t="s">
        <v>71</v>
      </c>
      <c r="AF105" s="134" t="s">
        <v>68</v>
      </c>
      <c r="AG105" s="132" t="s">
        <v>81</v>
      </c>
      <c r="AH105" s="132" t="s">
        <v>71</v>
      </c>
      <c r="AI105" s="132" t="s">
        <v>60</v>
      </c>
      <c r="AJ105" s="132" t="s">
        <v>71</v>
      </c>
      <c r="AK105" s="132" t="s">
        <v>60</v>
      </c>
      <c r="AL105" s="132" t="s">
        <v>60</v>
      </c>
      <c r="AM105" s="132" t="s">
        <v>60</v>
      </c>
      <c r="AN105" s="132" t="s">
        <v>60</v>
      </c>
      <c r="AO105" s="132" t="s">
        <v>71</v>
      </c>
      <c r="AP105" s="132" t="s">
        <v>71</v>
      </c>
      <c r="AQ105" s="132" t="s">
        <v>71</v>
      </c>
      <c r="AR105" s="132" t="s">
        <v>71</v>
      </c>
      <c r="AS105" s="132" t="s">
        <v>71</v>
      </c>
      <c r="AT105" s="132" t="s">
        <v>71</v>
      </c>
      <c r="AU105" s="132" t="s">
        <v>71</v>
      </c>
      <c r="AV105" s="132" t="s">
        <v>71</v>
      </c>
      <c r="AW105" s="132" t="s">
        <v>71</v>
      </c>
      <c r="AX105" s="132" t="s">
        <v>71</v>
      </c>
      <c r="AY105" s="132" t="s">
        <v>71</v>
      </c>
      <c r="AZ105" s="132" t="s">
        <v>71</v>
      </c>
      <c r="BA105" s="132" t="s">
        <v>71</v>
      </c>
      <c r="BB105" s="132" t="s">
        <v>71</v>
      </c>
      <c r="BC105" s="132" t="s">
        <v>71</v>
      </c>
      <c r="BD105" s="132" t="s">
        <v>71</v>
      </c>
      <c r="BE105" s="132" t="s">
        <v>71</v>
      </c>
      <c r="BF105" s="132" t="s">
        <v>71</v>
      </c>
      <c r="BG105" s="132" t="s">
        <v>71</v>
      </c>
      <c r="BH105" s="132" t="s">
        <v>71</v>
      </c>
      <c r="BI105" s="132" t="s">
        <v>71</v>
      </c>
      <c r="BJ105" s="132" t="s">
        <v>71</v>
      </c>
      <c r="BK105" s="132" t="s">
        <v>71</v>
      </c>
      <c r="BL105" s="132" t="s">
        <v>71</v>
      </c>
      <c r="BM105" s="132" t="s">
        <v>71</v>
      </c>
      <c r="BN105" s="132" t="s">
        <v>71</v>
      </c>
      <c r="BO105" s="132" t="s">
        <v>71</v>
      </c>
      <c r="BP105" s="132" t="s">
        <v>71</v>
      </c>
      <c r="BQ105" s="132" t="s">
        <v>71</v>
      </c>
      <c r="BR105" s="132" t="s">
        <v>71</v>
      </c>
      <c r="BS105" s="132" t="s">
        <v>71</v>
      </c>
      <c r="BT105" s="132" t="s">
        <v>71</v>
      </c>
      <c r="BU105" s="132" t="s">
        <v>60</v>
      </c>
      <c r="BV105" s="132" t="s">
        <v>71</v>
      </c>
      <c r="BW105" s="132" t="s">
        <v>60</v>
      </c>
      <c r="BX105" s="132" t="s">
        <v>71</v>
      </c>
      <c r="BY105" s="132" t="s">
        <v>60</v>
      </c>
      <c r="BZ105" s="132" t="s">
        <v>71</v>
      </c>
      <c r="CA105" s="132" t="s">
        <v>60</v>
      </c>
      <c r="CB105" s="132" t="s">
        <v>71</v>
      </c>
      <c r="CC105" s="132" t="s">
        <v>60</v>
      </c>
      <c r="CD105" s="132" t="s">
        <v>71</v>
      </c>
      <c r="CE105" s="132" t="s">
        <v>60</v>
      </c>
      <c r="CF105" s="132" t="s">
        <v>71</v>
      </c>
      <c r="CG105" s="132" t="s">
        <v>60</v>
      </c>
      <c r="CH105" s="132" t="s">
        <v>71</v>
      </c>
      <c r="CI105" s="132" t="s">
        <v>60</v>
      </c>
      <c r="CJ105" s="132" t="s">
        <v>71</v>
      </c>
      <c r="CK105" s="132" t="s">
        <v>60</v>
      </c>
      <c r="CL105" s="132" t="s">
        <v>71</v>
      </c>
      <c r="CM105" s="132" t="s">
        <v>60</v>
      </c>
      <c r="CN105" s="132" t="s">
        <v>71</v>
      </c>
      <c r="CO105" s="132" t="s">
        <v>60</v>
      </c>
      <c r="CP105" s="132" t="s">
        <v>71</v>
      </c>
      <c r="CQ105" s="132" t="s">
        <v>60</v>
      </c>
      <c r="CR105" s="132" t="s">
        <v>71</v>
      </c>
      <c r="CS105" s="132" t="s">
        <v>60</v>
      </c>
      <c r="CT105" s="132" t="s">
        <v>71</v>
      </c>
      <c r="CU105" s="132" t="s">
        <v>60</v>
      </c>
      <c r="CV105" s="132" t="s">
        <v>71</v>
      </c>
      <c r="CW105" s="132" t="s">
        <v>60</v>
      </c>
      <c r="CX105" s="132" t="s">
        <v>71</v>
      </c>
      <c r="CY105" s="132" t="s">
        <v>60</v>
      </c>
      <c r="CZ105" s="132" t="s">
        <v>71</v>
      </c>
      <c r="DA105" s="132" t="s">
        <v>60</v>
      </c>
      <c r="DB105" s="132" t="s">
        <v>71</v>
      </c>
      <c r="DC105" s="132" t="s">
        <v>60</v>
      </c>
      <c r="DD105" s="132" t="s">
        <v>71</v>
      </c>
      <c r="DE105" s="137" t="str">
        <f t="shared" si="39"/>
        <v>FETAL</v>
      </c>
      <c r="DF105" s="137">
        <f t="shared" si="41"/>
        <v>0</v>
      </c>
    </row>
    <row r="106" spans="1:110" x14ac:dyDescent="0.2">
      <c r="A106" s="160"/>
      <c r="B106" s="5">
        <f t="shared" si="42"/>
        <v>104</v>
      </c>
      <c r="C106" s="131" t="str">
        <f t="shared" si="45"/>
        <v>CNS140</v>
      </c>
      <c r="D106" s="135" t="s">
        <v>238</v>
      </c>
      <c r="E106" s="131" t="str">
        <f t="shared" si="43"/>
        <v>CNS140_CONTROL</v>
      </c>
      <c r="F106" s="131"/>
      <c r="G106" s="130">
        <f t="shared" si="40"/>
        <v>140</v>
      </c>
      <c r="H106" s="131"/>
      <c r="I106" s="131"/>
      <c r="J106" s="132" t="s">
        <v>24</v>
      </c>
      <c r="K106" s="132" t="s">
        <v>177</v>
      </c>
      <c r="L106" s="132" t="s">
        <v>301</v>
      </c>
      <c r="M106" s="131" t="s">
        <v>81</v>
      </c>
      <c r="N106" s="131" t="s">
        <v>81</v>
      </c>
      <c r="O106" s="131" t="s">
        <v>81</v>
      </c>
      <c r="P106" s="131" t="s">
        <v>311</v>
      </c>
      <c r="Q106" s="131" t="s">
        <v>81</v>
      </c>
      <c r="R106" s="131" t="s">
        <v>89</v>
      </c>
      <c r="S106" s="131" t="s">
        <v>297</v>
      </c>
      <c r="T106" s="131"/>
      <c r="U106" s="132" t="s">
        <v>81</v>
      </c>
      <c r="V106" s="132" t="s">
        <v>172</v>
      </c>
      <c r="W106" s="132"/>
      <c r="X106" s="132"/>
      <c r="Y106" s="133">
        <v>0</v>
      </c>
      <c r="Z106" s="133">
        <v>18</v>
      </c>
      <c r="AA106" s="132" t="s">
        <v>71</v>
      </c>
      <c r="AB106" s="132" t="s">
        <v>60</v>
      </c>
      <c r="AC106" s="132" t="s">
        <v>60</v>
      </c>
      <c r="AD106" s="132" t="s">
        <v>71</v>
      </c>
      <c r="AE106" s="132" t="s">
        <v>71</v>
      </c>
      <c r="AF106" s="134" t="s">
        <v>68</v>
      </c>
      <c r="AG106" s="132" t="s">
        <v>81</v>
      </c>
      <c r="AH106" s="132" t="s">
        <v>71</v>
      </c>
      <c r="AI106" s="132" t="s">
        <v>60</v>
      </c>
      <c r="AJ106" s="132" t="s">
        <v>71</v>
      </c>
      <c r="AK106" s="132" t="s">
        <v>60</v>
      </c>
      <c r="AL106" s="132" t="s">
        <v>60</v>
      </c>
      <c r="AM106" s="132" t="s">
        <v>60</v>
      </c>
      <c r="AN106" s="132" t="s">
        <v>60</v>
      </c>
      <c r="AO106" s="132" t="s">
        <v>71</v>
      </c>
      <c r="AP106" s="132" t="s">
        <v>71</v>
      </c>
      <c r="AQ106" s="132" t="s">
        <v>71</v>
      </c>
      <c r="AR106" s="132" t="s">
        <v>71</v>
      </c>
      <c r="AS106" s="132" t="s">
        <v>71</v>
      </c>
      <c r="AT106" s="132" t="s">
        <v>71</v>
      </c>
      <c r="AU106" s="132" t="s">
        <v>71</v>
      </c>
      <c r="AV106" s="132" t="s">
        <v>71</v>
      </c>
      <c r="AW106" s="132" t="s">
        <v>71</v>
      </c>
      <c r="AX106" s="132" t="s">
        <v>71</v>
      </c>
      <c r="AY106" s="132" t="s">
        <v>71</v>
      </c>
      <c r="AZ106" s="132" t="s">
        <v>71</v>
      </c>
      <c r="BA106" s="132" t="s">
        <v>71</v>
      </c>
      <c r="BB106" s="132" t="s">
        <v>71</v>
      </c>
      <c r="BC106" s="132" t="s">
        <v>71</v>
      </c>
      <c r="BD106" s="132" t="s">
        <v>71</v>
      </c>
      <c r="BE106" s="132" t="s">
        <v>71</v>
      </c>
      <c r="BF106" s="132" t="s">
        <v>71</v>
      </c>
      <c r="BG106" s="132" t="s">
        <v>71</v>
      </c>
      <c r="BH106" s="132" t="s">
        <v>71</v>
      </c>
      <c r="BI106" s="132" t="s">
        <v>71</v>
      </c>
      <c r="BJ106" s="132" t="s">
        <v>71</v>
      </c>
      <c r="BK106" s="132" t="s">
        <v>71</v>
      </c>
      <c r="BL106" s="132" t="s">
        <v>71</v>
      </c>
      <c r="BM106" s="132" t="s">
        <v>71</v>
      </c>
      <c r="BN106" s="132" t="s">
        <v>71</v>
      </c>
      <c r="BO106" s="132" t="s">
        <v>71</v>
      </c>
      <c r="BP106" s="132" t="s">
        <v>71</v>
      </c>
      <c r="BQ106" s="132" t="s">
        <v>71</v>
      </c>
      <c r="BR106" s="132" t="s">
        <v>71</v>
      </c>
      <c r="BS106" s="132" t="s">
        <v>71</v>
      </c>
      <c r="BT106" s="132" t="s">
        <v>71</v>
      </c>
      <c r="BU106" s="132" t="s">
        <v>60</v>
      </c>
      <c r="BV106" s="132" t="s">
        <v>71</v>
      </c>
      <c r="BW106" s="132" t="s">
        <v>60</v>
      </c>
      <c r="BX106" s="132" t="s">
        <v>71</v>
      </c>
      <c r="BY106" s="132" t="s">
        <v>60</v>
      </c>
      <c r="BZ106" s="132" t="s">
        <v>71</v>
      </c>
      <c r="CA106" s="132" t="s">
        <v>60</v>
      </c>
      <c r="CB106" s="132" t="s">
        <v>71</v>
      </c>
      <c r="CC106" s="132" t="s">
        <v>60</v>
      </c>
      <c r="CD106" s="132" t="s">
        <v>71</v>
      </c>
      <c r="CE106" s="132" t="s">
        <v>60</v>
      </c>
      <c r="CF106" s="132" t="s">
        <v>71</v>
      </c>
      <c r="CG106" s="132" t="s">
        <v>60</v>
      </c>
      <c r="CH106" s="132" t="s">
        <v>71</v>
      </c>
      <c r="CI106" s="132" t="s">
        <v>60</v>
      </c>
      <c r="CJ106" s="132" t="s">
        <v>71</v>
      </c>
      <c r="CK106" s="132" t="s">
        <v>60</v>
      </c>
      <c r="CL106" s="132" t="s">
        <v>71</v>
      </c>
      <c r="CM106" s="132" t="s">
        <v>60</v>
      </c>
      <c r="CN106" s="132" t="s">
        <v>71</v>
      </c>
      <c r="CO106" s="132" t="s">
        <v>60</v>
      </c>
      <c r="CP106" s="132" t="s">
        <v>71</v>
      </c>
      <c r="CQ106" s="132" t="s">
        <v>60</v>
      </c>
      <c r="CR106" s="132" t="s">
        <v>71</v>
      </c>
      <c r="CS106" s="132" t="s">
        <v>60</v>
      </c>
      <c r="CT106" s="132" t="s">
        <v>71</v>
      </c>
      <c r="CU106" s="132" t="s">
        <v>60</v>
      </c>
      <c r="CV106" s="132" t="s">
        <v>71</v>
      </c>
      <c r="CW106" s="132" t="s">
        <v>60</v>
      </c>
      <c r="CX106" s="132" t="s">
        <v>71</v>
      </c>
      <c r="CY106" s="132" t="s">
        <v>60</v>
      </c>
      <c r="CZ106" s="132" t="s">
        <v>71</v>
      </c>
      <c r="DA106" s="132" t="s">
        <v>60</v>
      </c>
      <c r="DB106" s="132" t="s">
        <v>71</v>
      </c>
      <c r="DC106" s="132" t="s">
        <v>60</v>
      </c>
      <c r="DD106" s="132" t="s">
        <v>71</v>
      </c>
      <c r="DE106" s="137" t="str">
        <f t="shared" si="39"/>
        <v>FETAL</v>
      </c>
      <c r="DF106" s="137">
        <f t="shared" si="41"/>
        <v>0</v>
      </c>
    </row>
    <row r="107" spans="1:110" x14ac:dyDescent="0.2">
      <c r="A107" s="160"/>
      <c r="B107" s="5">
        <f t="shared" si="42"/>
        <v>105</v>
      </c>
      <c r="C107" s="131" t="str">
        <f t="shared" si="45"/>
        <v>CNS141</v>
      </c>
      <c r="D107" s="135" t="s">
        <v>239</v>
      </c>
      <c r="E107" s="131" t="str">
        <f t="shared" si="43"/>
        <v>CNS141_CONTROL</v>
      </c>
      <c r="F107" s="131"/>
      <c r="G107" s="130">
        <f t="shared" si="40"/>
        <v>141</v>
      </c>
      <c r="H107" s="131"/>
      <c r="I107" s="131"/>
      <c r="J107" s="132" t="s">
        <v>25</v>
      </c>
      <c r="K107" s="132" t="s">
        <v>177</v>
      </c>
      <c r="L107" s="132" t="s">
        <v>301</v>
      </c>
      <c r="M107" s="131" t="s">
        <v>81</v>
      </c>
      <c r="N107" s="131" t="s">
        <v>81</v>
      </c>
      <c r="O107" s="131" t="s">
        <v>81</v>
      </c>
      <c r="P107" s="131" t="s">
        <v>312</v>
      </c>
      <c r="Q107" s="131" t="s">
        <v>81</v>
      </c>
      <c r="R107" s="131" t="s">
        <v>89</v>
      </c>
      <c r="S107" s="131" t="s">
        <v>297</v>
      </c>
      <c r="T107" s="131"/>
      <c r="U107" s="132" t="s">
        <v>81</v>
      </c>
      <c r="V107" s="132" t="s">
        <v>175</v>
      </c>
      <c r="W107" s="132"/>
      <c r="X107" s="132"/>
      <c r="Y107" s="133">
        <v>0.16438356164383561</v>
      </c>
      <c r="Z107" s="133">
        <f t="shared" si="38"/>
        <v>43.890410958904113</v>
      </c>
      <c r="AA107" s="132" t="s">
        <v>71</v>
      </c>
      <c r="AB107" s="132" t="s">
        <v>60</v>
      </c>
      <c r="AC107" s="132" t="s">
        <v>60</v>
      </c>
      <c r="AD107" s="132" t="s">
        <v>71</v>
      </c>
      <c r="AE107" s="132" t="s">
        <v>71</v>
      </c>
      <c r="AF107" s="134" t="s">
        <v>68</v>
      </c>
      <c r="AG107" s="132" t="s">
        <v>81</v>
      </c>
      <c r="AH107" s="132" t="s">
        <v>71</v>
      </c>
      <c r="AI107" s="132" t="s">
        <v>60</v>
      </c>
      <c r="AJ107" s="132" t="s">
        <v>71</v>
      </c>
      <c r="AK107" s="132" t="s">
        <v>60</v>
      </c>
      <c r="AL107" s="132" t="s">
        <v>60</v>
      </c>
      <c r="AM107" s="132" t="s">
        <v>60</v>
      </c>
      <c r="AN107" s="132" t="s">
        <v>60</v>
      </c>
      <c r="AO107" s="132" t="s">
        <v>71</v>
      </c>
      <c r="AP107" s="132" t="s">
        <v>71</v>
      </c>
      <c r="AQ107" s="132" t="s">
        <v>71</v>
      </c>
      <c r="AR107" s="132" t="s">
        <v>71</v>
      </c>
      <c r="AS107" s="132" t="s">
        <v>71</v>
      </c>
      <c r="AT107" s="132" t="s">
        <v>71</v>
      </c>
      <c r="AU107" s="132" t="s">
        <v>71</v>
      </c>
      <c r="AV107" s="132" t="s">
        <v>71</v>
      </c>
      <c r="AW107" s="132" t="s">
        <v>71</v>
      </c>
      <c r="AX107" s="132" t="s">
        <v>71</v>
      </c>
      <c r="AY107" s="132" t="s">
        <v>71</v>
      </c>
      <c r="AZ107" s="132" t="s">
        <v>71</v>
      </c>
      <c r="BA107" s="132" t="s">
        <v>71</v>
      </c>
      <c r="BB107" s="132" t="s">
        <v>71</v>
      </c>
      <c r="BC107" s="132" t="s">
        <v>71</v>
      </c>
      <c r="BD107" s="132" t="s">
        <v>71</v>
      </c>
      <c r="BE107" s="132" t="s">
        <v>71</v>
      </c>
      <c r="BF107" s="132" t="s">
        <v>71</v>
      </c>
      <c r="BG107" s="132" t="s">
        <v>71</v>
      </c>
      <c r="BH107" s="132" t="s">
        <v>71</v>
      </c>
      <c r="BI107" s="132" t="s">
        <v>71</v>
      </c>
      <c r="BJ107" s="132" t="s">
        <v>71</v>
      </c>
      <c r="BK107" s="132" t="s">
        <v>71</v>
      </c>
      <c r="BL107" s="132" t="s">
        <v>71</v>
      </c>
      <c r="BM107" s="132" t="s">
        <v>71</v>
      </c>
      <c r="BN107" s="132" t="s">
        <v>71</v>
      </c>
      <c r="BO107" s="132" t="s">
        <v>71</v>
      </c>
      <c r="BP107" s="132" t="s">
        <v>71</v>
      </c>
      <c r="BQ107" s="132" t="s">
        <v>71</v>
      </c>
      <c r="BR107" s="132" t="s">
        <v>71</v>
      </c>
      <c r="BS107" s="132" t="s">
        <v>71</v>
      </c>
      <c r="BT107" s="132" t="s">
        <v>71</v>
      </c>
      <c r="BU107" s="132" t="s">
        <v>60</v>
      </c>
      <c r="BV107" s="132" t="s">
        <v>71</v>
      </c>
      <c r="BW107" s="132" t="s">
        <v>60</v>
      </c>
      <c r="BX107" s="132" t="s">
        <v>71</v>
      </c>
      <c r="BY107" s="132" t="s">
        <v>60</v>
      </c>
      <c r="BZ107" s="132" t="s">
        <v>71</v>
      </c>
      <c r="CA107" s="132" t="s">
        <v>60</v>
      </c>
      <c r="CB107" s="132" t="s">
        <v>71</v>
      </c>
      <c r="CC107" s="132" t="s">
        <v>60</v>
      </c>
      <c r="CD107" s="132" t="s">
        <v>71</v>
      </c>
      <c r="CE107" s="132" t="s">
        <v>60</v>
      </c>
      <c r="CF107" s="132" t="s">
        <v>71</v>
      </c>
      <c r="CG107" s="132" t="s">
        <v>60</v>
      </c>
      <c r="CH107" s="132" t="s">
        <v>71</v>
      </c>
      <c r="CI107" s="132" t="s">
        <v>60</v>
      </c>
      <c r="CJ107" s="132" t="s">
        <v>71</v>
      </c>
      <c r="CK107" s="132" t="s">
        <v>60</v>
      </c>
      <c r="CL107" s="132" t="s">
        <v>71</v>
      </c>
      <c r="CM107" s="132" t="s">
        <v>60</v>
      </c>
      <c r="CN107" s="132" t="s">
        <v>71</v>
      </c>
      <c r="CO107" s="132" t="s">
        <v>60</v>
      </c>
      <c r="CP107" s="132" t="s">
        <v>71</v>
      </c>
      <c r="CQ107" s="132" t="s">
        <v>60</v>
      </c>
      <c r="CR107" s="132" t="s">
        <v>71</v>
      </c>
      <c r="CS107" s="132" t="s">
        <v>60</v>
      </c>
      <c r="CT107" s="132" t="s">
        <v>71</v>
      </c>
      <c r="CU107" s="132" t="s">
        <v>60</v>
      </c>
      <c r="CV107" s="132" t="s">
        <v>71</v>
      </c>
      <c r="CW107" s="132" t="s">
        <v>60</v>
      </c>
      <c r="CX107" s="132" t="s">
        <v>71</v>
      </c>
      <c r="CY107" s="132" t="s">
        <v>60</v>
      </c>
      <c r="CZ107" s="132" t="s">
        <v>71</v>
      </c>
      <c r="DA107" s="132" t="s">
        <v>60</v>
      </c>
      <c r="DB107" s="132" t="s">
        <v>71</v>
      </c>
      <c r="DC107" s="132" t="s">
        <v>60</v>
      </c>
      <c r="DD107" s="132" t="s">
        <v>71</v>
      </c>
      <c r="DE107" s="137" t="str">
        <f t="shared" si="39"/>
        <v>3&gt; YEARS OLD</v>
      </c>
      <c r="DF107" s="137">
        <f t="shared" si="41"/>
        <v>0</v>
      </c>
    </row>
    <row r="108" spans="1:110" x14ac:dyDescent="0.2">
      <c r="A108" s="160"/>
      <c r="B108" s="5">
        <f t="shared" si="42"/>
        <v>106</v>
      </c>
      <c r="C108" s="131" t="str">
        <f t="shared" si="45"/>
        <v>CNS142</v>
      </c>
      <c r="D108" s="135" t="s">
        <v>240</v>
      </c>
      <c r="E108" s="131" t="str">
        <f t="shared" si="43"/>
        <v>CNS142_CONTROL</v>
      </c>
      <c r="F108" s="131"/>
      <c r="G108" s="130">
        <f t="shared" si="40"/>
        <v>142</v>
      </c>
      <c r="H108" s="131"/>
      <c r="I108" s="131"/>
      <c r="J108" s="132" t="s">
        <v>24</v>
      </c>
      <c r="K108" s="132" t="s">
        <v>177</v>
      </c>
      <c r="L108" s="132" t="s">
        <v>301</v>
      </c>
      <c r="M108" s="131" t="s">
        <v>81</v>
      </c>
      <c r="N108" s="131" t="s">
        <v>81</v>
      </c>
      <c r="O108" s="131" t="s">
        <v>81</v>
      </c>
      <c r="P108" s="131" t="s">
        <v>311</v>
      </c>
      <c r="Q108" s="131" t="s">
        <v>81</v>
      </c>
      <c r="R108" s="131" t="s">
        <v>89</v>
      </c>
      <c r="S108" s="131" t="s">
        <v>297</v>
      </c>
      <c r="T108" s="131"/>
      <c r="U108" s="132" t="s">
        <v>81</v>
      </c>
      <c r="V108" s="132" t="s">
        <v>172</v>
      </c>
      <c r="W108" s="132"/>
      <c r="X108" s="132"/>
      <c r="Y108" s="133">
        <v>0</v>
      </c>
      <c r="Z108" s="133">
        <v>19</v>
      </c>
      <c r="AA108" s="132" t="s">
        <v>71</v>
      </c>
      <c r="AB108" s="132" t="s">
        <v>60</v>
      </c>
      <c r="AC108" s="132" t="s">
        <v>60</v>
      </c>
      <c r="AD108" s="132" t="s">
        <v>71</v>
      </c>
      <c r="AE108" s="132" t="s">
        <v>71</v>
      </c>
      <c r="AF108" s="134" t="s">
        <v>68</v>
      </c>
      <c r="AG108" s="132" t="s">
        <v>81</v>
      </c>
      <c r="AH108" s="132" t="s">
        <v>71</v>
      </c>
      <c r="AI108" s="132" t="s">
        <v>60</v>
      </c>
      <c r="AJ108" s="132" t="s">
        <v>71</v>
      </c>
      <c r="AK108" s="132" t="s">
        <v>60</v>
      </c>
      <c r="AL108" s="132" t="s">
        <v>60</v>
      </c>
      <c r="AM108" s="132" t="s">
        <v>60</v>
      </c>
      <c r="AN108" s="132" t="s">
        <v>60</v>
      </c>
      <c r="AO108" s="132" t="s">
        <v>71</v>
      </c>
      <c r="AP108" s="132" t="s">
        <v>71</v>
      </c>
      <c r="AQ108" s="132" t="s">
        <v>71</v>
      </c>
      <c r="AR108" s="132" t="s">
        <v>71</v>
      </c>
      <c r="AS108" s="132" t="s">
        <v>71</v>
      </c>
      <c r="AT108" s="132" t="s">
        <v>71</v>
      </c>
      <c r="AU108" s="132" t="s">
        <v>71</v>
      </c>
      <c r="AV108" s="132" t="s">
        <v>71</v>
      </c>
      <c r="AW108" s="132" t="s">
        <v>71</v>
      </c>
      <c r="AX108" s="132" t="s">
        <v>71</v>
      </c>
      <c r="AY108" s="132" t="s">
        <v>71</v>
      </c>
      <c r="AZ108" s="132" t="s">
        <v>71</v>
      </c>
      <c r="BA108" s="132" t="s">
        <v>71</v>
      </c>
      <c r="BB108" s="132" t="s">
        <v>71</v>
      </c>
      <c r="BC108" s="132" t="s">
        <v>71</v>
      </c>
      <c r="BD108" s="132" t="s">
        <v>71</v>
      </c>
      <c r="BE108" s="132" t="s">
        <v>71</v>
      </c>
      <c r="BF108" s="132" t="s">
        <v>71</v>
      </c>
      <c r="BG108" s="132" t="s">
        <v>71</v>
      </c>
      <c r="BH108" s="132" t="s">
        <v>71</v>
      </c>
      <c r="BI108" s="132" t="s">
        <v>71</v>
      </c>
      <c r="BJ108" s="132" t="s">
        <v>71</v>
      </c>
      <c r="BK108" s="132" t="s">
        <v>71</v>
      </c>
      <c r="BL108" s="132" t="s">
        <v>71</v>
      </c>
      <c r="BM108" s="132" t="s">
        <v>71</v>
      </c>
      <c r="BN108" s="132" t="s">
        <v>71</v>
      </c>
      <c r="BO108" s="132" t="s">
        <v>71</v>
      </c>
      <c r="BP108" s="132" t="s">
        <v>71</v>
      </c>
      <c r="BQ108" s="132" t="s">
        <v>71</v>
      </c>
      <c r="BR108" s="132" t="s">
        <v>71</v>
      </c>
      <c r="BS108" s="132" t="s">
        <v>71</v>
      </c>
      <c r="BT108" s="132" t="s">
        <v>71</v>
      </c>
      <c r="BU108" s="132" t="s">
        <v>60</v>
      </c>
      <c r="BV108" s="132" t="s">
        <v>71</v>
      </c>
      <c r="BW108" s="132" t="s">
        <v>60</v>
      </c>
      <c r="BX108" s="132" t="s">
        <v>71</v>
      </c>
      <c r="BY108" s="132" t="s">
        <v>60</v>
      </c>
      <c r="BZ108" s="132" t="s">
        <v>71</v>
      </c>
      <c r="CA108" s="132" t="s">
        <v>60</v>
      </c>
      <c r="CB108" s="132" t="s">
        <v>71</v>
      </c>
      <c r="CC108" s="132" t="s">
        <v>60</v>
      </c>
      <c r="CD108" s="132" t="s">
        <v>71</v>
      </c>
      <c r="CE108" s="132" t="s">
        <v>60</v>
      </c>
      <c r="CF108" s="132" t="s">
        <v>71</v>
      </c>
      <c r="CG108" s="132" t="s">
        <v>60</v>
      </c>
      <c r="CH108" s="132" t="s">
        <v>71</v>
      </c>
      <c r="CI108" s="132" t="s">
        <v>60</v>
      </c>
      <c r="CJ108" s="132" t="s">
        <v>71</v>
      </c>
      <c r="CK108" s="132" t="s">
        <v>60</v>
      </c>
      <c r="CL108" s="132" t="s">
        <v>71</v>
      </c>
      <c r="CM108" s="132" t="s">
        <v>60</v>
      </c>
      <c r="CN108" s="132" t="s">
        <v>71</v>
      </c>
      <c r="CO108" s="132" t="s">
        <v>60</v>
      </c>
      <c r="CP108" s="132" t="s">
        <v>71</v>
      </c>
      <c r="CQ108" s="132" t="s">
        <v>60</v>
      </c>
      <c r="CR108" s="132" t="s">
        <v>71</v>
      </c>
      <c r="CS108" s="132" t="s">
        <v>60</v>
      </c>
      <c r="CT108" s="132" t="s">
        <v>71</v>
      </c>
      <c r="CU108" s="132" t="s">
        <v>60</v>
      </c>
      <c r="CV108" s="132" t="s">
        <v>71</v>
      </c>
      <c r="CW108" s="132" t="s">
        <v>60</v>
      </c>
      <c r="CX108" s="132" t="s">
        <v>71</v>
      </c>
      <c r="CY108" s="132" t="s">
        <v>60</v>
      </c>
      <c r="CZ108" s="132" t="s">
        <v>71</v>
      </c>
      <c r="DA108" s="132" t="s">
        <v>60</v>
      </c>
      <c r="DB108" s="132" t="s">
        <v>71</v>
      </c>
      <c r="DC108" s="132" t="s">
        <v>60</v>
      </c>
      <c r="DD108" s="132" t="s">
        <v>71</v>
      </c>
      <c r="DE108" s="137" t="str">
        <f t="shared" si="39"/>
        <v>FETAL</v>
      </c>
      <c r="DF108" s="137">
        <f t="shared" si="41"/>
        <v>0</v>
      </c>
    </row>
    <row r="109" spans="1:110" x14ac:dyDescent="0.2">
      <c r="A109" s="160"/>
      <c r="B109" s="5">
        <f t="shared" si="42"/>
        <v>107</v>
      </c>
      <c r="C109" s="131" t="str">
        <f t="shared" si="45"/>
        <v>CNS143</v>
      </c>
      <c r="D109" s="135" t="s">
        <v>241</v>
      </c>
      <c r="E109" s="131" t="str">
        <f t="shared" si="43"/>
        <v>CNS143_CONTROL</v>
      </c>
      <c r="F109" s="131"/>
      <c r="G109" s="130">
        <f t="shared" si="40"/>
        <v>143</v>
      </c>
      <c r="H109" s="131"/>
      <c r="I109" s="131"/>
      <c r="J109" s="132" t="s">
        <v>25</v>
      </c>
      <c r="K109" s="132" t="s">
        <v>177</v>
      </c>
      <c r="L109" s="132" t="s">
        <v>301</v>
      </c>
      <c r="M109" s="131" t="s">
        <v>81</v>
      </c>
      <c r="N109" s="131" t="s">
        <v>81</v>
      </c>
      <c r="O109" s="131" t="s">
        <v>81</v>
      </c>
      <c r="P109" s="131" t="s">
        <v>312</v>
      </c>
      <c r="Q109" s="131" t="s">
        <v>81</v>
      </c>
      <c r="R109" s="131" t="s">
        <v>89</v>
      </c>
      <c r="S109" s="131" t="s">
        <v>297</v>
      </c>
      <c r="T109" s="131"/>
      <c r="U109" s="132" t="s">
        <v>81</v>
      </c>
      <c r="V109" s="132" t="s">
        <v>175</v>
      </c>
      <c r="W109" s="132"/>
      <c r="X109" s="132"/>
      <c r="Y109" s="133">
        <v>1.3698630136986301E-2</v>
      </c>
      <c r="Z109" s="133">
        <f t="shared" si="38"/>
        <v>36.657534246575345</v>
      </c>
      <c r="AA109" s="132" t="s">
        <v>71</v>
      </c>
      <c r="AB109" s="132" t="s">
        <v>60</v>
      </c>
      <c r="AC109" s="132" t="s">
        <v>60</v>
      </c>
      <c r="AD109" s="132" t="s">
        <v>71</v>
      </c>
      <c r="AE109" s="132" t="s">
        <v>71</v>
      </c>
      <c r="AF109" s="134" t="s">
        <v>68</v>
      </c>
      <c r="AG109" s="132" t="s">
        <v>81</v>
      </c>
      <c r="AH109" s="132" t="s">
        <v>71</v>
      </c>
      <c r="AI109" s="132" t="s">
        <v>60</v>
      </c>
      <c r="AJ109" s="132" t="s">
        <v>71</v>
      </c>
      <c r="AK109" s="132" t="s">
        <v>60</v>
      </c>
      <c r="AL109" s="132" t="s">
        <v>60</v>
      </c>
      <c r="AM109" s="132" t="s">
        <v>60</v>
      </c>
      <c r="AN109" s="132" t="s">
        <v>60</v>
      </c>
      <c r="AO109" s="132" t="s">
        <v>71</v>
      </c>
      <c r="AP109" s="132" t="s">
        <v>71</v>
      </c>
      <c r="AQ109" s="132" t="s">
        <v>71</v>
      </c>
      <c r="AR109" s="132" t="s">
        <v>71</v>
      </c>
      <c r="AS109" s="132" t="s">
        <v>71</v>
      </c>
      <c r="AT109" s="132" t="s">
        <v>71</v>
      </c>
      <c r="AU109" s="132" t="s">
        <v>71</v>
      </c>
      <c r="AV109" s="132" t="s">
        <v>71</v>
      </c>
      <c r="AW109" s="132" t="s">
        <v>71</v>
      </c>
      <c r="AX109" s="132" t="s">
        <v>71</v>
      </c>
      <c r="AY109" s="132" t="s">
        <v>71</v>
      </c>
      <c r="AZ109" s="132" t="s">
        <v>71</v>
      </c>
      <c r="BA109" s="132" t="s">
        <v>71</v>
      </c>
      <c r="BB109" s="132" t="s">
        <v>71</v>
      </c>
      <c r="BC109" s="132" t="s">
        <v>71</v>
      </c>
      <c r="BD109" s="132" t="s">
        <v>71</v>
      </c>
      <c r="BE109" s="132" t="s">
        <v>71</v>
      </c>
      <c r="BF109" s="132" t="s">
        <v>71</v>
      </c>
      <c r="BG109" s="132" t="s">
        <v>71</v>
      </c>
      <c r="BH109" s="132" t="s">
        <v>71</v>
      </c>
      <c r="BI109" s="132" t="s">
        <v>71</v>
      </c>
      <c r="BJ109" s="132" t="s">
        <v>71</v>
      </c>
      <c r="BK109" s="132" t="s">
        <v>71</v>
      </c>
      <c r="BL109" s="132" t="s">
        <v>71</v>
      </c>
      <c r="BM109" s="132" t="s">
        <v>71</v>
      </c>
      <c r="BN109" s="132" t="s">
        <v>71</v>
      </c>
      <c r="BO109" s="132" t="s">
        <v>71</v>
      </c>
      <c r="BP109" s="132" t="s">
        <v>71</v>
      </c>
      <c r="BQ109" s="132" t="s">
        <v>71</v>
      </c>
      <c r="BR109" s="132" t="s">
        <v>71</v>
      </c>
      <c r="BS109" s="132" t="s">
        <v>71</v>
      </c>
      <c r="BT109" s="132" t="s">
        <v>71</v>
      </c>
      <c r="BU109" s="132" t="s">
        <v>60</v>
      </c>
      <c r="BV109" s="132" t="s">
        <v>71</v>
      </c>
      <c r="BW109" s="132" t="s">
        <v>60</v>
      </c>
      <c r="BX109" s="132" t="s">
        <v>71</v>
      </c>
      <c r="BY109" s="132" t="s">
        <v>60</v>
      </c>
      <c r="BZ109" s="132" t="s">
        <v>71</v>
      </c>
      <c r="CA109" s="132" t="s">
        <v>60</v>
      </c>
      <c r="CB109" s="132" t="s">
        <v>71</v>
      </c>
      <c r="CC109" s="132" t="s">
        <v>60</v>
      </c>
      <c r="CD109" s="132" t="s">
        <v>71</v>
      </c>
      <c r="CE109" s="132" t="s">
        <v>60</v>
      </c>
      <c r="CF109" s="132" t="s">
        <v>71</v>
      </c>
      <c r="CG109" s="132" t="s">
        <v>60</v>
      </c>
      <c r="CH109" s="132" t="s">
        <v>71</v>
      </c>
      <c r="CI109" s="132" t="s">
        <v>60</v>
      </c>
      <c r="CJ109" s="132" t="s">
        <v>71</v>
      </c>
      <c r="CK109" s="132" t="s">
        <v>60</v>
      </c>
      <c r="CL109" s="132" t="s">
        <v>71</v>
      </c>
      <c r="CM109" s="132" t="s">
        <v>60</v>
      </c>
      <c r="CN109" s="132" t="s">
        <v>71</v>
      </c>
      <c r="CO109" s="132" t="s">
        <v>60</v>
      </c>
      <c r="CP109" s="132" t="s">
        <v>71</v>
      </c>
      <c r="CQ109" s="132" t="s">
        <v>60</v>
      </c>
      <c r="CR109" s="132" t="s">
        <v>71</v>
      </c>
      <c r="CS109" s="132" t="s">
        <v>60</v>
      </c>
      <c r="CT109" s="132" t="s">
        <v>71</v>
      </c>
      <c r="CU109" s="132" t="s">
        <v>60</v>
      </c>
      <c r="CV109" s="132" t="s">
        <v>71</v>
      </c>
      <c r="CW109" s="132" t="s">
        <v>60</v>
      </c>
      <c r="CX109" s="132" t="s">
        <v>71</v>
      </c>
      <c r="CY109" s="132" t="s">
        <v>60</v>
      </c>
      <c r="CZ109" s="132" t="s">
        <v>71</v>
      </c>
      <c r="DA109" s="132" t="s">
        <v>60</v>
      </c>
      <c r="DB109" s="132" t="s">
        <v>71</v>
      </c>
      <c r="DC109" s="132" t="s">
        <v>60</v>
      </c>
      <c r="DD109" s="132" t="s">
        <v>71</v>
      </c>
      <c r="DE109" s="137" t="str">
        <f t="shared" si="39"/>
        <v>3&gt; YEARS OLD</v>
      </c>
      <c r="DF109" s="137">
        <f t="shared" si="41"/>
        <v>0</v>
      </c>
    </row>
    <row r="110" spans="1:110" x14ac:dyDescent="0.2">
      <c r="A110" s="160"/>
      <c r="B110" s="5">
        <f t="shared" si="42"/>
        <v>108</v>
      </c>
      <c r="C110" s="131" t="str">
        <f t="shared" si="45"/>
        <v>CNS144</v>
      </c>
      <c r="D110" s="135" t="s">
        <v>242</v>
      </c>
      <c r="E110" s="131" t="str">
        <f t="shared" si="43"/>
        <v>CNS144_CONTROL</v>
      </c>
      <c r="F110" s="131"/>
      <c r="G110" s="130">
        <f t="shared" si="40"/>
        <v>144</v>
      </c>
      <c r="H110" s="131"/>
      <c r="I110" s="131"/>
      <c r="J110" s="132" t="s">
        <v>24</v>
      </c>
      <c r="K110" s="132" t="s">
        <v>177</v>
      </c>
      <c r="L110" s="132" t="s">
        <v>301</v>
      </c>
      <c r="M110" s="131" t="s">
        <v>81</v>
      </c>
      <c r="N110" s="131" t="s">
        <v>81</v>
      </c>
      <c r="O110" s="131" t="s">
        <v>81</v>
      </c>
      <c r="P110" s="131" t="s">
        <v>311</v>
      </c>
      <c r="Q110" s="131" t="s">
        <v>81</v>
      </c>
      <c r="R110" s="131" t="s">
        <v>89</v>
      </c>
      <c r="S110" s="131" t="s">
        <v>297</v>
      </c>
      <c r="T110" s="131"/>
      <c r="U110" s="132" t="s">
        <v>81</v>
      </c>
      <c r="V110" s="132" t="s">
        <v>172</v>
      </c>
      <c r="W110" s="132"/>
      <c r="X110" s="132"/>
      <c r="Y110" s="133">
        <v>0</v>
      </c>
      <c r="Z110" s="133">
        <v>19</v>
      </c>
      <c r="AA110" s="132" t="s">
        <v>71</v>
      </c>
      <c r="AB110" s="132" t="s">
        <v>60</v>
      </c>
      <c r="AC110" s="132" t="s">
        <v>60</v>
      </c>
      <c r="AD110" s="132" t="s">
        <v>71</v>
      </c>
      <c r="AE110" s="132" t="s">
        <v>71</v>
      </c>
      <c r="AF110" s="134" t="s">
        <v>68</v>
      </c>
      <c r="AG110" s="132" t="s">
        <v>81</v>
      </c>
      <c r="AH110" s="132" t="s">
        <v>71</v>
      </c>
      <c r="AI110" s="132" t="s">
        <v>60</v>
      </c>
      <c r="AJ110" s="132" t="s">
        <v>71</v>
      </c>
      <c r="AK110" s="132" t="s">
        <v>60</v>
      </c>
      <c r="AL110" s="132" t="s">
        <v>60</v>
      </c>
      <c r="AM110" s="132" t="s">
        <v>60</v>
      </c>
      <c r="AN110" s="132" t="s">
        <v>60</v>
      </c>
      <c r="AO110" s="132" t="s">
        <v>71</v>
      </c>
      <c r="AP110" s="132" t="s">
        <v>71</v>
      </c>
      <c r="AQ110" s="132" t="s">
        <v>71</v>
      </c>
      <c r="AR110" s="132" t="s">
        <v>71</v>
      </c>
      <c r="AS110" s="132" t="s">
        <v>71</v>
      </c>
      <c r="AT110" s="132" t="s">
        <v>71</v>
      </c>
      <c r="AU110" s="132" t="s">
        <v>71</v>
      </c>
      <c r="AV110" s="132" t="s">
        <v>71</v>
      </c>
      <c r="AW110" s="132" t="s">
        <v>71</v>
      </c>
      <c r="AX110" s="132" t="s">
        <v>71</v>
      </c>
      <c r="AY110" s="132" t="s">
        <v>71</v>
      </c>
      <c r="AZ110" s="132" t="s">
        <v>71</v>
      </c>
      <c r="BA110" s="132" t="s">
        <v>71</v>
      </c>
      <c r="BB110" s="132" t="s">
        <v>71</v>
      </c>
      <c r="BC110" s="132" t="s">
        <v>71</v>
      </c>
      <c r="BD110" s="132" t="s">
        <v>71</v>
      </c>
      <c r="BE110" s="132" t="s">
        <v>71</v>
      </c>
      <c r="BF110" s="132" t="s">
        <v>71</v>
      </c>
      <c r="BG110" s="132" t="s">
        <v>71</v>
      </c>
      <c r="BH110" s="132" t="s">
        <v>71</v>
      </c>
      <c r="BI110" s="132" t="s">
        <v>71</v>
      </c>
      <c r="BJ110" s="132" t="s">
        <v>71</v>
      </c>
      <c r="BK110" s="132" t="s">
        <v>71</v>
      </c>
      <c r="BL110" s="132" t="s">
        <v>71</v>
      </c>
      <c r="BM110" s="132" t="s">
        <v>71</v>
      </c>
      <c r="BN110" s="132" t="s">
        <v>71</v>
      </c>
      <c r="BO110" s="132" t="s">
        <v>71</v>
      </c>
      <c r="BP110" s="132" t="s">
        <v>71</v>
      </c>
      <c r="BQ110" s="132" t="s">
        <v>71</v>
      </c>
      <c r="BR110" s="132" t="s">
        <v>71</v>
      </c>
      <c r="BS110" s="132" t="s">
        <v>71</v>
      </c>
      <c r="BT110" s="132" t="s">
        <v>71</v>
      </c>
      <c r="BU110" s="132" t="s">
        <v>60</v>
      </c>
      <c r="BV110" s="132" t="s">
        <v>71</v>
      </c>
      <c r="BW110" s="132" t="s">
        <v>60</v>
      </c>
      <c r="BX110" s="132" t="s">
        <v>71</v>
      </c>
      <c r="BY110" s="132" t="s">
        <v>60</v>
      </c>
      <c r="BZ110" s="132" t="s">
        <v>71</v>
      </c>
      <c r="CA110" s="132" t="s">
        <v>60</v>
      </c>
      <c r="CB110" s="132" t="s">
        <v>71</v>
      </c>
      <c r="CC110" s="132" t="s">
        <v>60</v>
      </c>
      <c r="CD110" s="132" t="s">
        <v>71</v>
      </c>
      <c r="CE110" s="132" t="s">
        <v>60</v>
      </c>
      <c r="CF110" s="132" t="s">
        <v>71</v>
      </c>
      <c r="CG110" s="132" t="s">
        <v>60</v>
      </c>
      <c r="CH110" s="132" t="s">
        <v>71</v>
      </c>
      <c r="CI110" s="132" t="s">
        <v>60</v>
      </c>
      <c r="CJ110" s="132" t="s">
        <v>71</v>
      </c>
      <c r="CK110" s="132" t="s">
        <v>60</v>
      </c>
      <c r="CL110" s="132" t="s">
        <v>71</v>
      </c>
      <c r="CM110" s="132" t="s">
        <v>60</v>
      </c>
      <c r="CN110" s="132" t="s">
        <v>71</v>
      </c>
      <c r="CO110" s="132" t="s">
        <v>60</v>
      </c>
      <c r="CP110" s="132" t="s">
        <v>71</v>
      </c>
      <c r="CQ110" s="132" t="s">
        <v>60</v>
      </c>
      <c r="CR110" s="132" t="s">
        <v>71</v>
      </c>
      <c r="CS110" s="132" t="s">
        <v>60</v>
      </c>
      <c r="CT110" s="132" t="s">
        <v>71</v>
      </c>
      <c r="CU110" s="132" t="s">
        <v>60</v>
      </c>
      <c r="CV110" s="132" t="s">
        <v>71</v>
      </c>
      <c r="CW110" s="132" t="s">
        <v>60</v>
      </c>
      <c r="CX110" s="132" t="s">
        <v>71</v>
      </c>
      <c r="CY110" s="132" t="s">
        <v>60</v>
      </c>
      <c r="CZ110" s="132" t="s">
        <v>71</v>
      </c>
      <c r="DA110" s="132" t="s">
        <v>60</v>
      </c>
      <c r="DB110" s="132" t="s">
        <v>71</v>
      </c>
      <c r="DC110" s="132" t="s">
        <v>60</v>
      </c>
      <c r="DD110" s="132" t="s">
        <v>71</v>
      </c>
      <c r="DE110" s="137" t="str">
        <f t="shared" si="39"/>
        <v>FETAL</v>
      </c>
      <c r="DF110" s="137">
        <f t="shared" si="41"/>
        <v>0</v>
      </c>
    </row>
    <row r="111" spans="1:110" x14ac:dyDescent="0.2">
      <c r="A111" s="160"/>
      <c r="B111" s="5">
        <f t="shared" si="42"/>
        <v>109</v>
      </c>
      <c r="C111" s="131" t="str">
        <f t="shared" si="45"/>
        <v>CNS145</v>
      </c>
      <c r="D111" s="135" t="s">
        <v>243</v>
      </c>
      <c r="E111" s="131" t="str">
        <f t="shared" si="43"/>
        <v>CNS145_CONTROL</v>
      </c>
      <c r="F111" s="131"/>
      <c r="G111" s="130">
        <f t="shared" si="40"/>
        <v>145</v>
      </c>
      <c r="H111" s="131"/>
      <c r="I111" s="131"/>
      <c r="J111" s="132" t="s">
        <v>25</v>
      </c>
      <c r="K111" s="132" t="s">
        <v>177</v>
      </c>
      <c r="L111" s="132" t="s">
        <v>301</v>
      </c>
      <c r="M111" s="131" t="s">
        <v>81</v>
      </c>
      <c r="N111" s="131" t="s">
        <v>81</v>
      </c>
      <c r="O111" s="131" t="s">
        <v>81</v>
      </c>
      <c r="P111" s="131" t="s">
        <v>310</v>
      </c>
      <c r="Q111" s="131" t="s">
        <v>295</v>
      </c>
      <c r="R111" s="131" t="s">
        <v>168</v>
      </c>
      <c r="S111" s="131" t="s">
        <v>169</v>
      </c>
      <c r="T111" s="131"/>
      <c r="U111" s="132" t="s">
        <v>81</v>
      </c>
      <c r="V111" s="132" t="s">
        <v>171</v>
      </c>
      <c r="W111" s="132"/>
      <c r="X111" s="132"/>
      <c r="Y111" s="133">
        <v>81</v>
      </c>
      <c r="Z111" s="133">
        <f t="shared" si="38"/>
        <v>3924</v>
      </c>
      <c r="AA111" s="132" t="s">
        <v>71</v>
      </c>
      <c r="AB111" s="132" t="s">
        <v>60</v>
      </c>
      <c r="AC111" s="132" t="s">
        <v>60</v>
      </c>
      <c r="AD111" s="132" t="s">
        <v>71</v>
      </c>
      <c r="AE111" s="132" t="s">
        <v>71</v>
      </c>
      <c r="AF111" s="134" t="s">
        <v>68</v>
      </c>
      <c r="AG111" s="132" t="s">
        <v>81</v>
      </c>
      <c r="AH111" s="132" t="s">
        <v>71</v>
      </c>
      <c r="AI111" s="132" t="s">
        <v>60</v>
      </c>
      <c r="AJ111" s="132" t="s">
        <v>71</v>
      </c>
      <c r="AK111" s="132" t="s">
        <v>60</v>
      </c>
      <c r="AL111" s="132" t="s">
        <v>60</v>
      </c>
      <c r="AM111" s="132" t="s">
        <v>60</v>
      </c>
      <c r="AN111" s="132" t="s">
        <v>60</v>
      </c>
      <c r="AO111" s="132" t="s">
        <v>71</v>
      </c>
      <c r="AP111" s="132" t="s">
        <v>71</v>
      </c>
      <c r="AQ111" s="132" t="s">
        <v>71</v>
      </c>
      <c r="AR111" s="132" t="s">
        <v>71</v>
      </c>
      <c r="AS111" s="132" t="s">
        <v>71</v>
      </c>
      <c r="AT111" s="132" t="s">
        <v>71</v>
      </c>
      <c r="AU111" s="132" t="s">
        <v>71</v>
      </c>
      <c r="AV111" s="132" t="s">
        <v>71</v>
      </c>
      <c r="AW111" s="132" t="s">
        <v>71</v>
      </c>
      <c r="AX111" s="132" t="s">
        <v>71</v>
      </c>
      <c r="AY111" s="132" t="s">
        <v>71</v>
      </c>
      <c r="AZ111" s="132" t="s">
        <v>71</v>
      </c>
      <c r="BA111" s="132" t="s">
        <v>71</v>
      </c>
      <c r="BB111" s="132" t="s">
        <v>71</v>
      </c>
      <c r="BC111" s="132" t="s">
        <v>71</v>
      </c>
      <c r="BD111" s="132" t="s">
        <v>71</v>
      </c>
      <c r="BE111" s="132" t="s">
        <v>71</v>
      </c>
      <c r="BF111" s="132" t="s">
        <v>71</v>
      </c>
      <c r="BG111" s="132" t="s">
        <v>71</v>
      </c>
      <c r="BH111" s="132" t="s">
        <v>71</v>
      </c>
      <c r="BI111" s="132" t="s">
        <v>71</v>
      </c>
      <c r="BJ111" s="132" t="s">
        <v>71</v>
      </c>
      <c r="BK111" s="132" t="s">
        <v>71</v>
      </c>
      <c r="BL111" s="132" t="s">
        <v>71</v>
      </c>
      <c r="BM111" s="132" t="s">
        <v>71</v>
      </c>
      <c r="BN111" s="132" t="s">
        <v>71</v>
      </c>
      <c r="BO111" s="132" t="s">
        <v>71</v>
      </c>
      <c r="BP111" s="132" t="s">
        <v>71</v>
      </c>
      <c r="BQ111" s="132" t="s">
        <v>71</v>
      </c>
      <c r="BR111" s="132" t="s">
        <v>71</v>
      </c>
      <c r="BS111" s="132" t="s">
        <v>71</v>
      </c>
      <c r="BT111" s="132" t="s">
        <v>71</v>
      </c>
      <c r="BU111" s="132" t="s">
        <v>60</v>
      </c>
      <c r="BV111" s="132" t="s">
        <v>71</v>
      </c>
      <c r="BW111" s="132" t="s">
        <v>60</v>
      </c>
      <c r="BX111" s="132" t="s">
        <v>71</v>
      </c>
      <c r="BY111" s="132" t="s">
        <v>60</v>
      </c>
      <c r="BZ111" s="132" t="s">
        <v>71</v>
      </c>
      <c r="CA111" s="132" t="s">
        <v>60</v>
      </c>
      <c r="CB111" s="132" t="s">
        <v>71</v>
      </c>
      <c r="CC111" s="132" t="s">
        <v>60</v>
      </c>
      <c r="CD111" s="132" t="s">
        <v>71</v>
      </c>
      <c r="CE111" s="132" t="s">
        <v>60</v>
      </c>
      <c r="CF111" s="132" t="s">
        <v>71</v>
      </c>
      <c r="CG111" s="132" t="s">
        <v>60</v>
      </c>
      <c r="CH111" s="132" t="s">
        <v>71</v>
      </c>
      <c r="CI111" s="132" t="s">
        <v>60</v>
      </c>
      <c r="CJ111" s="132" t="s">
        <v>71</v>
      </c>
      <c r="CK111" s="132" t="s">
        <v>60</v>
      </c>
      <c r="CL111" s="132" t="s">
        <v>71</v>
      </c>
      <c r="CM111" s="132" t="s">
        <v>60</v>
      </c>
      <c r="CN111" s="132" t="s">
        <v>71</v>
      </c>
      <c r="CO111" s="132" t="s">
        <v>60</v>
      </c>
      <c r="CP111" s="132" t="s">
        <v>71</v>
      </c>
      <c r="CQ111" s="132" t="s">
        <v>60</v>
      </c>
      <c r="CR111" s="132" t="s">
        <v>71</v>
      </c>
      <c r="CS111" s="132" t="s">
        <v>60</v>
      </c>
      <c r="CT111" s="132" t="s">
        <v>71</v>
      </c>
      <c r="CU111" s="132" t="s">
        <v>60</v>
      </c>
      <c r="CV111" s="132" t="s">
        <v>71</v>
      </c>
      <c r="CW111" s="132" t="s">
        <v>60</v>
      </c>
      <c r="CX111" s="132" t="s">
        <v>71</v>
      </c>
      <c r="CY111" s="132" t="s">
        <v>60</v>
      </c>
      <c r="CZ111" s="132" t="s">
        <v>71</v>
      </c>
      <c r="DA111" s="132" t="s">
        <v>60</v>
      </c>
      <c r="DB111" s="132" t="s">
        <v>71</v>
      </c>
      <c r="DC111" s="132" t="s">
        <v>60</v>
      </c>
      <c r="DD111" s="132" t="s">
        <v>71</v>
      </c>
      <c r="DE111" s="137" t="str">
        <f t="shared" si="39"/>
        <v>9&lt; YEARS OLD</v>
      </c>
      <c r="DF111" s="137">
        <f t="shared" si="41"/>
        <v>0</v>
      </c>
    </row>
    <row r="112" spans="1:110" x14ac:dyDescent="0.2">
      <c r="A112" s="160"/>
      <c r="B112" s="5">
        <f t="shared" si="42"/>
        <v>110</v>
      </c>
      <c r="C112" s="131" t="str">
        <f t="shared" si="45"/>
        <v>CNS146</v>
      </c>
      <c r="D112" s="135" t="s">
        <v>244</v>
      </c>
      <c r="E112" s="131" t="str">
        <f t="shared" si="43"/>
        <v>CNS146_CONTROL</v>
      </c>
      <c r="F112" s="131"/>
      <c r="G112" s="130">
        <f t="shared" si="40"/>
        <v>146</v>
      </c>
      <c r="H112" s="131"/>
      <c r="I112" s="131"/>
      <c r="J112" s="132" t="s">
        <v>60</v>
      </c>
      <c r="K112" s="132" t="s">
        <v>177</v>
      </c>
      <c r="L112" s="132" t="s">
        <v>301</v>
      </c>
      <c r="M112" s="131" t="s">
        <v>81</v>
      </c>
      <c r="N112" s="131" t="s">
        <v>81</v>
      </c>
      <c r="O112" s="131" t="s">
        <v>81</v>
      </c>
      <c r="P112" s="131" t="s">
        <v>310</v>
      </c>
      <c r="Q112" s="131" t="s">
        <v>296</v>
      </c>
      <c r="R112" s="131" t="s">
        <v>89</v>
      </c>
      <c r="S112" s="131" t="s">
        <v>297</v>
      </c>
      <c r="T112" s="131"/>
      <c r="U112" s="132" t="s">
        <v>81</v>
      </c>
      <c r="V112" s="132" t="s">
        <v>119</v>
      </c>
      <c r="W112" s="132"/>
      <c r="X112" s="132"/>
      <c r="Y112" s="133">
        <v>0.38922570681177121</v>
      </c>
      <c r="Z112" s="133">
        <f t="shared" si="38"/>
        <v>54.682833926965017</v>
      </c>
      <c r="AA112" s="132" t="s">
        <v>71</v>
      </c>
      <c r="AB112" s="132" t="s">
        <v>60</v>
      </c>
      <c r="AC112" s="132" t="s">
        <v>60</v>
      </c>
      <c r="AD112" s="132" t="s">
        <v>71</v>
      </c>
      <c r="AE112" s="132" t="s">
        <v>71</v>
      </c>
      <c r="AF112" s="134" t="s">
        <v>68</v>
      </c>
      <c r="AG112" s="132" t="s">
        <v>81</v>
      </c>
      <c r="AH112" s="132" t="s">
        <v>71</v>
      </c>
      <c r="AI112" s="132" t="s">
        <v>60</v>
      </c>
      <c r="AJ112" s="132" t="s">
        <v>71</v>
      </c>
      <c r="AK112" s="132" t="s">
        <v>60</v>
      </c>
      <c r="AL112" s="132" t="s">
        <v>60</v>
      </c>
      <c r="AM112" s="132" t="s">
        <v>60</v>
      </c>
      <c r="AN112" s="132" t="s">
        <v>60</v>
      </c>
      <c r="AO112" s="132" t="s">
        <v>71</v>
      </c>
      <c r="AP112" s="132" t="s">
        <v>71</v>
      </c>
      <c r="AQ112" s="132" t="s">
        <v>71</v>
      </c>
      <c r="AR112" s="132" t="s">
        <v>71</v>
      </c>
      <c r="AS112" s="132" t="s">
        <v>71</v>
      </c>
      <c r="AT112" s="132" t="s">
        <v>71</v>
      </c>
      <c r="AU112" s="132" t="s">
        <v>71</v>
      </c>
      <c r="AV112" s="132" t="s">
        <v>71</v>
      </c>
      <c r="AW112" s="132" t="s">
        <v>71</v>
      </c>
      <c r="AX112" s="132" t="s">
        <v>71</v>
      </c>
      <c r="AY112" s="132" t="s">
        <v>71</v>
      </c>
      <c r="AZ112" s="132" t="s">
        <v>71</v>
      </c>
      <c r="BA112" s="132" t="s">
        <v>71</v>
      </c>
      <c r="BB112" s="132" t="s">
        <v>71</v>
      </c>
      <c r="BC112" s="132" t="s">
        <v>71</v>
      </c>
      <c r="BD112" s="132" t="s">
        <v>71</v>
      </c>
      <c r="BE112" s="132" t="s">
        <v>71</v>
      </c>
      <c r="BF112" s="132" t="s">
        <v>71</v>
      </c>
      <c r="BG112" s="132" t="s">
        <v>71</v>
      </c>
      <c r="BH112" s="132" t="s">
        <v>71</v>
      </c>
      <c r="BI112" s="132" t="s">
        <v>71</v>
      </c>
      <c r="BJ112" s="132" t="s">
        <v>71</v>
      </c>
      <c r="BK112" s="132" t="s">
        <v>71</v>
      </c>
      <c r="BL112" s="132" t="s">
        <v>71</v>
      </c>
      <c r="BM112" s="132" t="s">
        <v>71</v>
      </c>
      <c r="BN112" s="132" t="s">
        <v>71</v>
      </c>
      <c r="BO112" s="132" t="s">
        <v>71</v>
      </c>
      <c r="BP112" s="132" t="s">
        <v>71</v>
      </c>
      <c r="BQ112" s="132" t="s">
        <v>71</v>
      </c>
      <c r="BR112" s="132" t="s">
        <v>71</v>
      </c>
      <c r="BS112" s="132" t="s">
        <v>71</v>
      </c>
      <c r="BT112" s="132" t="s">
        <v>71</v>
      </c>
      <c r="BU112" s="132" t="s">
        <v>60</v>
      </c>
      <c r="BV112" s="132" t="s">
        <v>71</v>
      </c>
      <c r="BW112" s="132" t="s">
        <v>60</v>
      </c>
      <c r="BX112" s="132" t="s">
        <v>71</v>
      </c>
      <c r="BY112" s="132" t="s">
        <v>60</v>
      </c>
      <c r="BZ112" s="132" t="s">
        <v>71</v>
      </c>
      <c r="CA112" s="132" t="s">
        <v>60</v>
      </c>
      <c r="CB112" s="132" t="s">
        <v>71</v>
      </c>
      <c r="CC112" s="132" t="s">
        <v>60</v>
      </c>
      <c r="CD112" s="132" t="s">
        <v>71</v>
      </c>
      <c r="CE112" s="132" t="s">
        <v>60</v>
      </c>
      <c r="CF112" s="132" t="s">
        <v>71</v>
      </c>
      <c r="CG112" s="132" t="s">
        <v>60</v>
      </c>
      <c r="CH112" s="132" t="s">
        <v>71</v>
      </c>
      <c r="CI112" s="132" t="s">
        <v>60</v>
      </c>
      <c r="CJ112" s="132" t="s">
        <v>71</v>
      </c>
      <c r="CK112" s="132" t="s">
        <v>60</v>
      </c>
      <c r="CL112" s="132" t="s">
        <v>71</v>
      </c>
      <c r="CM112" s="132" t="s">
        <v>60</v>
      </c>
      <c r="CN112" s="132" t="s">
        <v>71</v>
      </c>
      <c r="CO112" s="132" t="s">
        <v>60</v>
      </c>
      <c r="CP112" s="132" t="s">
        <v>71</v>
      </c>
      <c r="CQ112" s="132" t="s">
        <v>60</v>
      </c>
      <c r="CR112" s="132" t="s">
        <v>71</v>
      </c>
      <c r="CS112" s="132" t="s">
        <v>60</v>
      </c>
      <c r="CT112" s="132" t="s">
        <v>71</v>
      </c>
      <c r="CU112" s="132" t="s">
        <v>60</v>
      </c>
      <c r="CV112" s="132" t="s">
        <v>71</v>
      </c>
      <c r="CW112" s="132" t="s">
        <v>60</v>
      </c>
      <c r="CX112" s="132" t="s">
        <v>71</v>
      </c>
      <c r="CY112" s="132" t="s">
        <v>60</v>
      </c>
      <c r="CZ112" s="132" t="s">
        <v>71</v>
      </c>
      <c r="DA112" s="132" t="s">
        <v>60</v>
      </c>
      <c r="DB112" s="132" t="s">
        <v>71</v>
      </c>
      <c r="DC112" s="132" t="s">
        <v>60</v>
      </c>
      <c r="DD112" s="132" t="s">
        <v>71</v>
      </c>
      <c r="DE112" s="137" t="str">
        <f t="shared" si="39"/>
        <v>3&gt; YEARS OLD</v>
      </c>
      <c r="DF112" s="137">
        <f t="shared" si="41"/>
        <v>0</v>
      </c>
    </row>
    <row r="113" spans="1:110" x14ac:dyDescent="0.2">
      <c r="A113" s="160"/>
      <c r="B113" s="5">
        <f t="shared" si="42"/>
        <v>111</v>
      </c>
      <c r="C113" s="131" t="str">
        <f t="shared" si="45"/>
        <v>CNS147</v>
      </c>
      <c r="D113" s="135" t="s">
        <v>245</v>
      </c>
      <c r="E113" s="131" t="str">
        <f t="shared" si="43"/>
        <v>CNS147_CONTROL</v>
      </c>
      <c r="F113" s="131"/>
      <c r="G113" s="130">
        <f t="shared" si="40"/>
        <v>147</v>
      </c>
      <c r="H113" s="131"/>
      <c r="I113" s="131"/>
      <c r="J113" s="132" t="s">
        <v>25</v>
      </c>
      <c r="K113" s="132" t="s">
        <v>177</v>
      </c>
      <c r="L113" s="132" t="s">
        <v>301</v>
      </c>
      <c r="M113" s="131" t="s">
        <v>81</v>
      </c>
      <c r="N113" s="131" t="s">
        <v>81</v>
      </c>
      <c r="O113" s="131" t="s">
        <v>81</v>
      </c>
      <c r="P113" s="131" t="s">
        <v>312</v>
      </c>
      <c r="Q113" s="131" t="s">
        <v>81</v>
      </c>
      <c r="R113" s="131" t="s">
        <v>89</v>
      </c>
      <c r="S113" s="131" t="s">
        <v>297</v>
      </c>
      <c r="T113" s="131"/>
      <c r="U113" s="132" t="s">
        <v>81</v>
      </c>
      <c r="V113" s="132" t="s">
        <v>175</v>
      </c>
      <c r="W113" s="132"/>
      <c r="X113" s="132"/>
      <c r="Y113" s="133">
        <v>0.26301369863013696</v>
      </c>
      <c r="Z113" s="133">
        <f t="shared" si="38"/>
        <v>48.624657534246573</v>
      </c>
      <c r="AA113" s="132" t="s">
        <v>71</v>
      </c>
      <c r="AB113" s="132" t="s">
        <v>60</v>
      </c>
      <c r="AC113" s="132" t="s">
        <v>60</v>
      </c>
      <c r="AD113" s="132" t="s">
        <v>71</v>
      </c>
      <c r="AE113" s="132" t="s">
        <v>71</v>
      </c>
      <c r="AF113" s="134" t="s">
        <v>68</v>
      </c>
      <c r="AG113" s="132" t="s">
        <v>81</v>
      </c>
      <c r="AH113" s="132" t="s">
        <v>71</v>
      </c>
      <c r="AI113" s="132" t="s">
        <v>60</v>
      </c>
      <c r="AJ113" s="132" t="s">
        <v>71</v>
      </c>
      <c r="AK113" s="132" t="s">
        <v>60</v>
      </c>
      <c r="AL113" s="132" t="s">
        <v>60</v>
      </c>
      <c r="AM113" s="132" t="s">
        <v>60</v>
      </c>
      <c r="AN113" s="132" t="s">
        <v>60</v>
      </c>
      <c r="AO113" s="132" t="s">
        <v>71</v>
      </c>
      <c r="AP113" s="132" t="s">
        <v>71</v>
      </c>
      <c r="AQ113" s="132" t="s">
        <v>71</v>
      </c>
      <c r="AR113" s="132" t="s">
        <v>71</v>
      </c>
      <c r="AS113" s="132" t="s">
        <v>71</v>
      </c>
      <c r="AT113" s="132" t="s">
        <v>71</v>
      </c>
      <c r="AU113" s="132" t="s">
        <v>71</v>
      </c>
      <c r="AV113" s="132" t="s">
        <v>71</v>
      </c>
      <c r="AW113" s="132" t="s">
        <v>71</v>
      </c>
      <c r="AX113" s="132" t="s">
        <v>71</v>
      </c>
      <c r="AY113" s="132" t="s">
        <v>71</v>
      </c>
      <c r="AZ113" s="132" t="s">
        <v>71</v>
      </c>
      <c r="BA113" s="132" t="s">
        <v>71</v>
      </c>
      <c r="BB113" s="132" t="s">
        <v>71</v>
      </c>
      <c r="BC113" s="132" t="s">
        <v>71</v>
      </c>
      <c r="BD113" s="132" t="s">
        <v>71</v>
      </c>
      <c r="BE113" s="132" t="s">
        <v>71</v>
      </c>
      <c r="BF113" s="132" t="s">
        <v>71</v>
      </c>
      <c r="BG113" s="132" t="s">
        <v>71</v>
      </c>
      <c r="BH113" s="132" t="s">
        <v>71</v>
      </c>
      <c r="BI113" s="132" t="s">
        <v>71</v>
      </c>
      <c r="BJ113" s="132" t="s">
        <v>71</v>
      </c>
      <c r="BK113" s="132" t="s">
        <v>71</v>
      </c>
      <c r="BL113" s="132" t="s">
        <v>71</v>
      </c>
      <c r="BM113" s="132" t="s">
        <v>71</v>
      </c>
      <c r="BN113" s="132" t="s">
        <v>71</v>
      </c>
      <c r="BO113" s="132" t="s">
        <v>71</v>
      </c>
      <c r="BP113" s="132" t="s">
        <v>71</v>
      </c>
      <c r="BQ113" s="132" t="s">
        <v>71</v>
      </c>
      <c r="BR113" s="132" t="s">
        <v>71</v>
      </c>
      <c r="BS113" s="132" t="s">
        <v>71</v>
      </c>
      <c r="BT113" s="132" t="s">
        <v>71</v>
      </c>
      <c r="BU113" s="132" t="s">
        <v>60</v>
      </c>
      <c r="BV113" s="132" t="s">
        <v>71</v>
      </c>
      <c r="BW113" s="132" t="s">
        <v>60</v>
      </c>
      <c r="BX113" s="132" t="s">
        <v>71</v>
      </c>
      <c r="BY113" s="132" t="s">
        <v>60</v>
      </c>
      <c r="BZ113" s="132" t="s">
        <v>71</v>
      </c>
      <c r="CA113" s="132" t="s">
        <v>60</v>
      </c>
      <c r="CB113" s="132" t="s">
        <v>71</v>
      </c>
      <c r="CC113" s="132" t="s">
        <v>60</v>
      </c>
      <c r="CD113" s="132" t="s">
        <v>71</v>
      </c>
      <c r="CE113" s="132" t="s">
        <v>60</v>
      </c>
      <c r="CF113" s="132" t="s">
        <v>71</v>
      </c>
      <c r="CG113" s="132" t="s">
        <v>60</v>
      </c>
      <c r="CH113" s="132" t="s">
        <v>71</v>
      </c>
      <c r="CI113" s="132" t="s">
        <v>60</v>
      </c>
      <c r="CJ113" s="132" t="s">
        <v>71</v>
      </c>
      <c r="CK113" s="132" t="s">
        <v>60</v>
      </c>
      <c r="CL113" s="132" t="s">
        <v>71</v>
      </c>
      <c r="CM113" s="132" t="s">
        <v>60</v>
      </c>
      <c r="CN113" s="132" t="s">
        <v>71</v>
      </c>
      <c r="CO113" s="132" t="s">
        <v>60</v>
      </c>
      <c r="CP113" s="132" t="s">
        <v>71</v>
      </c>
      <c r="CQ113" s="132" t="s">
        <v>60</v>
      </c>
      <c r="CR113" s="132" t="s">
        <v>71</v>
      </c>
      <c r="CS113" s="132" t="s">
        <v>60</v>
      </c>
      <c r="CT113" s="132" t="s">
        <v>71</v>
      </c>
      <c r="CU113" s="132" t="s">
        <v>60</v>
      </c>
      <c r="CV113" s="132" t="s">
        <v>71</v>
      </c>
      <c r="CW113" s="132" t="s">
        <v>60</v>
      </c>
      <c r="CX113" s="132" t="s">
        <v>71</v>
      </c>
      <c r="CY113" s="132" t="s">
        <v>60</v>
      </c>
      <c r="CZ113" s="132" t="s">
        <v>71</v>
      </c>
      <c r="DA113" s="132" t="s">
        <v>60</v>
      </c>
      <c r="DB113" s="132" t="s">
        <v>71</v>
      </c>
      <c r="DC113" s="132" t="s">
        <v>60</v>
      </c>
      <c r="DD113" s="132" t="s">
        <v>71</v>
      </c>
      <c r="DE113" s="137" t="str">
        <f t="shared" si="39"/>
        <v>3&gt; YEARS OLD</v>
      </c>
      <c r="DF113" s="137">
        <f t="shared" si="41"/>
        <v>0</v>
      </c>
    </row>
    <row r="114" spans="1:110" x14ac:dyDescent="0.2">
      <c r="A114" s="160"/>
      <c r="B114" s="5">
        <f t="shared" si="42"/>
        <v>112</v>
      </c>
      <c r="C114" s="131" t="str">
        <f t="shared" si="45"/>
        <v>CNS148</v>
      </c>
      <c r="D114" s="135" t="s">
        <v>246</v>
      </c>
      <c r="E114" s="131" t="str">
        <f t="shared" si="43"/>
        <v>CNS148_CONTROL</v>
      </c>
      <c r="F114" s="131"/>
      <c r="G114" s="130">
        <f t="shared" si="40"/>
        <v>148</v>
      </c>
      <c r="H114" s="131"/>
      <c r="I114" s="131"/>
      <c r="J114" s="132" t="s">
        <v>25</v>
      </c>
      <c r="K114" s="132" t="s">
        <v>177</v>
      </c>
      <c r="L114" s="132" t="s">
        <v>301</v>
      </c>
      <c r="M114" s="131" t="s">
        <v>81</v>
      </c>
      <c r="N114" s="131" t="s">
        <v>81</v>
      </c>
      <c r="O114" s="131" t="s">
        <v>81</v>
      </c>
      <c r="P114" s="131" t="s">
        <v>312</v>
      </c>
      <c r="Q114" s="131" t="s">
        <v>81</v>
      </c>
      <c r="R114" s="131" t="s">
        <v>89</v>
      </c>
      <c r="S114" s="131" t="s">
        <v>297</v>
      </c>
      <c r="T114" s="131"/>
      <c r="U114" s="132" t="s">
        <v>81</v>
      </c>
      <c r="V114" s="132" t="s">
        <v>175</v>
      </c>
      <c r="W114" s="132"/>
      <c r="X114" s="132"/>
      <c r="Y114" s="133">
        <v>1.3369863013698631</v>
      </c>
      <c r="Z114" s="133">
        <f t="shared" si="38"/>
        <v>100.17534246575343</v>
      </c>
      <c r="AA114" s="132" t="s">
        <v>71</v>
      </c>
      <c r="AB114" s="132" t="s">
        <v>60</v>
      </c>
      <c r="AC114" s="132" t="s">
        <v>60</v>
      </c>
      <c r="AD114" s="132" t="s">
        <v>71</v>
      </c>
      <c r="AE114" s="132" t="s">
        <v>71</v>
      </c>
      <c r="AF114" s="134" t="s">
        <v>68</v>
      </c>
      <c r="AG114" s="132" t="s">
        <v>81</v>
      </c>
      <c r="AH114" s="132" t="s">
        <v>71</v>
      </c>
      <c r="AI114" s="132" t="s">
        <v>60</v>
      </c>
      <c r="AJ114" s="132" t="s">
        <v>71</v>
      </c>
      <c r="AK114" s="132" t="s">
        <v>60</v>
      </c>
      <c r="AL114" s="132" t="s">
        <v>60</v>
      </c>
      <c r="AM114" s="132" t="s">
        <v>60</v>
      </c>
      <c r="AN114" s="132" t="s">
        <v>60</v>
      </c>
      <c r="AO114" s="132" t="s">
        <v>71</v>
      </c>
      <c r="AP114" s="132" t="s">
        <v>71</v>
      </c>
      <c r="AQ114" s="132" t="s">
        <v>71</v>
      </c>
      <c r="AR114" s="132" t="s">
        <v>71</v>
      </c>
      <c r="AS114" s="132" t="s">
        <v>71</v>
      </c>
      <c r="AT114" s="132" t="s">
        <v>71</v>
      </c>
      <c r="AU114" s="132" t="s">
        <v>71</v>
      </c>
      <c r="AV114" s="132" t="s">
        <v>71</v>
      </c>
      <c r="AW114" s="132" t="s">
        <v>71</v>
      </c>
      <c r="AX114" s="132" t="s">
        <v>71</v>
      </c>
      <c r="AY114" s="132" t="s">
        <v>71</v>
      </c>
      <c r="AZ114" s="132" t="s">
        <v>71</v>
      </c>
      <c r="BA114" s="132" t="s">
        <v>71</v>
      </c>
      <c r="BB114" s="132" t="s">
        <v>71</v>
      </c>
      <c r="BC114" s="132" t="s">
        <v>71</v>
      </c>
      <c r="BD114" s="132" t="s">
        <v>71</v>
      </c>
      <c r="BE114" s="132" t="s">
        <v>71</v>
      </c>
      <c r="BF114" s="132" t="s">
        <v>71</v>
      </c>
      <c r="BG114" s="132" t="s">
        <v>71</v>
      </c>
      <c r="BH114" s="132" t="s">
        <v>71</v>
      </c>
      <c r="BI114" s="132" t="s">
        <v>71</v>
      </c>
      <c r="BJ114" s="132" t="s">
        <v>71</v>
      </c>
      <c r="BK114" s="132" t="s">
        <v>71</v>
      </c>
      <c r="BL114" s="132" t="s">
        <v>71</v>
      </c>
      <c r="BM114" s="132" t="s">
        <v>71</v>
      </c>
      <c r="BN114" s="132" t="s">
        <v>71</v>
      </c>
      <c r="BO114" s="132" t="s">
        <v>71</v>
      </c>
      <c r="BP114" s="132" t="s">
        <v>71</v>
      </c>
      <c r="BQ114" s="132" t="s">
        <v>71</v>
      </c>
      <c r="BR114" s="132" t="s">
        <v>71</v>
      </c>
      <c r="BS114" s="132" t="s">
        <v>71</v>
      </c>
      <c r="BT114" s="132" t="s">
        <v>71</v>
      </c>
      <c r="BU114" s="132" t="s">
        <v>60</v>
      </c>
      <c r="BV114" s="132" t="s">
        <v>71</v>
      </c>
      <c r="BW114" s="132" t="s">
        <v>60</v>
      </c>
      <c r="BX114" s="132" t="s">
        <v>71</v>
      </c>
      <c r="BY114" s="132" t="s">
        <v>60</v>
      </c>
      <c r="BZ114" s="132" t="s">
        <v>71</v>
      </c>
      <c r="CA114" s="132" t="s">
        <v>60</v>
      </c>
      <c r="CB114" s="132" t="s">
        <v>71</v>
      </c>
      <c r="CC114" s="132" t="s">
        <v>60</v>
      </c>
      <c r="CD114" s="132" t="s">
        <v>71</v>
      </c>
      <c r="CE114" s="132" t="s">
        <v>60</v>
      </c>
      <c r="CF114" s="132" t="s">
        <v>71</v>
      </c>
      <c r="CG114" s="132" t="s">
        <v>60</v>
      </c>
      <c r="CH114" s="132" t="s">
        <v>71</v>
      </c>
      <c r="CI114" s="132" t="s">
        <v>60</v>
      </c>
      <c r="CJ114" s="132" t="s">
        <v>71</v>
      </c>
      <c r="CK114" s="132" t="s">
        <v>60</v>
      </c>
      <c r="CL114" s="132" t="s">
        <v>71</v>
      </c>
      <c r="CM114" s="132" t="s">
        <v>60</v>
      </c>
      <c r="CN114" s="132" t="s">
        <v>71</v>
      </c>
      <c r="CO114" s="132" t="s">
        <v>60</v>
      </c>
      <c r="CP114" s="132" t="s">
        <v>71</v>
      </c>
      <c r="CQ114" s="132" t="s">
        <v>60</v>
      </c>
      <c r="CR114" s="132" t="s">
        <v>71</v>
      </c>
      <c r="CS114" s="132" t="s">
        <v>60</v>
      </c>
      <c r="CT114" s="132" t="s">
        <v>71</v>
      </c>
      <c r="CU114" s="132" t="s">
        <v>60</v>
      </c>
      <c r="CV114" s="132" t="s">
        <v>71</v>
      </c>
      <c r="CW114" s="132" t="s">
        <v>60</v>
      </c>
      <c r="CX114" s="132" t="s">
        <v>71</v>
      </c>
      <c r="CY114" s="132" t="s">
        <v>60</v>
      </c>
      <c r="CZ114" s="132" t="s">
        <v>71</v>
      </c>
      <c r="DA114" s="132" t="s">
        <v>60</v>
      </c>
      <c r="DB114" s="132" t="s">
        <v>71</v>
      </c>
      <c r="DC114" s="132" t="s">
        <v>60</v>
      </c>
      <c r="DD114" s="132" t="s">
        <v>71</v>
      </c>
      <c r="DE114" s="137" t="str">
        <f t="shared" si="39"/>
        <v>3&gt; YEARS OLD</v>
      </c>
      <c r="DF114" s="137">
        <f t="shared" si="41"/>
        <v>0</v>
      </c>
    </row>
    <row r="115" spans="1:110" x14ac:dyDescent="0.2">
      <c r="A115" s="160"/>
      <c r="B115" s="5">
        <f t="shared" si="42"/>
        <v>113</v>
      </c>
      <c r="C115" s="131" t="str">
        <f t="shared" si="45"/>
        <v>CNS149</v>
      </c>
      <c r="D115" s="135" t="s">
        <v>247</v>
      </c>
      <c r="E115" s="131" t="str">
        <f t="shared" si="43"/>
        <v>CNS149_CONTROL</v>
      </c>
      <c r="F115" s="131"/>
      <c r="G115" s="130">
        <f t="shared" si="40"/>
        <v>149</v>
      </c>
      <c r="H115" s="131"/>
      <c r="I115" s="131"/>
      <c r="J115" s="132" t="s">
        <v>24</v>
      </c>
      <c r="K115" s="132" t="s">
        <v>177</v>
      </c>
      <c r="L115" s="132" t="s">
        <v>301</v>
      </c>
      <c r="M115" s="131" t="s">
        <v>81</v>
      </c>
      <c r="N115" s="131" t="s">
        <v>81</v>
      </c>
      <c r="O115" s="131" t="s">
        <v>81</v>
      </c>
      <c r="P115" s="131" t="s">
        <v>311</v>
      </c>
      <c r="Q115" s="131" t="s">
        <v>81</v>
      </c>
      <c r="R115" s="131" t="s">
        <v>89</v>
      </c>
      <c r="S115" s="131" t="s">
        <v>297</v>
      </c>
      <c r="T115" s="131"/>
      <c r="U115" s="132" t="s">
        <v>81</v>
      </c>
      <c r="V115" s="132" t="s">
        <v>172</v>
      </c>
      <c r="W115" s="132"/>
      <c r="X115" s="132"/>
      <c r="Y115" s="133">
        <v>0</v>
      </c>
      <c r="Z115" s="133">
        <v>18</v>
      </c>
      <c r="AA115" s="132" t="s">
        <v>71</v>
      </c>
      <c r="AB115" s="132" t="s">
        <v>60</v>
      </c>
      <c r="AC115" s="132" t="s">
        <v>60</v>
      </c>
      <c r="AD115" s="132" t="s">
        <v>71</v>
      </c>
      <c r="AE115" s="132" t="s">
        <v>71</v>
      </c>
      <c r="AF115" s="134" t="s">
        <v>68</v>
      </c>
      <c r="AG115" s="132" t="s">
        <v>81</v>
      </c>
      <c r="AH115" s="132" t="s">
        <v>71</v>
      </c>
      <c r="AI115" s="132" t="s">
        <v>60</v>
      </c>
      <c r="AJ115" s="132" t="s">
        <v>71</v>
      </c>
      <c r="AK115" s="132" t="s">
        <v>60</v>
      </c>
      <c r="AL115" s="132" t="s">
        <v>60</v>
      </c>
      <c r="AM115" s="132" t="s">
        <v>60</v>
      </c>
      <c r="AN115" s="132" t="s">
        <v>60</v>
      </c>
      <c r="AO115" s="132" t="s">
        <v>71</v>
      </c>
      <c r="AP115" s="132" t="s">
        <v>71</v>
      </c>
      <c r="AQ115" s="132" t="s">
        <v>71</v>
      </c>
      <c r="AR115" s="132" t="s">
        <v>71</v>
      </c>
      <c r="AS115" s="132" t="s">
        <v>71</v>
      </c>
      <c r="AT115" s="132" t="s">
        <v>71</v>
      </c>
      <c r="AU115" s="132" t="s">
        <v>71</v>
      </c>
      <c r="AV115" s="132" t="s">
        <v>71</v>
      </c>
      <c r="AW115" s="132" t="s">
        <v>71</v>
      </c>
      <c r="AX115" s="132" t="s">
        <v>71</v>
      </c>
      <c r="AY115" s="132" t="s">
        <v>71</v>
      </c>
      <c r="AZ115" s="132" t="s">
        <v>71</v>
      </c>
      <c r="BA115" s="132" t="s">
        <v>71</v>
      </c>
      <c r="BB115" s="132" t="s">
        <v>71</v>
      </c>
      <c r="BC115" s="132" t="s">
        <v>71</v>
      </c>
      <c r="BD115" s="132" t="s">
        <v>71</v>
      </c>
      <c r="BE115" s="132" t="s">
        <v>71</v>
      </c>
      <c r="BF115" s="132" t="s">
        <v>71</v>
      </c>
      <c r="BG115" s="132" t="s">
        <v>71</v>
      </c>
      <c r="BH115" s="132" t="s">
        <v>71</v>
      </c>
      <c r="BI115" s="132" t="s">
        <v>71</v>
      </c>
      <c r="BJ115" s="132" t="s">
        <v>71</v>
      </c>
      <c r="BK115" s="132" t="s">
        <v>71</v>
      </c>
      <c r="BL115" s="132" t="s">
        <v>71</v>
      </c>
      <c r="BM115" s="132" t="s">
        <v>71</v>
      </c>
      <c r="BN115" s="132" t="s">
        <v>71</v>
      </c>
      <c r="BO115" s="132" t="s">
        <v>71</v>
      </c>
      <c r="BP115" s="132" t="s">
        <v>71</v>
      </c>
      <c r="BQ115" s="132" t="s">
        <v>71</v>
      </c>
      <c r="BR115" s="132" t="s">
        <v>71</v>
      </c>
      <c r="BS115" s="132" t="s">
        <v>71</v>
      </c>
      <c r="BT115" s="132" t="s">
        <v>71</v>
      </c>
      <c r="BU115" s="132" t="s">
        <v>60</v>
      </c>
      <c r="BV115" s="132" t="s">
        <v>71</v>
      </c>
      <c r="BW115" s="132" t="s">
        <v>60</v>
      </c>
      <c r="BX115" s="132" t="s">
        <v>71</v>
      </c>
      <c r="BY115" s="132" t="s">
        <v>60</v>
      </c>
      <c r="BZ115" s="132" t="s">
        <v>71</v>
      </c>
      <c r="CA115" s="132" t="s">
        <v>60</v>
      </c>
      <c r="CB115" s="132" t="s">
        <v>71</v>
      </c>
      <c r="CC115" s="132" t="s">
        <v>60</v>
      </c>
      <c r="CD115" s="132" t="s">
        <v>71</v>
      </c>
      <c r="CE115" s="132" t="s">
        <v>60</v>
      </c>
      <c r="CF115" s="132" t="s">
        <v>71</v>
      </c>
      <c r="CG115" s="132" t="s">
        <v>60</v>
      </c>
      <c r="CH115" s="132" t="s">
        <v>71</v>
      </c>
      <c r="CI115" s="132" t="s">
        <v>60</v>
      </c>
      <c r="CJ115" s="132" t="s">
        <v>71</v>
      </c>
      <c r="CK115" s="132" t="s">
        <v>60</v>
      </c>
      <c r="CL115" s="132" t="s">
        <v>71</v>
      </c>
      <c r="CM115" s="132" t="s">
        <v>60</v>
      </c>
      <c r="CN115" s="132" t="s">
        <v>71</v>
      </c>
      <c r="CO115" s="132" t="s">
        <v>60</v>
      </c>
      <c r="CP115" s="132" t="s">
        <v>71</v>
      </c>
      <c r="CQ115" s="132" t="s">
        <v>60</v>
      </c>
      <c r="CR115" s="132" t="s">
        <v>71</v>
      </c>
      <c r="CS115" s="132" t="s">
        <v>60</v>
      </c>
      <c r="CT115" s="132" t="s">
        <v>71</v>
      </c>
      <c r="CU115" s="132" t="s">
        <v>60</v>
      </c>
      <c r="CV115" s="132" t="s">
        <v>71</v>
      </c>
      <c r="CW115" s="132" t="s">
        <v>60</v>
      </c>
      <c r="CX115" s="132" t="s">
        <v>71</v>
      </c>
      <c r="CY115" s="132" t="s">
        <v>60</v>
      </c>
      <c r="CZ115" s="132" t="s">
        <v>71</v>
      </c>
      <c r="DA115" s="132" t="s">
        <v>60</v>
      </c>
      <c r="DB115" s="132" t="s">
        <v>71</v>
      </c>
      <c r="DC115" s="132" t="s">
        <v>60</v>
      </c>
      <c r="DD115" s="132" t="s">
        <v>71</v>
      </c>
      <c r="DE115" s="137" t="str">
        <f t="shared" si="39"/>
        <v>FETAL</v>
      </c>
      <c r="DF115" s="137">
        <f t="shared" si="41"/>
        <v>0</v>
      </c>
    </row>
    <row r="116" spans="1:110" x14ac:dyDescent="0.2">
      <c r="A116" s="160"/>
      <c r="B116" s="5">
        <f t="shared" si="42"/>
        <v>114</v>
      </c>
      <c r="C116" s="131" t="str">
        <f t="shared" si="45"/>
        <v>CNS150</v>
      </c>
      <c r="D116" s="135" t="s">
        <v>248</v>
      </c>
      <c r="E116" s="131" t="str">
        <f t="shared" si="43"/>
        <v>CNS150_CONTROL</v>
      </c>
      <c r="F116" s="131"/>
      <c r="G116" s="130">
        <f t="shared" si="40"/>
        <v>150</v>
      </c>
      <c r="H116" s="131"/>
      <c r="I116" s="131"/>
      <c r="J116" s="132" t="s">
        <v>25</v>
      </c>
      <c r="K116" s="132" t="s">
        <v>177</v>
      </c>
      <c r="L116" s="132" t="s">
        <v>301</v>
      </c>
      <c r="M116" s="131" t="s">
        <v>81</v>
      </c>
      <c r="N116" s="131" t="s">
        <v>81</v>
      </c>
      <c r="O116" s="131" t="s">
        <v>81</v>
      </c>
      <c r="P116" s="131" t="s">
        <v>309</v>
      </c>
      <c r="Q116" s="131" t="s">
        <v>81</v>
      </c>
      <c r="R116" s="131" t="s">
        <v>89</v>
      </c>
      <c r="S116" s="131" t="s">
        <v>297</v>
      </c>
      <c r="T116" s="131"/>
      <c r="U116" s="132" t="s">
        <v>81</v>
      </c>
      <c r="V116" s="132" t="s">
        <v>174</v>
      </c>
      <c r="W116" s="132"/>
      <c r="X116" s="132"/>
      <c r="Y116" s="133">
        <v>4.7068493150684931</v>
      </c>
      <c r="Z116" s="133">
        <f t="shared" si="38"/>
        <v>261.92876712328768</v>
      </c>
      <c r="AA116" s="132" t="s">
        <v>71</v>
      </c>
      <c r="AB116" s="132" t="s">
        <v>60</v>
      </c>
      <c r="AC116" s="132" t="s">
        <v>60</v>
      </c>
      <c r="AD116" s="132" t="s">
        <v>71</v>
      </c>
      <c r="AE116" s="132" t="s">
        <v>71</v>
      </c>
      <c r="AF116" s="134" t="s">
        <v>68</v>
      </c>
      <c r="AG116" s="132" t="s">
        <v>81</v>
      </c>
      <c r="AH116" s="132" t="s">
        <v>71</v>
      </c>
      <c r="AI116" s="132" t="s">
        <v>60</v>
      </c>
      <c r="AJ116" s="132" t="s">
        <v>71</v>
      </c>
      <c r="AK116" s="132" t="s">
        <v>60</v>
      </c>
      <c r="AL116" s="132" t="s">
        <v>60</v>
      </c>
      <c r="AM116" s="132" t="s">
        <v>60</v>
      </c>
      <c r="AN116" s="132" t="s">
        <v>60</v>
      </c>
      <c r="AO116" s="132" t="s">
        <v>71</v>
      </c>
      <c r="AP116" s="132" t="s">
        <v>71</v>
      </c>
      <c r="AQ116" s="132" t="s">
        <v>71</v>
      </c>
      <c r="AR116" s="132" t="s">
        <v>71</v>
      </c>
      <c r="AS116" s="132" t="s">
        <v>71</v>
      </c>
      <c r="AT116" s="132" t="s">
        <v>71</v>
      </c>
      <c r="AU116" s="132" t="s">
        <v>71</v>
      </c>
      <c r="AV116" s="132" t="s">
        <v>71</v>
      </c>
      <c r="AW116" s="132" t="s">
        <v>71</v>
      </c>
      <c r="AX116" s="132" t="s">
        <v>71</v>
      </c>
      <c r="AY116" s="132" t="s">
        <v>71</v>
      </c>
      <c r="AZ116" s="132" t="s">
        <v>71</v>
      </c>
      <c r="BA116" s="132" t="s">
        <v>71</v>
      </c>
      <c r="BB116" s="132" t="s">
        <v>71</v>
      </c>
      <c r="BC116" s="132" t="s">
        <v>71</v>
      </c>
      <c r="BD116" s="132" t="s">
        <v>71</v>
      </c>
      <c r="BE116" s="132" t="s">
        <v>71</v>
      </c>
      <c r="BF116" s="132" t="s">
        <v>71</v>
      </c>
      <c r="BG116" s="132" t="s">
        <v>71</v>
      </c>
      <c r="BH116" s="132" t="s">
        <v>71</v>
      </c>
      <c r="BI116" s="132" t="s">
        <v>71</v>
      </c>
      <c r="BJ116" s="132" t="s">
        <v>71</v>
      </c>
      <c r="BK116" s="132" t="s">
        <v>71</v>
      </c>
      <c r="BL116" s="132" t="s">
        <v>71</v>
      </c>
      <c r="BM116" s="132" t="s">
        <v>71</v>
      </c>
      <c r="BN116" s="132" t="s">
        <v>71</v>
      </c>
      <c r="BO116" s="132" t="s">
        <v>71</v>
      </c>
      <c r="BP116" s="132" t="s">
        <v>71</v>
      </c>
      <c r="BQ116" s="132" t="s">
        <v>71</v>
      </c>
      <c r="BR116" s="132" t="s">
        <v>71</v>
      </c>
      <c r="BS116" s="132" t="s">
        <v>71</v>
      </c>
      <c r="BT116" s="132" t="s">
        <v>71</v>
      </c>
      <c r="BU116" s="132" t="s">
        <v>60</v>
      </c>
      <c r="BV116" s="132" t="s">
        <v>71</v>
      </c>
      <c r="BW116" s="132" t="s">
        <v>60</v>
      </c>
      <c r="BX116" s="132" t="s">
        <v>71</v>
      </c>
      <c r="BY116" s="132" t="s">
        <v>60</v>
      </c>
      <c r="BZ116" s="132" t="s">
        <v>71</v>
      </c>
      <c r="CA116" s="132" t="s">
        <v>60</v>
      </c>
      <c r="CB116" s="132" t="s">
        <v>71</v>
      </c>
      <c r="CC116" s="132" t="s">
        <v>60</v>
      </c>
      <c r="CD116" s="132" t="s">
        <v>71</v>
      </c>
      <c r="CE116" s="132" t="s">
        <v>60</v>
      </c>
      <c r="CF116" s="132" t="s">
        <v>71</v>
      </c>
      <c r="CG116" s="132" t="s">
        <v>60</v>
      </c>
      <c r="CH116" s="132" t="s">
        <v>71</v>
      </c>
      <c r="CI116" s="132" t="s">
        <v>60</v>
      </c>
      <c r="CJ116" s="132" t="s">
        <v>71</v>
      </c>
      <c r="CK116" s="132" t="s">
        <v>60</v>
      </c>
      <c r="CL116" s="132" t="s">
        <v>71</v>
      </c>
      <c r="CM116" s="132" t="s">
        <v>60</v>
      </c>
      <c r="CN116" s="132" t="s">
        <v>71</v>
      </c>
      <c r="CO116" s="132" t="s">
        <v>60</v>
      </c>
      <c r="CP116" s="132" t="s">
        <v>71</v>
      </c>
      <c r="CQ116" s="132" t="s">
        <v>60</v>
      </c>
      <c r="CR116" s="132" t="s">
        <v>71</v>
      </c>
      <c r="CS116" s="132" t="s">
        <v>60</v>
      </c>
      <c r="CT116" s="132" t="s">
        <v>71</v>
      </c>
      <c r="CU116" s="132" t="s">
        <v>60</v>
      </c>
      <c r="CV116" s="132" t="s">
        <v>71</v>
      </c>
      <c r="CW116" s="132" t="s">
        <v>60</v>
      </c>
      <c r="CX116" s="132" t="s">
        <v>71</v>
      </c>
      <c r="CY116" s="132" t="s">
        <v>60</v>
      </c>
      <c r="CZ116" s="132" t="s">
        <v>71</v>
      </c>
      <c r="DA116" s="132" t="s">
        <v>60</v>
      </c>
      <c r="DB116" s="132" t="s">
        <v>71</v>
      </c>
      <c r="DC116" s="132" t="s">
        <v>60</v>
      </c>
      <c r="DD116" s="132" t="s">
        <v>71</v>
      </c>
      <c r="DE116" s="137" t="str">
        <f t="shared" si="39"/>
        <v>3&lt;YEARS OLD&lt;9</v>
      </c>
      <c r="DF116" s="137">
        <f t="shared" si="41"/>
        <v>0</v>
      </c>
    </row>
    <row r="117" spans="1:110" x14ac:dyDescent="0.2">
      <c r="A117" s="160"/>
      <c r="B117" s="5">
        <f t="shared" si="42"/>
        <v>115</v>
      </c>
      <c r="C117" s="131" t="str">
        <f t="shared" si="45"/>
        <v>CNS151</v>
      </c>
      <c r="D117" s="135" t="s">
        <v>249</v>
      </c>
      <c r="E117" s="131" t="str">
        <f t="shared" si="43"/>
        <v>CNS151_CONTROL</v>
      </c>
      <c r="F117" s="131"/>
      <c r="G117" s="130">
        <f t="shared" si="40"/>
        <v>151</v>
      </c>
      <c r="H117" s="131"/>
      <c r="I117" s="131"/>
      <c r="J117" s="132" t="s">
        <v>25</v>
      </c>
      <c r="K117" s="132" t="s">
        <v>177</v>
      </c>
      <c r="L117" s="132" t="s">
        <v>301</v>
      </c>
      <c r="M117" s="131" t="s">
        <v>81</v>
      </c>
      <c r="N117" s="131" t="s">
        <v>81</v>
      </c>
      <c r="O117" s="131" t="s">
        <v>81</v>
      </c>
      <c r="P117" s="131" t="s">
        <v>311</v>
      </c>
      <c r="Q117" s="131" t="s">
        <v>81</v>
      </c>
      <c r="R117" s="131" t="s">
        <v>89</v>
      </c>
      <c r="S117" s="131" t="s">
        <v>297</v>
      </c>
      <c r="T117" s="131"/>
      <c r="U117" s="132" t="s">
        <v>81</v>
      </c>
      <c r="V117" s="132" t="s">
        <v>172</v>
      </c>
      <c r="W117" s="132"/>
      <c r="X117" s="132"/>
      <c r="Y117" s="133">
        <v>0</v>
      </c>
      <c r="Z117" s="133">
        <v>17</v>
      </c>
      <c r="AA117" s="132" t="s">
        <v>71</v>
      </c>
      <c r="AB117" s="132" t="s">
        <v>60</v>
      </c>
      <c r="AC117" s="132" t="s">
        <v>60</v>
      </c>
      <c r="AD117" s="132" t="s">
        <v>71</v>
      </c>
      <c r="AE117" s="132" t="s">
        <v>71</v>
      </c>
      <c r="AF117" s="134" t="s">
        <v>68</v>
      </c>
      <c r="AG117" s="132" t="s">
        <v>81</v>
      </c>
      <c r="AH117" s="132" t="s">
        <v>71</v>
      </c>
      <c r="AI117" s="132" t="s">
        <v>60</v>
      </c>
      <c r="AJ117" s="132" t="s">
        <v>71</v>
      </c>
      <c r="AK117" s="132" t="s">
        <v>60</v>
      </c>
      <c r="AL117" s="132" t="s">
        <v>60</v>
      </c>
      <c r="AM117" s="132" t="s">
        <v>60</v>
      </c>
      <c r="AN117" s="132" t="s">
        <v>60</v>
      </c>
      <c r="AO117" s="132" t="s">
        <v>71</v>
      </c>
      <c r="AP117" s="132" t="s">
        <v>71</v>
      </c>
      <c r="AQ117" s="132" t="s">
        <v>71</v>
      </c>
      <c r="AR117" s="132" t="s">
        <v>71</v>
      </c>
      <c r="AS117" s="132" t="s">
        <v>71</v>
      </c>
      <c r="AT117" s="132" t="s">
        <v>71</v>
      </c>
      <c r="AU117" s="132" t="s">
        <v>71</v>
      </c>
      <c r="AV117" s="132" t="s">
        <v>71</v>
      </c>
      <c r="AW117" s="132" t="s">
        <v>71</v>
      </c>
      <c r="AX117" s="132" t="s">
        <v>71</v>
      </c>
      <c r="AY117" s="132" t="s">
        <v>71</v>
      </c>
      <c r="AZ117" s="132" t="s">
        <v>71</v>
      </c>
      <c r="BA117" s="132" t="s">
        <v>71</v>
      </c>
      <c r="BB117" s="132" t="s">
        <v>71</v>
      </c>
      <c r="BC117" s="132" t="s">
        <v>71</v>
      </c>
      <c r="BD117" s="132" t="s">
        <v>71</v>
      </c>
      <c r="BE117" s="132" t="s">
        <v>71</v>
      </c>
      <c r="BF117" s="132" t="s">
        <v>71</v>
      </c>
      <c r="BG117" s="132" t="s">
        <v>71</v>
      </c>
      <c r="BH117" s="132" t="s">
        <v>71</v>
      </c>
      <c r="BI117" s="132" t="s">
        <v>71</v>
      </c>
      <c r="BJ117" s="132" t="s">
        <v>71</v>
      </c>
      <c r="BK117" s="132" t="s">
        <v>71</v>
      </c>
      <c r="BL117" s="132" t="s">
        <v>71</v>
      </c>
      <c r="BM117" s="132" t="s">
        <v>71</v>
      </c>
      <c r="BN117" s="132" t="s">
        <v>71</v>
      </c>
      <c r="BO117" s="132" t="s">
        <v>71</v>
      </c>
      <c r="BP117" s="132" t="s">
        <v>71</v>
      </c>
      <c r="BQ117" s="132" t="s">
        <v>71</v>
      </c>
      <c r="BR117" s="132" t="s">
        <v>71</v>
      </c>
      <c r="BS117" s="132" t="s">
        <v>71</v>
      </c>
      <c r="BT117" s="132" t="s">
        <v>71</v>
      </c>
      <c r="BU117" s="132" t="s">
        <v>60</v>
      </c>
      <c r="BV117" s="132" t="s">
        <v>71</v>
      </c>
      <c r="BW117" s="132" t="s">
        <v>60</v>
      </c>
      <c r="BX117" s="132" t="s">
        <v>71</v>
      </c>
      <c r="BY117" s="132" t="s">
        <v>60</v>
      </c>
      <c r="BZ117" s="132" t="s">
        <v>71</v>
      </c>
      <c r="CA117" s="132" t="s">
        <v>60</v>
      </c>
      <c r="CB117" s="132" t="s">
        <v>71</v>
      </c>
      <c r="CC117" s="132" t="s">
        <v>60</v>
      </c>
      <c r="CD117" s="132" t="s">
        <v>71</v>
      </c>
      <c r="CE117" s="132" t="s">
        <v>60</v>
      </c>
      <c r="CF117" s="132" t="s">
        <v>71</v>
      </c>
      <c r="CG117" s="132" t="s">
        <v>60</v>
      </c>
      <c r="CH117" s="132" t="s">
        <v>71</v>
      </c>
      <c r="CI117" s="132" t="s">
        <v>60</v>
      </c>
      <c r="CJ117" s="132" t="s">
        <v>71</v>
      </c>
      <c r="CK117" s="132" t="s">
        <v>60</v>
      </c>
      <c r="CL117" s="132" t="s">
        <v>71</v>
      </c>
      <c r="CM117" s="132" t="s">
        <v>60</v>
      </c>
      <c r="CN117" s="132" t="s">
        <v>71</v>
      </c>
      <c r="CO117" s="132" t="s">
        <v>60</v>
      </c>
      <c r="CP117" s="132" t="s">
        <v>71</v>
      </c>
      <c r="CQ117" s="132" t="s">
        <v>60</v>
      </c>
      <c r="CR117" s="132" t="s">
        <v>71</v>
      </c>
      <c r="CS117" s="132" t="s">
        <v>60</v>
      </c>
      <c r="CT117" s="132" t="s">
        <v>71</v>
      </c>
      <c r="CU117" s="132" t="s">
        <v>60</v>
      </c>
      <c r="CV117" s="132" t="s">
        <v>71</v>
      </c>
      <c r="CW117" s="132" t="s">
        <v>60</v>
      </c>
      <c r="CX117" s="132" t="s">
        <v>71</v>
      </c>
      <c r="CY117" s="132" t="s">
        <v>60</v>
      </c>
      <c r="CZ117" s="132" t="s">
        <v>71</v>
      </c>
      <c r="DA117" s="132" t="s">
        <v>60</v>
      </c>
      <c r="DB117" s="132" t="s">
        <v>71</v>
      </c>
      <c r="DC117" s="132" t="s">
        <v>60</v>
      </c>
      <c r="DD117" s="132" t="s">
        <v>71</v>
      </c>
      <c r="DE117" s="137" t="str">
        <f t="shared" si="39"/>
        <v>FETAL</v>
      </c>
      <c r="DF117" s="137">
        <f t="shared" ref="DF117:DF148" si="46">IF(M117="CONTROL",0,1)</f>
        <v>0</v>
      </c>
    </row>
    <row r="118" spans="1:110" x14ac:dyDescent="0.2">
      <c r="A118" s="160"/>
      <c r="B118" s="5">
        <f t="shared" si="42"/>
        <v>116</v>
      </c>
      <c r="C118" s="131" t="str">
        <f t="shared" si="45"/>
        <v>CNS152</v>
      </c>
      <c r="D118" s="135" t="s">
        <v>250</v>
      </c>
      <c r="E118" s="131" t="str">
        <f t="shared" si="43"/>
        <v>CNS152_CONTROL</v>
      </c>
      <c r="F118" s="131"/>
      <c r="G118" s="130">
        <f t="shared" si="40"/>
        <v>152</v>
      </c>
      <c r="H118" s="131"/>
      <c r="I118" s="131"/>
      <c r="J118" s="132" t="s">
        <v>25</v>
      </c>
      <c r="K118" s="132" t="s">
        <v>177</v>
      </c>
      <c r="L118" s="132" t="s">
        <v>301</v>
      </c>
      <c r="M118" s="131" t="s">
        <v>81</v>
      </c>
      <c r="N118" s="131" t="s">
        <v>81</v>
      </c>
      <c r="O118" s="131" t="s">
        <v>81</v>
      </c>
      <c r="P118" s="131" t="s">
        <v>312</v>
      </c>
      <c r="Q118" s="131" t="s">
        <v>81</v>
      </c>
      <c r="R118" s="131" t="s">
        <v>89</v>
      </c>
      <c r="S118" s="131" t="s">
        <v>297</v>
      </c>
      <c r="T118" s="131"/>
      <c r="U118" s="132" t="s">
        <v>81</v>
      </c>
      <c r="V118" s="132" t="s">
        <v>175</v>
      </c>
      <c r="W118" s="132"/>
      <c r="X118" s="132"/>
      <c r="Y118" s="133">
        <v>0.26849315068493151</v>
      </c>
      <c r="Z118" s="133">
        <f t="shared" si="38"/>
        <v>48.887671232876713</v>
      </c>
      <c r="AA118" s="132" t="s">
        <v>71</v>
      </c>
      <c r="AB118" s="132" t="s">
        <v>60</v>
      </c>
      <c r="AC118" s="132" t="s">
        <v>60</v>
      </c>
      <c r="AD118" s="132" t="s">
        <v>71</v>
      </c>
      <c r="AE118" s="132" t="s">
        <v>71</v>
      </c>
      <c r="AF118" s="134" t="s">
        <v>68</v>
      </c>
      <c r="AG118" s="132" t="s">
        <v>81</v>
      </c>
      <c r="AH118" s="132" t="s">
        <v>71</v>
      </c>
      <c r="AI118" s="132" t="s">
        <v>60</v>
      </c>
      <c r="AJ118" s="132" t="s">
        <v>71</v>
      </c>
      <c r="AK118" s="132" t="s">
        <v>60</v>
      </c>
      <c r="AL118" s="132" t="s">
        <v>60</v>
      </c>
      <c r="AM118" s="132" t="s">
        <v>60</v>
      </c>
      <c r="AN118" s="132" t="s">
        <v>60</v>
      </c>
      <c r="AO118" s="132" t="s">
        <v>71</v>
      </c>
      <c r="AP118" s="132" t="s">
        <v>71</v>
      </c>
      <c r="AQ118" s="132" t="s">
        <v>71</v>
      </c>
      <c r="AR118" s="132" t="s">
        <v>71</v>
      </c>
      <c r="AS118" s="132" t="s">
        <v>71</v>
      </c>
      <c r="AT118" s="132" t="s">
        <v>71</v>
      </c>
      <c r="AU118" s="132" t="s">
        <v>71</v>
      </c>
      <c r="AV118" s="132" t="s">
        <v>71</v>
      </c>
      <c r="AW118" s="132" t="s">
        <v>71</v>
      </c>
      <c r="AX118" s="132" t="s">
        <v>71</v>
      </c>
      <c r="AY118" s="132" t="s">
        <v>71</v>
      </c>
      <c r="AZ118" s="132" t="s">
        <v>71</v>
      </c>
      <c r="BA118" s="132" t="s">
        <v>71</v>
      </c>
      <c r="BB118" s="132" t="s">
        <v>71</v>
      </c>
      <c r="BC118" s="132" t="s">
        <v>71</v>
      </c>
      <c r="BD118" s="132" t="s">
        <v>71</v>
      </c>
      <c r="BE118" s="132" t="s">
        <v>71</v>
      </c>
      <c r="BF118" s="132" t="s">
        <v>71</v>
      </c>
      <c r="BG118" s="132" t="s">
        <v>71</v>
      </c>
      <c r="BH118" s="132" t="s">
        <v>71</v>
      </c>
      <c r="BI118" s="132" t="s">
        <v>71</v>
      </c>
      <c r="BJ118" s="132" t="s">
        <v>71</v>
      </c>
      <c r="BK118" s="132" t="s">
        <v>71</v>
      </c>
      <c r="BL118" s="132" t="s">
        <v>71</v>
      </c>
      <c r="BM118" s="132" t="s">
        <v>71</v>
      </c>
      <c r="BN118" s="132" t="s">
        <v>71</v>
      </c>
      <c r="BO118" s="132" t="s">
        <v>71</v>
      </c>
      <c r="BP118" s="132" t="s">
        <v>71</v>
      </c>
      <c r="BQ118" s="132" t="s">
        <v>71</v>
      </c>
      <c r="BR118" s="132" t="s">
        <v>71</v>
      </c>
      <c r="BS118" s="132" t="s">
        <v>71</v>
      </c>
      <c r="BT118" s="132" t="s">
        <v>71</v>
      </c>
      <c r="BU118" s="132" t="s">
        <v>60</v>
      </c>
      <c r="BV118" s="132" t="s">
        <v>71</v>
      </c>
      <c r="BW118" s="132" t="s">
        <v>60</v>
      </c>
      <c r="BX118" s="132" t="s">
        <v>71</v>
      </c>
      <c r="BY118" s="132" t="s">
        <v>60</v>
      </c>
      <c r="BZ118" s="132" t="s">
        <v>71</v>
      </c>
      <c r="CA118" s="132" t="s">
        <v>60</v>
      </c>
      <c r="CB118" s="132" t="s">
        <v>71</v>
      </c>
      <c r="CC118" s="132" t="s">
        <v>60</v>
      </c>
      <c r="CD118" s="132" t="s">
        <v>71</v>
      </c>
      <c r="CE118" s="132" t="s">
        <v>60</v>
      </c>
      <c r="CF118" s="132" t="s">
        <v>71</v>
      </c>
      <c r="CG118" s="132" t="s">
        <v>60</v>
      </c>
      <c r="CH118" s="132" t="s">
        <v>71</v>
      </c>
      <c r="CI118" s="132" t="s">
        <v>60</v>
      </c>
      <c r="CJ118" s="132" t="s">
        <v>71</v>
      </c>
      <c r="CK118" s="132" t="s">
        <v>60</v>
      </c>
      <c r="CL118" s="132" t="s">
        <v>71</v>
      </c>
      <c r="CM118" s="132" t="s">
        <v>60</v>
      </c>
      <c r="CN118" s="132" t="s">
        <v>71</v>
      </c>
      <c r="CO118" s="132" t="s">
        <v>60</v>
      </c>
      <c r="CP118" s="132" t="s">
        <v>71</v>
      </c>
      <c r="CQ118" s="132" t="s">
        <v>60</v>
      </c>
      <c r="CR118" s="132" t="s">
        <v>71</v>
      </c>
      <c r="CS118" s="132" t="s">
        <v>60</v>
      </c>
      <c r="CT118" s="132" t="s">
        <v>71</v>
      </c>
      <c r="CU118" s="132" t="s">
        <v>60</v>
      </c>
      <c r="CV118" s="132" t="s">
        <v>71</v>
      </c>
      <c r="CW118" s="132" t="s">
        <v>60</v>
      </c>
      <c r="CX118" s="132" t="s">
        <v>71</v>
      </c>
      <c r="CY118" s="132" t="s">
        <v>60</v>
      </c>
      <c r="CZ118" s="132" t="s">
        <v>71</v>
      </c>
      <c r="DA118" s="132" t="s">
        <v>60</v>
      </c>
      <c r="DB118" s="132" t="s">
        <v>71</v>
      </c>
      <c r="DC118" s="132" t="s">
        <v>60</v>
      </c>
      <c r="DD118" s="132" t="s">
        <v>71</v>
      </c>
      <c r="DE118" s="137" t="str">
        <f t="shared" si="39"/>
        <v>3&gt; YEARS OLD</v>
      </c>
      <c r="DF118" s="137">
        <f t="shared" si="46"/>
        <v>0</v>
      </c>
    </row>
    <row r="119" spans="1:110" x14ac:dyDescent="0.2">
      <c r="A119" s="160"/>
      <c r="B119" s="5">
        <f t="shared" si="42"/>
        <v>117</v>
      </c>
      <c r="C119" s="131" t="str">
        <f t="shared" si="45"/>
        <v>CNS153</v>
      </c>
      <c r="D119" s="135" t="s">
        <v>251</v>
      </c>
      <c r="E119" s="131" t="str">
        <f t="shared" si="43"/>
        <v>CNS153_CONTROL</v>
      </c>
      <c r="F119" s="131"/>
      <c r="G119" s="130">
        <f t="shared" si="40"/>
        <v>153</v>
      </c>
      <c r="H119" s="131"/>
      <c r="I119" s="131"/>
      <c r="J119" s="132" t="s">
        <v>25</v>
      </c>
      <c r="K119" s="132" t="s">
        <v>177</v>
      </c>
      <c r="L119" s="132" t="s">
        <v>301</v>
      </c>
      <c r="M119" s="131" t="s">
        <v>81</v>
      </c>
      <c r="N119" s="131" t="s">
        <v>81</v>
      </c>
      <c r="O119" s="131" t="s">
        <v>81</v>
      </c>
      <c r="P119" s="131" t="s">
        <v>311</v>
      </c>
      <c r="Q119" s="131" t="s">
        <v>81</v>
      </c>
      <c r="R119" s="131" t="s">
        <v>89</v>
      </c>
      <c r="S119" s="131" t="s">
        <v>297</v>
      </c>
      <c r="T119" s="131"/>
      <c r="U119" s="132" t="s">
        <v>81</v>
      </c>
      <c r="V119" s="132" t="s">
        <v>172</v>
      </c>
      <c r="W119" s="132"/>
      <c r="X119" s="132"/>
      <c r="Y119" s="133">
        <v>0</v>
      </c>
      <c r="Z119" s="133">
        <v>16</v>
      </c>
      <c r="AA119" s="132" t="s">
        <v>71</v>
      </c>
      <c r="AB119" s="132" t="s">
        <v>60</v>
      </c>
      <c r="AC119" s="132" t="s">
        <v>60</v>
      </c>
      <c r="AD119" s="132" t="s">
        <v>71</v>
      </c>
      <c r="AE119" s="132" t="s">
        <v>71</v>
      </c>
      <c r="AF119" s="134" t="s">
        <v>68</v>
      </c>
      <c r="AG119" s="132" t="s">
        <v>81</v>
      </c>
      <c r="AH119" s="132" t="s">
        <v>71</v>
      </c>
      <c r="AI119" s="132" t="s">
        <v>60</v>
      </c>
      <c r="AJ119" s="132" t="s">
        <v>71</v>
      </c>
      <c r="AK119" s="132" t="s">
        <v>60</v>
      </c>
      <c r="AL119" s="132" t="s">
        <v>60</v>
      </c>
      <c r="AM119" s="132" t="s">
        <v>60</v>
      </c>
      <c r="AN119" s="132" t="s">
        <v>60</v>
      </c>
      <c r="AO119" s="132" t="s">
        <v>71</v>
      </c>
      <c r="AP119" s="132" t="s">
        <v>71</v>
      </c>
      <c r="AQ119" s="132" t="s">
        <v>71</v>
      </c>
      <c r="AR119" s="132" t="s">
        <v>71</v>
      </c>
      <c r="AS119" s="132" t="s">
        <v>71</v>
      </c>
      <c r="AT119" s="132" t="s">
        <v>71</v>
      </c>
      <c r="AU119" s="132" t="s">
        <v>71</v>
      </c>
      <c r="AV119" s="132" t="s">
        <v>71</v>
      </c>
      <c r="AW119" s="132" t="s">
        <v>71</v>
      </c>
      <c r="AX119" s="132" t="s">
        <v>71</v>
      </c>
      <c r="AY119" s="132" t="s">
        <v>71</v>
      </c>
      <c r="AZ119" s="132" t="s">
        <v>71</v>
      </c>
      <c r="BA119" s="132" t="s">
        <v>71</v>
      </c>
      <c r="BB119" s="132" t="s">
        <v>71</v>
      </c>
      <c r="BC119" s="132" t="s">
        <v>71</v>
      </c>
      <c r="BD119" s="132" t="s">
        <v>71</v>
      </c>
      <c r="BE119" s="132" t="s">
        <v>71</v>
      </c>
      <c r="BF119" s="132" t="s">
        <v>71</v>
      </c>
      <c r="BG119" s="132" t="s">
        <v>71</v>
      </c>
      <c r="BH119" s="132" t="s">
        <v>71</v>
      </c>
      <c r="BI119" s="132" t="s">
        <v>71</v>
      </c>
      <c r="BJ119" s="132" t="s">
        <v>71</v>
      </c>
      <c r="BK119" s="132" t="s">
        <v>71</v>
      </c>
      <c r="BL119" s="132" t="s">
        <v>71</v>
      </c>
      <c r="BM119" s="132" t="s">
        <v>71</v>
      </c>
      <c r="BN119" s="132" t="s">
        <v>71</v>
      </c>
      <c r="BO119" s="132" t="s">
        <v>71</v>
      </c>
      <c r="BP119" s="132" t="s">
        <v>71</v>
      </c>
      <c r="BQ119" s="132" t="s">
        <v>71</v>
      </c>
      <c r="BR119" s="132" t="s">
        <v>71</v>
      </c>
      <c r="BS119" s="132" t="s">
        <v>71</v>
      </c>
      <c r="BT119" s="132" t="s">
        <v>71</v>
      </c>
      <c r="BU119" s="132" t="s">
        <v>60</v>
      </c>
      <c r="BV119" s="132" t="s">
        <v>71</v>
      </c>
      <c r="BW119" s="132" t="s">
        <v>60</v>
      </c>
      <c r="BX119" s="132" t="s">
        <v>71</v>
      </c>
      <c r="BY119" s="132" t="s">
        <v>60</v>
      </c>
      <c r="BZ119" s="132" t="s">
        <v>71</v>
      </c>
      <c r="CA119" s="132" t="s">
        <v>60</v>
      </c>
      <c r="CB119" s="132" t="s">
        <v>71</v>
      </c>
      <c r="CC119" s="132" t="s">
        <v>60</v>
      </c>
      <c r="CD119" s="132" t="s">
        <v>71</v>
      </c>
      <c r="CE119" s="132" t="s">
        <v>60</v>
      </c>
      <c r="CF119" s="132" t="s">
        <v>71</v>
      </c>
      <c r="CG119" s="132" t="s">
        <v>60</v>
      </c>
      <c r="CH119" s="132" t="s">
        <v>71</v>
      </c>
      <c r="CI119" s="132" t="s">
        <v>60</v>
      </c>
      <c r="CJ119" s="132" t="s">
        <v>71</v>
      </c>
      <c r="CK119" s="132" t="s">
        <v>60</v>
      </c>
      <c r="CL119" s="132" t="s">
        <v>71</v>
      </c>
      <c r="CM119" s="132" t="s">
        <v>60</v>
      </c>
      <c r="CN119" s="132" t="s">
        <v>71</v>
      </c>
      <c r="CO119" s="132" t="s">
        <v>60</v>
      </c>
      <c r="CP119" s="132" t="s">
        <v>71</v>
      </c>
      <c r="CQ119" s="132" t="s">
        <v>60</v>
      </c>
      <c r="CR119" s="132" t="s">
        <v>71</v>
      </c>
      <c r="CS119" s="132" t="s">
        <v>60</v>
      </c>
      <c r="CT119" s="132" t="s">
        <v>71</v>
      </c>
      <c r="CU119" s="132" t="s">
        <v>60</v>
      </c>
      <c r="CV119" s="132" t="s">
        <v>71</v>
      </c>
      <c r="CW119" s="132" t="s">
        <v>60</v>
      </c>
      <c r="CX119" s="132" t="s">
        <v>71</v>
      </c>
      <c r="CY119" s="132" t="s">
        <v>60</v>
      </c>
      <c r="CZ119" s="132" t="s">
        <v>71</v>
      </c>
      <c r="DA119" s="132" t="s">
        <v>60</v>
      </c>
      <c r="DB119" s="132" t="s">
        <v>71</v>
      </c>
      <c r="DC119" s="132" t="s">
        <v>60</v>
      </c>
      <c r="DD119" s="132" t="s">
        <v>71</v>
      </c>
      <c r="DE119" s="137" t="str">
        <f t="shared" si="39"/>
        <v>FETAL</v>
      </c>
      <c r="DF119" s="137">
        <f t="shared" si="46"/>
        <v>0</v>
      </c>
    </row>
    <row r="120" spans="1:110" x14ac:dyDescent="0.2">
      <c r="A120" s="160"/>
      <c r="B120" s="5">
        <f t="shared" si="42"/>
        <v>118</v>
      </c>
      <c r="C120" s="131" t="str">
        <f t="shared" si="45"/>
        <v>CNS154</v>
      </c>
      <c r="D120" s="135" t="s">
        <v>252</v>
      </c>
      <c r="E120" s="131" t="str">
        <f t="shared" si="43"/>
        <v>CNS154_CONTROL</v>
      </c>
      <c r="F120" s="131"/>
      <c r="G120" s="130">
        <f t="shared" si="40"/>
        <v>154</v>
      </c>
      <c r="H120" s="131"/>
      <c r="I120" s="131"/>
      <c r="J120" s="132" t="s">
        <v>24</v>
      </c>
      <c r="K120" s="132" t="s">
        <v>177</v>
      </c>
      <c r="L120" s="132" t="s">
        <v>301</v>
      </c>
      <c r="M120" s="131" t="s">
        <v>81</v>
      </c>
      <c r="N120" s="131" t="s">
        <v>81</v>
      </c>
      <c r="O120" s="131" t="s">
        <v>81</v>
      </c>
      <c r="P120" s="131" t="s">
        <v>311</v>
      </c>
      <c r="Q120" s="131" t="s">
        <v>81</v>
      </c>
      <c r="R120" s="131" t="s">
        <v>89</v>
      </c>
      <c r="S120" s="131" t="s">
        <v>297</v>
      </c>
      <c r="T120" s="131"/>
      <c r="U120" s="132" t="s">
        <v>81</v>
      </c>
      <c r="V120" s="132" t="s">
        <v>172</v>
      </c>
      <c r="W120" s="132"/>
      <c r="X120" s="132"/>
      <c r="Y120" s="133">
        <v>0</v>
      </c>
      <c r="Z120" s="133">
        <v>18</v>
      </c>
      <c r="AA120" s="132" t="s">
        <v>71</v>
      </c>
      <c r="AB120" s="132" t="s">
        <v>60</v>
      </c>
      <c r="AC120" s="132" t="s">
        <v>60</v>
      </c>
      <c r="AD120" s="132" t="s">
        <v>71</v>
      </c>
      <c r="AE120" s="132" t="s">
        <v>71</v>
      </c>
      <c r="AF120" s="134" t="s">
        <v>68</v>
      </c>
      <c r="AG120" s="132" t="s">
        <v>81</v>
      </c>
      <c r="AH120" s="132" t="s">
        <v>71</v>
      </c>
      <c r="AI120" s="132" t="s">
        <v>60</v>
      </c>
      <c r="AJ120" s="132" t="s">
        <v>71</v>
      </c>
      <c r="AK120" s="132" t="s">
        <v>60</v>
      </c>
      <c r="AL120" s="132" t="s">
        <v>60</v>
      </c>
      <c r="AM120" s="132" t="s">
        <v>60</v>
      </c>
      <c r="AN120" s="132" t="s">
        <v>60</v>
      </c>
      <c r="AO120" s="132" t="s">
        <v>71</v>
      </c>
      <c r="AP120" s="132" t="s">
        <v>71</v>
      </c>
      <c r="AQ120" s="132" t="s">
        <v>71</v>
      </c>
      <c r="AR120" s="132" t="s">
        <v>71</v>
      </c>
      <c r="AS120" s="132" t="s">
        <v>71</v>
      </c>
      <c r="AT120" s="132" t="s">
        <v>71</v>
      </c>
      <c r="AU120" s="132" t="s">
        <v>71</v>
      </c>
      <c r="AV120" s="132" t="s">
        <v>71</v>
      </c>
      <c r="AW120" s="132" t="s">
        <v>71</v>
      </c>
      <c r="AX120" s="132" t="s">
        <v>71</v>
      </c>
      <c r="AY120" s="132" t="s">
        <v>71</v>
      </c>
      <c r="AZ120" s="132" t="s">
        <v>71</v>
      </c>
      <c r="BA120" s="132" t="s">
        <v>71</v>
      </c>
      <c r="BB120" s="132" t="s">
        <v>71</v>
      </c>
      <c r="BC120" s="132" t="s">
        <v>71</v>
      </c>
      <c r="BD120" s="132" t="s">
        <v>71</v>
      </c>
      <c r="BE120" s="132" t="s">
        <v>71</v>
      </c>
      <c r="BF120" s="132" t="s">
        <v>71</v>
      </c>
      <c r="BG120" s="132" t="s">
        <v>71</v>
      </c>
      <c r="BH120" s="132" t="s">
        <v>71</v>
      </c>
      <c r="BI120" s="132" t="s">
        <v>71</v>
      </c>
      <c r="BJ120" s="132" t="s">
        <v>71</v>
      </c>
      <c r="BK120" s="132" t="s">
        <v>71</v>
      </c>
      <c r="BL120" s="132" t="s">
        <v>71</v>
      </c>
      <c r="BM120" s="132" t="s">
        <v>71</v>
      </c>
      <c r="BN120" s="132" t="s">
        <v>71</v>
      </c>
      <c r="BO120" s="132" t="s">
        <v>71</v>
      </c>
      <c r="BP120" s="132" t="s">
        <v>71</v>
      </c>
      <c r="BQ120" s="132" t="s">
        <v>71</v>
      </c>
      <c r="BR120" s="132" t="s">
        <v>71</v>
      </c>
      <c r="BS120" s="132" t="s">
        <v>71</v>
      </c>
      <c r="BT120" s="132" t="s">
        <v>71</v>
      </c>
      <c r="BU120" s="132" t="s">
        <v>60</v>
      </c>
      <c r="BV120" s="132" t="s">
        <v>71</v>
      </c>
      <c r="BW120" s="132" t="s">
        <v>60</v>
      </c>
      <c r="BX120" s="132" t="s">
        <v>71</v>
      </c>
      <c r="BY120" s="132" t="s">
        <v>60</v>
      </c>
      <c r="BZ120" s="132" t="s">
        <v>71</v>
      </c>
      <c r="CA120" s="132" t="s">
        <v>60</v>
      </c>
      <c r="CB120" s="132" t="s">
        <v>71</v>
      </c>
      <c r="CC120" s="132" t="s">
        <v>60</v>
      </c>
      <c r="CD120" s="132" t="s">
        <v>71</v>
      </c>
      <c r="CE120" s="132" t="s">
        <v>60</v>
      </c>
      <c r="CF120" s="132" t="s">
        <v>71</v>
      </c>
      <c r="CG120" s="132" t="s">
        <v>60</v>
      </c>
      <c r="CH120" s="132" t="s">
        <v>71</v>
      </c>
      <c r="CI120" s="132" t="s">
        <v>60</v>
      </c>
      <c r="CJ120" s="132" t="s">
        <v>71</v>
      </c>
      <c r="CK120" s="132" t="s">
        <v>60</v>
      </c>
      <c r="CL120" s="132" t="s">
        <v>71</v>
      </c>
      <c r="CM120" s="132" t="s">
        <v>60</v>
      </c>
      <c r="CN120" s="132" t="s">
        <v>71</v>
      </c>
      <c r="CO120" s="132" t="s">
        <v>60</v>
      </c>
      <c r="CP120" s="132" t="s">
        <v>71</v>
      </c>
      <c r="CQ120" s="132" t="s">
        <v>60</v>
      </c>
      <c r="CR120" s="132" t="s">
        <v>71</v>
      </c>
      <c r="CS120" s="132" t="s">
        <v>60</v>
      </c>
      <c r="CT120" s="132" t="s">
        <v>71</v>
      </c>
      <c r="CU120" s="132" t="s">
        <v>60</v>
      </c>
      <c r="CV120" s="132" t="s">
        <v>71</v>
      </c>
      <c r="CW120" s="132" t="s">
        <v>60</v>
      </c>
      <c r="CX120" s="132" t="s">
        <v>71</v>
      </c>
      <c r="CY120" s="132" t="s">
        <v>60</v>
      </c>
      <c r="CZ120" s="132" t="s">
        <v>71</v>
      </c>
      <c r="DA120" s="132" t="s">
        <v>60</v>
      </c>
      <c r="DB120" s="132" t="s">
        <v>71</v>
      </c>
      <c r="DC120" s="132" t="s">
        <v>60</v>
      </c>
      <c r="DD120" s="132" t="s">
        <v>71</v>
      </c>
      <c r="DE120" s="137" t="str">
        <f t="shared" si="39"/>
        <v>FETAL</v>
      </c>
      <c r="DF120" s="137">
        <f t="shared" si="46"/>
        <v>0</v>
      </c>
    </row>
    <row r="121" spans="1:110" x14ac:dyDescent="0.2">
      <c r="A121" s="160"/>
      <c r="B121" s="5">
        <f t="shared" si="42"/>
        <v>119</v>
      </c>
      <c r="C121" s="131" t="str">
        <f t="shared" ref="C121:C128" si="47">CONCATENATE("CNS",G121)</f>
        <v>CNS155</v>
      </c>
      <c r="D121" s="135" t="s">
        <v>253</v>
      </c>
      <c r="E121" s="131" t="str">
        <f t="shared" si="43"/>
        <v>CNS155_CONTROL</v>
      </c>
      <c r="F121" s="131"/>
      <c r="G121" s="130">
        <f t="shared" si="40"/>
        <v>155</v>
      </c>
      <c r="H121" s="131"/>
      <c r="I121" s="131"/>
      <c r="J121" s="132" t="s">
        <v>25</v>
      </c>
      <c r="K121" s="132" t="s">
        <v>177</v>
      </c>
      <c r="L121" s="132" t="s">
        <v>301</v>
      </c>
      <c r="M121" s="131" t="s">
        <v>81</v>
      </c>
      <c r="N121" s="131" t="s">
        <v>81</v>
      </c>
      <c r="O121" s="131" t="s">
        <v>81</v>
      </c>
      <c r="P121" s="131" t="s">
        <v>312</v>
      </c>
      <c r="Q121" s="131" t="s">
        <v>81</v>
      </c>
      <c r="R121" s="131" t="s">
        <v>89</v>
      </c>
      <c r="S121" s="131" t="s">
        <v>297</v>
      </c>
      <c r="T121" s="131"/>
      <c r="U121" s="132" t="s">
        <v>81</v>
      </c>
      <c r="V121" s="132" t="s">
        <v>175</v>
      </c>
      <c r="W121" s="132"/>
      <c r="X121" s="132"/>
      <c r="Y121" s="133">
        <v>1.2136986301369863</v>
      </c>
      <c r="Z121" s="133">
        <f t="shared" si="38"/>
        <v>94.257534246575347</v>
      </c>
      <c r="AA121" s="132" t="s">
        <v>71</v>
      </c>
      <c r="AB121" s="132" t="s">
        <v>60</v>
      </c>
      <c r="AC121" s="132" t="s">
        <v>60</v>
      </c>
      <c r="AD121" s="132" t="s">
        <v>71</v>
      </c>
      <c r="AE121" s="132" t="s">
        <v>71</v>
      </c>
      <c r="AF121" s="134" t="s">
        <v>68</v>
      </c>
      <c r="AG121" s="132" t="s">
        <v>81</v>
      </c>
      <c r="AH121" s="132" t="s">
        <v>71</v>
      </c>
      <c r="AI121" s="132" t="s">
        <v>60</v>
      </c>
      <c r="AJ121" s="132" t="s">
        <v>71</v>
      </c>
      <c r="AK121" s="132" t="s">
        <v>60</v>
      </c>
      <c r="AL121" s="132" t="s">
        <v>60</v>
      </c>
      <c r="AM121" s="132" t="s">
        <v>60</v>
      </c>
      <c r="AN121" s="132" t="s">
        <v>60</v>
      </c>
      <c r="AO121" s="132" t="s">
        <v>71</v>
      </c>
      <c r="AP121" s="132" t="s">
        <v>71</v>
      </c>
      <c r="AQ121" s="132" t="s">
        <v>71</v>
      </c>
      <c r="AR121" s="132" t="s">
        <v>71</v>
      </c>
      <c r="AS121" s="132" t="s">
        <v>71</v>
      </c>
      <c r="AT121" s="132" t="s">
        <v>71</v>
      </c>
      <c r="AU121" s="132" t="s">
        <v>71</v>
      </c>
      <c r="AV121" s="132" t="s">
        <v>71</v>
      </c>
      <c r="AW121" s="132" t="s">
        <v>71</v>
      </c>
      <c r="AX121" s="132" t="s">
        <v>71</v>
      </c>
      <c r="AY121" s="132" t="s">
        <v>71</v>
      </c>
      <c r="AZ121" s="132" t="s">
        <v>71</v>
      </c>
      <c r="BA121" s="132" t="s">
        <v>71</v>
      </c>
      <c r="BB121" s="132" t="s">
        <v>71</v>
      </c>
      <c r="BC121" s="132" t="s">
        <v>71</v>
      </c>
      <c r="BD121" s="132" t="s">
        <v>71</v>
      </c>
      <c r="BE121" s="132" t="s">
        <v>71</v>
      </c>
      <c r="BF121" s="132" t="s">
        <v>71</v>
      </c>
      <c r="BG121" s="132" t="s">
        <v>71</v>
      </c>
      <c r="BH121" s="132" t="s">
        <v>71</v>
      </c>
      <c r="BI121" s="132" t="s">
        <v>71</v>
      </c>
      <c r="BJ121" s="132" t="s">
        <v>71</v>
      </c>
      <c r="BK121" s="132" t="s">
        <v>71</v>
      </c>
      <c r="BL121" s="132" t="s">
        <v>71</v>
      </c>
      <c r="BM121" s="132" t="s">
        <v>71</v>
      </c>
      <c r="BN121" s="132" t="s">
        <v>71</v>
      </c>
      <c r="BO121" s="132" t="s">
        <v>71</v>
      </c>
      <c r="BP121" s="132" t="s">
        <v>71</v>
      </c>
      <c r="BQ121" s="132" t="s">
        <v>71</v>
      </c>
      <c r="BR121" s="132" t="s">
        <v>71</v>
      </c>
      <c r="BS121" s="132" t="s">
        <v>71</v>
      </c>
      <c r="BT121" s="132" t="s">
        <v>71</v>
      </c>
      <c r="BU121" s="132" t="s">
        <v>60</v>
      </c>
      <c r="BV121" s="132" t="s">
        <v>71</v>
      </c>
      <c r="BW121" s="132" t="s">
        <v>60</v>
      </c>
      <c r="BX121" s="132" t="s">
        <v>71</v>
      </c>
      <c r="BY121" s="132" t="s">
        <v>60</v>
      </c>
      <c r="BZ121" s="132" t="s">
        <v>71</v>
      </c>
      <c r="CA121" s="132" t="s">
        <v>60</v>
      </c>
      <c r="CB121" s="132" t="s">
        <v>71</v>
      </c>
      <c r="CC121" s="132" t="s">
        <v>60</v>
      </c>
      <c r="CD121" s="132" t="s">
        <v>71</v>
      </c>
      <c r="CE121" s="132" t="s">
        <v>60</v>
      </c>
      <c r="CF121" s="132" t="s">
        <v>71</v>
      </c>
      <c r="CG121" s="132" t="s">
        <v>60</v>
      </c>
      <c r="CH121" s="132" t="s">
        <v>71</v>
      </c>
      <c r="CI121" s="132" t="s">
        <v>60</v>
      </c>
      <c r="CJ121" s="132" t="s">
        <v>71</v>
      </c>
      <c r="CK121" s="132" t="s">
        <v>60</v>
      </c>
      <c r="CL121" s="132" t="s">
        <v>71</v>
      </c>
      <c r="CM121" s="132" t="s">
        <v>60</v>
      </c>
      <c r="CN121" s="132" t="s">
        <v>71</v>
      </c>
      <c r="CO121" s="132" t="s">
        <v>60</v>
      </c>
      <c r="CP121" s="132" t="s">
        <v>71</v>
      </c>
      <c r="CQ121" s="132" t="s">
        <v>60</v>
      </c>
      <c r="CR121" s="132" t="s">
        <v>71</v>
      </c>
      <c r="CS121" s="132" t="s">
        <v>60</v>
      </c>
      <c r="CT121" s="132" t="s">
        <v>71</v>
      </c>
      <c r="CU121" s="132" t="s">
        <v>60</v>
      </c>
      <c r="CV121" s="132" t="s">
        <v>71</v>
      </c>
      <c r="CW121" s="132" t="s">
        <v>60</v>
      </c>
      <c r="CX121" s="132" t="s">
        <v>71</v>
      </c>
      <c r="CY121" s="132" t="s">
        <v>60</v>
      </c>
      <c r="CZ121" s="132" t="s">
        <v>71</v>
      </c>
      <c r="DA121" s="132" t="s">
        <v>60</v>
      </c>
      <c r="DB121" s="132" t="s">
        <v>71</v>
      </c>
      <c r="DC121" s="132" t="s">
        <v>60</v>
      </c>
      <c r="DD121" s="132" t="s">
        <v>71</v>
      </c>
      <c r="DE121" s="137" t="str">
        <f t="shared" si="39"/>
        <v>3&gt; YEARS OLD</v>
      </c>
      <c r="DF121" s="137">
        <f t="shared" si="46"/>
        <v>0</v>
      </c>
    </row>
    <row r="122" spans="1:110" x14ac:dyDescent="0.2">
      <c r="A122" s="160"/>
      <c r="B122" s="5">
        <f t="shared" si="42"/>
        <v>120</v>
      </c>
      <c r="C122" s="131" t="str">
        <f t="shared" si="47"/>
        <v>CNS156</v>
      </c>
      <c r="D122" s="135" t="s">
        <v>254</v>
      </c>
      <c r="E122" s="131" t="str">
        <f t="shared" si="43"/>
        <v>CNS156_CONTROL</v>
      </c>
      <c r="F122" s="131"/>
      <c r="G122" s="130">
        <f t="shared" si="40"/>
        <v>156</v>
      </c>
      <c r="H122" s="131"/>
      <c r="I122" s="131"/>
      <c r="J122" s="132" t="s">
        <v>25</v>
      </c>
      <c r="K122" s="132" t="s">
        <v>177</v>
      </c>
      <c r="L122" s="132" t="s">
        <v>301</v>
      </c>
      <c r="M122" s="131" t="s">
        <v>81</v>
      </c>
      <c r="N122" s="131" t="s">
        <v>81</v>
      </c>
      <c r="O122" s="131" t="s">
        <v>81</v>
      </c>
      <c r="P122" s="131" t="s">
        <v>312</v>
      </c>
      <c r="Q122" s="131" t="s">
        <v>81</v>
      </c>
      <c r="R122" s="131" t="s">
        <v>89</v>
      </c>
      <c r="S122" s="131" t="s">
        <v>297</v>
      </c>
      <c r="T122" s="131"/>
      <c r="U122" s="132" t="s">
        <v>81</v>
      </c>
      <c r="V122" s="132" t="s">
        <v>175</v>
      </c>
      <c r="W122" s="132"/>
      <c r="X122" s="132"/>
      <c r="Y122" s="133">
        <v>1.3753424657534246</v>
      </c>
      <c r="Z122" s="133">
        <f t="shared" si="38"/>
        <v>102.01643835616437</v>
      </c>
      <c r="AA122" s="132" t="s">
        <v>71</v>
      </c>
      <c r="AB122" s="132" t="s">
        <v>60</v>
      </c>
      <c r="AC122" s="132" t="s">
        <v>60</v>
      </c>
      <c r="AD122" s="132" t="s">
        <v>71</v>
      </c>
      <c r="AE122" s="132" t="s">
        <v>71</v>
      </c>
      <c r="AF122" s="134" t="s">
        <v>68</v>
      </c>
      <c r="AG122" s="132" t="s">
        <v>81</v>
      </c>
      <c r="AH122" s="132" t="s">
        <v>71</v>
      </c>
      <c r="AI122" s="132" t="s">
        <v>60</v>
      </c>
      <c r="AJ122" s="132" t="s">
        <v>71</v>
      </c>
      <c r="AK122" s="132" t="s">
        <v>60</v>
      </c>
      <c r="AL122" s="132" t="s">
        <v>60</v>
      </c>
      <c r="AM122" s="132" t="s">
        <v>60</v>
      </c>
      <c r="AN122" s="132" t="s">
        <v>60</v>
      </c>
      <c r="AO122" s="132" t="s">
        <v>71</v>
      </c>
      <c r="AP122" s="132" t="s">
        <v>71</v>
      </c>
      <c r="AQ122" s="132" t="s">
        <v>71</v>
      </c>
      <c r="AR122" s="132" t="s">
        <v>71</v>
      </c>
      <c r="AS122" s="132" t="s">
        <v>71</v>
      </c>
      <c r="AT122" s="132" t="s">
        <v>71</v>
      </c>
      <c r="AU122" s="132" t="s">
        <v>71</v>
      </c>
      <c r="AV122" s="132" t="s">
        <v>71</v>
      </c>
      <c r="AW122" s="132" t="s">
        <v>71</v>
      </c>
      <c r="AX122" s="132" t="s">
        <v>71</v>
      </c>
      <c r="AY122" s="132" t="s">
        <v>71</v>
      </c>
      <c r="AZ122" s="132" t="s">
        <v>71</v>
      </c>
      <c r="BA122" s="132" t="s">
        <v>71</v>
      </c>
      <c r="BB122" s="132" t="s">
        <v>71</v>
      </c>
      <c r="BC122" s="132" t="s">
        <v>71</v>
      </c>
      <c r="BD122" s="132" t="s">
        <v>71</v>
      </c>
      <c r="BE122" s="132" t="s">
        <v>71</v>
      </c>
      <c r="BF122" s="132" t="s">
        <v>71</v>
      </c>
      <c r="BG122" s="132" t="s">
        <v>71</v>
      </c>
      <c r="BH122" s="132" t="s">
        <v>71</v>
      </c>
      <c r="BI122" s="132" t="s">
        <v>71</v>
      </c>
      <c r="BJ122" s="132" t="s">
        <v>71</v>
      </c>
      <c r="BK122" s="132" t="s">
        <v>71</v>
      </c>
      <c r="BL122" s="132" t="s">
        <v>71</v>
      </c>
      <c r="BM122" s="132" t="s">
        <v>71</v>
      </c>
      <c r="BN122" s="132" t="s">
        <v>71</v>
      </c>
      <c r="BO122" s="132" t="s">
        <v>71</v>
      </c>
      <c r="BP122" s="132" t="s">
        <v>71</v>
      </c>
      <c r="BQ122" s="132" t="s">
        <v>71</v>
      </c>
      <c r="BR122" s="132" t="s">
        <v>71</v>
      </c>
      <c r="BS122" s="132" t="s">
        <v>71</v>
      </c>
      <c r="BT122" s="132" t="s">
        <v>71</v>
      </c>
      <c r="BU122" s="132" t="s">
        <v>60</v>
      </c>
      <c r="BV122" s="132" t="s">
        <v>71</v>
      </c>
      <c r="BW122" s="132" t="s">
        <v>60</v>
      </c>
      <c r="BX122" s="132" t="s">
        <v>71</v>
      </c>
      <c r="BY122" s="132" t="s">
        <v>60</v>
      </c>
      <c r="BZ122" s="132" t="s">
        <v>71</v>
      </c>
      <c r="CA122" s="132" t="s">
        <v>60</v>
      </c>
      <c r="CB122" s="132" t="s">
        <v>71</v>
      </c>
      <c r="CC122" s="132" t="s">
        <v>60</v>
      </c>
      <c r="CD122" s="132" t="s">
        <v>71</v>
      </c>
      <c r="CE122" s="132" t="s">
        <v>60</v>
      </c>
      <c r="CF122" s="132" t="s">
        <v>71</v>
      </c>
      <c r="CG122" s="132" t="s">
        <v>60</v>
      </c>
      <c r="CH122" s="132" t="s">
        <v>71</v>
      </c>
      <c r="CI122" s="132" t="s">
        <v>60</v>
      </c>
      <c r="CJ122" s="132" t="s">
        <v>71</v>
      </c>
      <c r="CK122" s="132" t="s">
        <v>60</v>
      </c>
      <c r="CL122" s="132" t="s">
        <v>71</v>
      </c>
      <c r="CM122" s="132" t="s">
        <v>60</v>
      </c>
      <c r="CN122" s="132" t="s">
        <v>71</v>
      </c>
      <c r="CO122" s="132" t="s">
        <v>60</v>
      </c>
      <c r="CP122" s="132" t="s">
        <v>71</v>
      </c>
      <c r="CQ122" s="132" t="s">
        <v>60</v>
      </c>
      <c r="CR122" s="132" t="s">
        <v>71</v>
      </c>
      <c r="CS122" s="132" t="s">
        <v>60</v>
      </c>
      <c r="CT122" s="132" t="s">
        <v>71</v>
      </c>
      <c r="CU122" s="132" t="s">
        <v>60</v>
      </c>
      <c r="CV122" s="132" t="s">
        <v>71</v>
      </c>
      <c r="CW122" s="132" t="s">
        <v>60</v>
      </c>
      <c r="CX122" s="132" t="s">
        <v>71</v>
      </c>
      <c r="CY122" s="132" t="s">
        <v>60</v>
      </c>
      <c r="CZ122" s="132" t="s">
        <v>71</v>
      </c>
      <c r="DA122" s="132" t="s">
        <v>60</v>
      </c>
      <c r="DB122" s="132" t="s">
        <v>71</v>
      </c>
      <c r="DC122" s="132" t="s">
        <v>60</v>
      </c>
      <c r="DD122" s="132" t="s">
        <v>71</v>
      </c>
      <c r="DE122" s="137" t="str">
        <f t="shared" si="39"/>
        <v>3&gt; YEARS OLD</v>
      </c>
      <c r="DF122" s="137">
        <f t="shared" si="46"/>
        <v>0</v>
      </c>
    </row>
    <row r="123" spans="1:110" x14ac:dyDescent="0.2">
      <c r="A123" s="160"/>
      <c r="B123" s="5">
        <f t="shared" si="42"/>
        <v>121</v>
      </c>
      <c r="C123" s="131" t="str">
        <f t="shared" si="47"/>
        <v>CNS157</v>
      </c>
      <c r="D123" s="135" t="s">
        <v>255</v>
      </c>
      <c r="E123" s="131" t="str">
        <f t="shared" si="43"/>
        <v>CNS157_CONTROL</v>
      </c>
      <c r="F123" s="131"/>
      <c r="G123" s="130">
        <f t="shared" si="40"/>
        <v>157</v>
      </c>
      <c r="H123" s="131"/>
      <c r="I123" s="131"/>
      <c r="J123" s="132" t="s">
        <v>24</v>
      </c>
      <c r="K123" s="132" t="s">
        <v>177</v>
      </c>
      <c r="L123" s="132" t="s">
        <v>301</v>
      </c>
      <c r="M123" s="131" t="s">
        <v>81</v>
      </c>
      <c r="N123" s="131" t="s">
        <v>81</v>
      </c>
      <c r="O123" s="131" t="s">
        <v>81</v>
      </c>
      <c r="P123" s="131" t="s">
        <v>309</v>
      </c>
      <c r="Q123" s="131" t="s">
        <v>81</v>
      </c>
      <c r="R123" s="131" t="s">
        <v>89</v>
      </c>
      <c r="S123" s="131" t="s">
        <v>297</v>
      </c>
      <c r="T123" s="131"/>
      <c r="U123" s="132" t="s">
        <v>81</v>
      </c>
      <c r="V123" s="132" t="s">
        <v>174</v>
      </c>
      <c r="W123" s="132"/>
      <c r="X123" s="132"/>
      <c r="Y123" s="133">
        <v>4.4657534246575343</v>
      </c>
      <c r="Z123" s="133">
        <f t="shared" si="38"/>
        <v>250.35616438356163</v>
      </c>
      <c r="AA123" s="132" t="s">
        <v>71</v>
      </c>
      <c r="AB123" s="132" t="s">
        <v>60</v>
      </c>
      <c r="AC123" s="132" t="s">
        <v>60</v>
      </c>
      <c r="AD123" s="132" t="s">
        <v>71</v>
      </c>
      <c r="AE123" s="132" t="s">
        <v>71</v>
      </c>
      <c r="AF123" s="134" t="s">
        <v>68</v>
      </c>
      <c r="AG123" s="132" t="s">
        <v>81</v>
      </c>
      <c r="AH123" s="132" t="s">
        <v>71</v>
      </c>
      <c r="AI123" s="132" t="s">
        <v>60</v>
      </c>
      <c r="AJ123" s="132" t="s">
        <v>71</v>
      </c>
      <c r="AK123" s="132" t="s">
        <v>60</v>
      </c>
      <c r="AL123" s="132" t="s">
        <v>60</v>
      </c>
      <c r="AM123" s="132" t="s">
        <v>60</v>
      </c>
      <c r="AN123" s="132" t="s">
        <v>60</v>
      </c>
      <c r="AO123" s="132" t="s">
        <v>71</v>
      </c>
      <c r="AP123" s="132" t="s">
        <v>71</v>
      </c>
      <c r="AQ123" s="132" t="s">
        <v>71</v>
      </c>
      <c r="AR123" s="132" t="s">
        <v>71</v>
      </c>
      <c r="AS123" s="132" t="s">
        <v>71</v>
      </c>
      <c r="AT123" s="132" t="s">
        <v>71</v>
      </c>
      <c r="AU123" s="132" t="s">
        <v>71</v>
      </c>
      <c r="AV123" s="132" t="s">
        <v>71</v>
      </c>
      <c r="AW123" s="132" t="s">
        <v>71</v>
      </c>
      <c r="AX123" s="132" t="s">
        <v>71</v>
      </c>
      <c r="AY123" s="132" t="s">
        <v>71</v>
      </c>
      <c r="AZ123" s="132" t="s">
        <v>71</v>
      </c>
      <c r="BA123" s="132" t="s">
        <v>71</v>
      </c>
      <c r="BB123" s="132" t="s">
        <v>71</v>
      </c>
      <c r="BC123" s="132" t="s">
        <v>71</v>
      </c>
      <c r="BD123" s="132" t="s">
        <v>71</v>
      </c>
      <c r="BE123" s="132" t="s">
        <v>71</v>
      </c>
      <c r="BF123" s="132" t="s">
        <v>71</v>
      </c>
      <c r="BG123" s="132" t="s">
        <v>71</v>
      </c>
      <c r="BH123" s="132" t="s">
        <v>71</v>
      </c>
      <c r="BI123" s="132" t="s">
        <v>71</v>
      </c>
      <c r="BJ123" s="132" t="s">
        <v>71</v>
      </c>
      <c r="BK123" s="132" t="s">
        <v>71</v>
      </c>
      <c r="BL123" s="132" t="s">
        <v>71</v>
      </c>
      <c r="BM123" s="132" t="s">
        <v>71</v>
      </c>
      <c r="BN123" s="132" t="s">
        <v>71</v>
      </c>
      <c r="BO123" s="132" t="s">
        <v>71</v>
      </c>
      <c r="BP123" s="132" t="s">
        <v>71</v>
      </c>
      <c r="BQ123" s="132" t="s">
        <v>71</v>
      </c>
      <c r="BR123" s="132" t="s">
        <v>71</v>
      </c>
      <c r="BS123" s="132" t="s">
        <v>71</v>
      </c>
      <c r="BT123" s="132" t="s">
        <v>71</v>
      </c>
      <c r="BU123" s="132" t="s">
        <v>60</v>
      </c>
      <c r="BV123" s="132" t="s">
        <v>71</v>
      </c>
      <c r="BW123" s="132" t="s">
        <v>60</v>
      </c>
      <c r="BX123" s="132" t="s">
        <v>71</v>
      </c>
      <c r="BY123" s="132" t="s">
        <v>60</v>
      </c>
      <c r="BZ123" s="132" t="s">
        <v>71</v>
      </c>
      <c r="CA123" s="132" t="s">
        <v>60</v>
      </c>
      <c r="CB123" s="132" t="s">
        <v>71</v>
      </c>
      <c r="CC123" s="132" t="s">
        <v>60</v>
      </c>
      <c r="CD123" s="132" t="s">
        <v>71</v>
      </c>
      <c r="CE123" s="132" t="s">
        <v>60</v>
      </c>
      <c r="CF123" s="132" t="s">
        <v>71</v>
      </c>
      <c r="CG123" s="132" t="s">
        <v>60</v>
      </c>
      <c r="CH123" s="132" t="s">
        <v>71</v>
      </c>
      <c r="CI123" s="132" t="s">
        <v>60</v>
      </c>
      <c r="CJ123" s="132" t="s">
        <v>71</v>
      </c>
      <c r="CK123" s="132" t="s">
        <v>60</v>
      </c>
      <c r="CL123" s="132" t="s">
        <v>71</v>
      </c>
      <c r="CM123" s="132" t="s">
        <v>60</v>
      </c>
      <c r="CN123" s="132" t="s">
        <v>71</v>
      </c>
      <c r="CO123" s="132" t="s">
        <v>60</v>
      </c>
      <c r="CP123" s="132" t="s">
        <v>71</v>
      </c>
      <c r="CQ123" s="132" t="s">
        <v>60</v>
      </c>
      <c r="CR123" s="132" t="s">
        <v>71</v>
      </c>
      <c r="CS123" s="132" t="s">
        <v>60</v>
      </c>
      <c r="CT123" s="132" t="s">
        <v>71</v>
      </c>
      <c r="CU123" s="132" t="s">
        <v>60</v>
      </c>
      <c r="CV123" s="132" t="s">
        <v>71</v>
      </c>
      <c r="CW123" s="132" t="s">
        <v>60</v>
      </c>
      <c r="CX123" s="132" t="s">
        <v>71</v>
      </c>
      <c r="CY123" s="132" t="s">
        <v>60</v>
      </c>
      <c r="CZ123" s="132" t="s">
        <v>71</v>
      </c>
      <c r="DA123" s="132" t="s">
        <v>60</v>
      </c>
      <c r="DB123" s="132" t="s">
        <v>71</v>
      </c>
      <c r="DC123" s="132" t="s">
        <v>60</v>
      </c>
      <c r="DD123" s="132" t="s">
        <v>71</v>
      </c>
      <c r="DE123" s="137" t="str">
        <f t="shared" si="39"/>
        <v>3&lt;YEARS OLD&lt;9</v>
      </c>
      <c r="DF123" s="137">
        <f t="shared" si="46"/>
        <v>0</v>
      </c>
    </row>
    <row r="124" spans="1:110" x14ac:dyDescent="0.2">
      <c r="A124" s="160"/>
      <c r="B124" s="5">
        <f t="shared" si="42"/>
        <v>122</v>
      </c>
      <c r="C124" s="131" t="str">
        <f t="shared" si="47"/>
        <v>CNS158</v>
      </c>
      <c r="D124" s="135" t="s">
        <v>256</v>
      </c>
      <c r="E124" s="131" t="str">
        <f t="shared" si="43"/>
        <v>CNS158_CONTROL</v>
      </c>
      <c r="F124" s="131"/>
      <c r="G124" s="130">
        <f t="shared" si="40"/>
        <v>158</v>
      </c>
      <c r="H124" s="131"/>
      <c r="I124" s="131"/>
      <c r="J124" s="132" t="s">
        <v>24</v>
      </c>
      <c r="K124" s="132" t="s">
        <v>177</v>
      </c>
      <c r="L124" s="132" t="s">
        <v>301</v>
      </c>
      <c r="M124" s="131" t="s">
        <v>81</v>
      </c>
      <c r="N124" s="131" t="s">
        <v>81</v>
      </c>
      <c r="O124" s="131" t="s">
        <v>81</v>
      </c>
      <c r="P124" s="131" t="s">
        <v>311</v>
      </c>
      <c r="Q124" s="131" t="s">
        <v>81</v>
      </c>
      <c r="R124" s="131" t="s">
        <v>89</v>
      </c>
      <c r="S124" s="131" t="s">
        <v>297</v>
      </c>
      <c r="T124" s="131"/>
      <c r="U124" s="132" t="s">
        <v>81</v>
      </c>
      <c r="V124" s="132" t="s">
        <v>172</v>
      </c>
      <c r="W124" s="132"/>
      <c r="X124" s="132"/>
      <c r="Y124" s="133">
        <v>0</v>
      </c>
      <c r="Z124" s="133">
        <v>18</v>
      </c>
      <c r="AA124" s="132" t="s">
        <v>71</v>
      </c>
      <c r="AB124" s="132" t="s">
        <v>60</v>
      </c>
      <c r="AC124" s="132" t="s">
        <v>60</v>
      </c>
      <c r="AD124" s="132" t="s">
        <v>71</v>
      </c>
      <c r="AE124" s="132" t="s">
        <v>71</v>
      </c>
      <c r="AF124" s="134" t="s">
        <v>68</v>
      </c>
      <c r="AG124" s="132" t="s">
        <v>81</v>
      </c>
      <c r="AH124" s="132" t="s">
        <v>71</v>
      </c>
      <c r="AI124" s="132" t="s">
        <v>60</v>
      </c>
      <c r="AJ124" s="132" t="s">
        <v>71</v>
      </c>
      <c r="AK124" s="132" t="s">
        <v>60</v>
      </c>
      <c r="AL124" s="132" t="s">
        <v>60</v>
      </c>
      <c r="AM124" s="132" t="s">
        <v>60</v>
      </c>
      <c r="AN124" s="132" t="s">
        <v>60</v>
      </c>
      <c r="AO124" s="132" t="s">
        <v>71</v>
      </c>
      <c r="AP124" s="132" t="s">
        <v>71</v>
      </c>
      <c r="AQ124" s="132" t="s">
        <v>71</v>
      </c>
      <c r="AR124" s="132" t="s">
        <v>71</v>
      </c>
      <c r="AS124" s="132" t="s">
        <v>71</v>
      </c>
      <c r="AT124" s="132" t="s">
        <v>71</v>
      </c>
      <c r="AU124" s="132" t="s">
        <v>71</v>
      </c>
      <c r="AV124" s="132" t="s">
        <v>71</v>
      </c>
      <c r="AW124" s="132" t="s">
        <v>71</v>
      </c>
      <c r="AX124" s="132" t="s">
        <v>71</v>
      </c>
      <c r="AY124" s="132" t="s">
        <v>71</v>
      </c>
      <c r="AZ124" s="132" t="s">
        <v>71</v>
      </c>
      <c r="BA124" s="132" t="s">
        <v>71</v>
      </c>
      <c r="BB124" s="132" t="s">
        <v>71</v>
      </c>
      <c r="BC124" s="132" t="s">
        <v>71</v>
      </c>
      <c r="BD124" s="132" t="s">
        <v>71</v>
      </c>
      <c r="BE124" s="132" t="s">
        <v>71</v>
      </c>
      <c r="BF124" s="132" t="s">
        <v>71</v>
      </c>
      <c r="BG124" s="132" t="s">
        <v>71</v>
      </c>
      <c r="BH124" s="132" t="s">
        <v>71</v>
      </c>
      <c r="BI124" s="132" t="s">
        <v>71</v>
      </c>
      <c r="BJ124" s="132" t="s">
        <v>71</v>
      </c>
      <c r="BK124" s="132" t="s">
        <v>71</v>
      </c>
      <c r="BL124" s="132" t="s">
        <v>71</v>
      </c>
      <c r="BM124" s="132" t="s">
        <v>71</v>
      </c>
      <c r="BN124" s="132" t="s">
        <v>71</v>
      </c>
      <c r="BO124" s="132" t="s">
        <v>71</v>
      </c>
      <c r="BP124" s="132" t="s">
        <v>71</v>
      </c>
      <c r="BQ124" s="132" t="s">
        <v>71</v>
      </c>
      <c r="BR124" s="132" t="s">
        <v>71</v>
      </c>
      <c r="BS124" s="132" t="s">
        <v>71</v>
      </c>
      <c r="BT124" s="132" t="s">
        <v>71</v>
      </c>
      <c r="BU124" s="132" t="s">
        <v>60</v>
      </c>
      <c r="BV124" s="132" t="s">
        <v>71</v>
      </c>
      <c r="BW124" s="132" t="s">
        <v>60</v>
      </c>
      <c r="BX124" s="132" t="s">
        <v>71</v>
      </c>
      <c r="BY124" s="132" t="s">
        <v>60</v>
      </c>
      <c r="BZ124" s="132" t="s">
        <v>71</v>
      </c>
      <c r="CA124" s="132" t="s">
        <v>60</v>
      </c>
      <c r="CB124" s="132" t="s">
        <v>71</v>
      </c>
      <c r="CC124" s="132" t="s">
        <v>60</v>
      </c>
      <c r="CD124" s="132" t="s">
        <v>71</v>
      </c>
      <c r="CE124" s="132" t="s">
        <v>60</v>
      </c>
      <c r="CF124" s="132" t="s">
        <v>71</v>
      </c>
      <c r="CG124" s="132" t="s">
        <v>60</v>
      </c>
      <c r="CH124" s="132" t="s">
        <v>71</v>
      </c>
      <c r="CI124" s="132" t="s">
        <v>60</v>
      </c>
      <c r="CJ124" s="132" t="s">
        <v>71</v>
      </c>
      <c r="CK124" s="132" t="s">
        <v>60</v>
      </c>
      <c r="CL124" s="132" t="s">
        <v>71</v>
      </c>
      <c r="CM124" s="132" t="s">
        <v>60</v>
      </c>
      <c r="CN124" s="132" t="s">
        <v>71</v>
      </c>
      <c r="CO124" s="132" t="s">
        <v>60</v>
      </c>
      <c r="CP124" s="132" t="s">
        <v>71</v>
      </c>
      <c r="CQ124" s="132" t="s">
        <v>60</v>
      </c>
      <c r="CR124" s="132" t="s">
        <v>71</v>
      </c>
      <c r="CS124" s="132" t="s">
        <v>60</v>
      </c>
      <c r="CT124" s="132" t="s">
        <v>71</v>
      </c>
      <c r="CU124" s="132" t="s">
        <v>60</v>
      </c>
      <c r="CV124" s="132" t="s">
        <v>71</v>
      </c>
      <c r="CW124" s="132" t="s">
        <v>60</v>
      </c>
      <c r="CX124" s="132" t="s">
        <v>71</v>
      </c>
      <c r="CY124" s="132" t="s">
        <v>60</v>
      </c>
      <c r="CZ124" s="132" t="s">
        <v>71</v>
      </c>
      <c r="DA124" s="132" t="s">
        <v>60</v>
      </c>
      <c r="DB124" s="132" t="s">
        <v>71</v>
      </c>
      <c r="DC124" s="132" t="s">
        <v>60</v>
      </c>
      <c r="DD124" s="132" t="s">
        <v>71</v>
      </c>
      <c r="DE124" s="137" t="str">
        <f t="shared" si="39"/>
        <v>FETAL</v>
      </c>
      <c r="DF124" s="137">
        <f t="shared" si="46"/>
        <v>0</v>
      </c>
    </row>
    <row r="125" spans="1:110" x14ac:dyDescent="0.2">
      <c r="A125" s="160"/>
      <c r="B125" s="5">
        <f t="shared" si="42"/>
        <v>123</v>
      </c>
      <c r="C125" s="131" t="str">
        <f t="shared" si="47"/>
        <v>CNS159</v>
      </c>
      <c r="D125" s="135" t="s">
        <v>257</v>
      </c>
      <c r="E125" s="131" t="str">
        <f t="shared" si="43"/>
        <v>CNS159_CONTROL</v>
      </c>
      <c r="F125" s="131"/>
      <c r="G125" s="130">
        <f t="shared" si="40"/>
        <v>159</v>
      </c>
      <c r="H125" s="131"/>
      <c r="I125" s="131"/>
      <c r="J125" s="132" t="s">
        <v>24</v>
      </c>
      <c r="K125" s="132" t="s">
        <v>177</v>
      </c>
      <c r="L125" s="132" t="s">
        <v>301</v>
      </c>
      <c r="M125" s="131" t="s">
        <v>81</v>
      </c>
      <c r="N125" s="131" t="s">
        <v>81</v>
      </c>
      <c r="O125" s="131" t="s">
        <v>81</v>
      </c>
      <c r="P125" s="131" t="s">
        <v>312</v>
      </c>
      <c r="Q125" s="131" t="s">
        <v>81</v>
      </c>
      <c r="R125" s="131" t="s">
        <v>89</v>
      </c>
      <c r="S125" s="131" t="s">
        <v>297</v>
      </c>
      <c r="T125" s="131"/>
      <c r="U125" s="132" t="s">
        <v>81</v>
      </c>
      <c r="V125" s="132" t="s">
        <v>175</v>
      </c>
      <c r="W125" s="132"/>
      <c r="X125" s="132"/>
      <c r="Y125" s="133">
        <v>9.5034703683929533E-3</v>
      </c>
      <c r="Z125" s="133">
        <f t="shared" si="38"/>
        <v>36.456166577682865</v>
      </c>
      <c r="AA125" s="132" t="s">
        <v>71</v>
      </c>
      <c r="AB125" s="132" t="s">
        <v>60</v>
      </c>
      <c r="AC125" s="132" t="s">
        <v>60</v>
      </c>
      <c r="AD125" s="132" t="s">
        <v>71</v>
      </c>
      <c r="AE125" s="132" t="s">
        <v>71</v>
      </c>
      <c r="AF125" s="134" t="s">
        <v>68</v>
      </c>
      <c r="AG125" s="132" t="s">
        <v>81</v>
      </c>
      <c r="AH125" s="132" t="s">
        <v>71</v>
      </c>
      <c r="AI125" s="132" t="s">
        <v>60</v>
      </c>
      <c r="AJ125" s="132" t="s">
        <v>71</v>
      </c>
      <c r="AK125" s="132" t="s">
        <v>60</v>
      </c>
      <c r="AL125" s="132" t="s">
        <v>60</v>
      </c>
      <c r="AM125" s="132" t="s">
        <v>60</v>
      </c>
      <c r="AN125" s="132" t="s">
        <v>60</v>
      </c>
      <c r="AO125" s="132" t="s">
        <v>71</v>
      </c>
      <c r="AP125" s="132" t="s">
        <v>71</v>
      </c>
      <c r="AQ125" s="132" t="s">
        <v>71</v>
      </c>
      <c r="AR125" s="132" t="s">
        <v>71</v>
      </c>
      <c r="AS125" s="132" t="s">
        <v>71</v>
      </c>
      <c r="AT125" s="132" t="s">
        <v>71</v>
      </c>
      <c r="AU125" s="132" t="s">
        <v>71</v>
      </c>
      <c r="AV125" s="132" t="s">
        <v>71</v>
      </c>
      <c r="AW125" s="132" t="s">
        <v>71</v>
      </c>
      <c r="AX125" s="132" t="s">
        <v>71</v>
      </c>
      <c r="AY125" s="132" t="s">
        <v>71</v>
      </c>
      <c r="AZ125" s="132" t="s">
        <v>71</v>
      </c>
      <c r="BA125" s="132" t="s">
        <v>71</v>
      </c>
      <c r="BB125" s="132" t="s">
        <v>71</v>
      </c>
      <c r="BC125" s="132" t="s">
        <v>71</v>
      </c>
      <c r="BD125" s="132" t="s">
        <v>71</v>
      </c>
      <c r="BE125" s="132" t="s">
        <v>71</v>
      </c>
      <c r="BF125" s="132" t="s">
        <v>71</v>
      </c>
      <c r="BG125" s="132" t="s">
        <v>71</v>
      </c>
      <c r="BH125" s="132" t="s">
        <v>71</v>
      </c>
      <c r="BI125" s="132" t="s">
        <v>71</v>
      </c>
      <c r="BJ125" s="132" t="s">
        <v>71</v>
      </c>
      <c r="BK125" s="132" t="s">
        <v>71</v>
      </c>
      <c r="BL125" s="132" t="s">
        <v>71</v>
      </c>
      <c r="BM125" s="132" t="s">
        <v>71</v>
      </c>
      <c r="BN125" s="132" t="s">
        <v>71</v>
      </c>
      <c r="BO125" s="132" t="s">
        <v>71</v>
      </c>
      <c r="BP125" s="132" t="s">
        <v>71</v>
      </c>
      <c r="BQ125" s="132" t="s">
        <v>71</v>
      </c>
      <c r="BR125" s="132" t="s">
        <v>71</v>
      </c>
      <c r="BS125" s="132" t="s">
        <v>71</v>
      </c>
      <c r="BT125" s="132" t="s">
        <v>71</v>
      </c>
      <c r="BU125" s="132" t="s">
        <v>60</v>
      </c>
      <c r="BV125" s="132" t="s">
        <v>71</v>
      </c>
      <c r="BW125" s="132" t="s">
        <v>60</v>
      </c>
      <c r="BX125" s="132" t="s">
        <v>71</v>
      </c>
      <c r="BY125" s="132" t="s">
        <v>60</v>
      </c>
      <c r="BZ125" s="132" t="s">
        <v>71</v>
      </c>
      <c r="CA125" s="132" t="s">
        <v>60</v>
      </c>
      <c r="CB125" s="132" t="s">
        <v>71</v>
      </c>
      <c r="CC125" s="132" t="s">
        <v>60</v>
      </c>
      <c r="CD125" s="132" t="s">
        <v>71</v>
      </c>
      <c r="CE125" s="132" t="s">
        <v>60</v>
      </c>
      <c r="CF125" s="132" t="s">
        <v>71</v>
      </c>
      <c r="CG125" s="132" t="s">
        <v>60</v>
      </c>
      <c r="CH125" s="132" t="s">
        <v>71</v>
      </c>
      <c r="CI125" s="132" t="s">
        <v>60</v>
      </c>
      <c r="CJ125" s="132" t="s">
        <v>71</v>
      </c>
      <c r="CK125" s="132" t="s">
        <v>60</v>
      </c>
      <c r="CL125" s="132" t="s">
        <v>71</v>
      </c>
      <c r="CM125" s="132" t="s">
        <v>60</v>
      </c>
      <c r="CN125" s="132" t="s">
        <v>71</v>
      </c>
      <c r="CO125" s="132" t="s">
        <v>60</v>
      </c>
      <c r="CP125" s="132" t="s">
        <v>71</v>
      </c>
      <c r="CQ125" s="132" t="s">
        <v>60</v>
      </c>
      <c r="CR125" s="132" t="s">
        <v>71</v>
      </c>
      <c r="CS125" s="132" t="s">
        <v>60</v>
      </c>
      <c r="CT125" s="132" t="s">
        <v>71</v>
      </c>
      <c r="CU125" s="132" t="s">
        <v>60</v>
      </c>
      <c r="CV125" s="132" t="s">
        <v>71</v>
      </c>
      <c r="CW125" s="132" t="s">
        <v>60</v>
      </c>
      <c r="CX125" s="132" t="s">
        <v>71</v>
      </c>
      <c r="CY125" s="132" t="s">
        <v>60</v>
      </c>
      <c r="CZ125" s="132" t="s">
        <v>71</v>
      </c>
      <c r="DA125" s="132" t="s">
        <v>60</v>
      </c>
      <c r="DB125" s="132" t="s">
        <v>71</v>
      </c>
      <c r="DC125" s="132" t="s">
        <v>60</v>
      </c>
      <c r="DD125" s="132" t="s">
        <v>71</v>
      </c>
      <c r="DE125" s="137" t="str">
        <f t="shared" si="39"/>
        <v>3&gt; YEARS OLD</v>
      </c>
      <c r="DF125" s="137">
        <f t="shared" si="46"/>
        <v>0</v>
      </c>
    </row>
    <row r="126" spans="1:110" x14ac:dyDescent="0.2">
      <c r="A126" s="160"/>
      <c r="B126" s="5">
        <f t="shared" si="42"/>
        <v>124</v>
      </c>
      <c r="C126" s="131" t="str">
        <f t="shared" si="47"/>
        <v>CNS160</v>
      </c>
      <c r="D126" s="135" t="s">
        <v>258</v>
      </c>
      <c r="E126" s="131" t="str">
        <f t="shared" si="43"/>
        <v>CNS160_CONTROL</v>
      </c>
      <c r="F126" s="131"/>
      <c r="G126" s="130">
        <f t="shared" si="40"/>
        <v>160</v>
      </c>
      <c r="H126" s="131"/>
      <c r="I126" s="131"/>
      <c r="J126" s="132" t="s">
        <v>25</v>
      </c>
      <c r="K126" s="132" t="s">
        <v>177</v>
      </c>
      <c r="L126" s="132" t="s">
        <v>301</v>
      </c>
      <c r="M126" s="131" t="s">
        <v>81</v>
      </c>
      <c r="N126" s="131" t="s">
        <v>81</v>
      </c>
      <c r="O126" s="131" t="s">
        <v>81</v>
      </c>
      <c r="P126" s="131" t="s">
        <v>311</v>
      </c>
      <c r="Q126" s="131" t="s">
        <v>81</v>
      </c>
      <c r="R126" s="131" t="s">
        <v>89</v>
      </c>
      <c r="S126" s="131" t="s">
        <v>297</v>
      </c>
      <c r="T126" s="131"/>
      <c r="U126" s="132" t="s">
        <v>81</v>
      </c>
      <c r="V126" s="132" t="s">
        <v>172</v>
      </c>
      <c r="W126" s="132"/>
      <c r="X126" s="132"/>
      <c r="Y126" s="133">
        <v>0</v>
      </c>
      <c r="Z126" s="133">
        <v>18</v>
      </c>
      <c r="AA126" s="132" t="s">
        <v>71</v>
      </c>
      <c r="AB126" s="132" t="s">
        <v>60</v>
      </c>
      <c r="AC126" s="132" t="s">
        <v>60</v>
      </c>
      <c r="AD126" s="132" t="s">
        <v>71</v>
      </c>
      <c r="AE126" s="132" t="s">
        <v>71</v>
      </c>
      <c r="AF126" s="134" t="s">
        <v>68</v>
      </c>
      <c r="AG126" s="132" t="s">
        <v>81</v>
      </c>
      <c r="AH126" s="132" t="s">
        <v>71</v>
      </c>
      <c r="AI126" s="132" t="s">
        <v>60</v>
      </c>
      <c r="AJ126" s="132" t="s">
        <v>71</v>
      </c>
      <c r="AK126" s="132" t="s">
        <v>60</v>
      </c>
      <c r="AL126" s="132" t="s">
        <v>60</v>
      </c>
      <c r="AM126" s="132" t="s">
        <v>60</v>
      </c>
      <c r="AN126" s="132" t="s">
        <v>60</v>
      </c>
      <c r="AO126" s="132" t="s">
        <v>71</v>
      </c>
      <c r="AP126" s="132" t="s">
        <v>71</v>
      </c>
      <c r="AQ126" s="132" t="s">
        <v>71</v>
      </c>
      <c r="AR126" s="132" t="s">
        <v>71</v>
      </c>
      <c r="AS126" s="132" t="s">
        <v>71</v>
      </c>
      <c r="AT126" s="132" t="s">
        <v>71</v>
      </c>
      <c r="AU126" s="132" t="s">
        <v>71</v>
      </c>
      <c r="AV126" s="132" t="s">
        <v>71</v>
      </c>
      <c r="AW126" s="132" t="s">
        <v>71</v>
      </c>
      <c r="AX126" s="132" t="s">
        <v>71</v>
      </c>
      <c r="AY126" s="132" t="s">
        <v>71</v>
      </c>
      <c r="AZ126" s="132" t="s">
        <v>71</v>
      </c>
      <c r="BA126" s="132" t="s">
        <v>71</v>
      </c>
      <c r="BB126" s="132" t="s">
        <v>71</v>
      </c>
      <c r="BC126" s="132" t="s">
        <v>71</v>
      </c>
      <c r="BD126" s="132" t="s">
        <v>71</v>
      </c>
      <c r="BE126" s="132" t="s">
        <v>71</v>
      </c>
      <c r="BF126" s="132" t="s">
        <v>71</v>
      </c>
      <c r="BG126" s="132" t="s">
        <v>71</v>
      </c>
      <c r="BH126" s="132" t="s">
        <v>71</v>
      </c>
      <c r="BI126" s="132" t="s">
        <v>71</v>
      </c>
      <c r="BJ126" s="132" t="s">
        <v>71</v>
      </c>
      <c r="BK126" s="132" t="s">
        <v>71</v>
      </c>
      <c r="BL126" s="132" t="s">
        <v>71</v>
      </c>
      <c r="BM126" s="132" t="s">
        <v>71</v>
      </c>
      <c r="BN126" s="132" t="s">
        <v>71</v>
      </c>
      <c r="BO126" s="132" t="s">
        <v>71</v>
      </c>
      <c r="BP126" s="132" t="s">
        <v>71</v>
      </c>
      <c r="BQ126" s="132" t="s">
        <v>71</v>
      </c>
      <c r="BR126" s="132" t="s">
        <v>71</v>
      </c>
      <c r="BS126" s="132" t="s">
        <v>71</v>
      </c>
      <c r="BT126" s="132" t="s">
        <v>71</v>
      </c>
      <c r="BU126" s="132" t="s">
        <v>60</v>
      </c>
      <c r="BV126" s="132" t="s">
        <v>71</v>
      </c>
      <c r="BW126" s="132" t="s">
        <v>60</v>
      </c>
      <c r="BX126" s="132" t="s">
        <v>71</v>
      </c>
      <c r="BY126" s="132" t="s">
        <v>60</v>
      </c>
      <c r="BZ126" s="132" t="s">
        <v>71</v>
      </c>
      <c r="CA126" s="132" t="s">
        <v>60</v>
      </c>
      <c r="CB126" s="132" t="s">
        <v>71</v>
      </c>
      <c r="CC126" s="132" t="s">
        <v>60</v>
      </c>
      <c r="CD126" s="132" t="s">
        <v>71</v>
      </c>
      <c r="CE126" s="132" t="s">
        <v>60</v>
      </c>
      <c r="CF126" s="132" t="s">
        <v>71</v>
      </c>
      <c r="CG126" s="132" t="s">
        <v>60</v>
      </c>
      <c r="CH126" s="132" t="s">
        <v>71</v>
      </c>
      <c r="CI126" s="132" t="s">
        <v>60</v>
      </c>
      <c r="CJ126" s="132" t="s">
        <v>71</v>
      </c>
      <c r="CK126" s="132" t="s">
        <v>60</v>
      </c>
      <c r="CL126" s="132" t="s">
        <v>71</v>
      </c>
      <c r="CM126" s="132" t="s">
        <v>60</v>
      </c>
      <c r="CN126" s="132" t="s">
        <v>71</v>
      </c>
      <c r="CO126" s="132" t="s">
        <v>60</v>
      </c>
      <c r="CP126" s="132" t="s">
        <v>71</v>
      </c>
      <c r="CQ126" s="132" t="s">
        <v>60</v>
      </c>
      <c r="CR126" s="132" t="s">
        <v>71</v>
      </c>
      <c r="CS126" s="132" t="s">
        <v>60</v>
      </c>
      <c r="CT126" s="132" t="s">
        <v>71</v>
      </c>
      <c r="CU126" s="132" t="s">
        <v>60</v>
      </c>
      <c r="CV126" s="132" t="s">
        <v>71</v>
      </c>
      <c r="CW126" s="132" t="s">
        <v>60</v>
      </c>
      <c r="CX126" s="132" t="s">
        <v>71</v>
      </c>
      <c r="CY126" s="132" t="s">
        <v>60</v>
      </c>
      <c r="CZ126" s="132" t="s">
        <v>71</v>
      </c>
      <c r="DA126" s="132" t="s">
        <v>60</v>
      </c>
      <c r="DB126" s="132" t="s">
        <v>71</v>
      </c>
      <c r="DC126" s="132" t="s">
        <v>60</v>
      </c>
      <c r="DD126" s="132" t="s">
        <v>71</v>
      </c>
      <c r="DE126" s="137" t="str">
        <f t="shared" si="39"/>
        <v>FETAL</v>
      </c>
      <c r="DF126" s="137">
        <f t="shared" si="46"/>
        <v>0</v>
      </c>
    </row>
    <row r="127" spans="1:110" x14ac:dyDescent="0.2">
      <c r="A127" s="160"/>
      <c r="B127" s="5">
        <f t="shared" si="42"/>
        <v>125</v>
      </c>
      <c r="C127" s="131" t="str">
        <f t="shared" si="47"/>
        <v>CNS161</v>
      </c>
      <c r="D127" s="135" t="s">
        <v>259</v>
      </c>
      <c r="E127" s="131" t="str">
        <f t="shared" ref="E127:E162" si="48">CONCATENATE(C127,"_",M127)</f>
        <v>CNS161_CONTROL</v>
      </c>
      <c r="F127" s="131"/>
      <c r="G127" s="130">
        <f t="shared" si="40"/>
        <v>161</v>
      </c>
      <c r="H127" s="131"/>
      <c r="I127" s="131"/>
      <c r="J127" s="132" t="s">
        <v>25</v>
      </c>
      <c r="K127" s="132" t="s">
        <v>177</v>
      </c>
      <c r="L127" s="132" t="s">
        <v>301</v>
      </c>
      <c r="M127" s="131" t="s">
        <v>81</v>
      </c>
      <c r="N127" s="131" t="s">
        <v>81</v>
      </c>
      <c r="O127" s="131" t="s">
        <v>81</v>
      </c>
      <c r="P127" s="131" t="s">
        <v>311</v>
      </c>
      <c r="Q127" s="131" t="s">
        <v>81</v>
      </c>
      <c r="R127" s="131" t="s">
        <v>89</v>
      </c>
      <c r="S127" s="131" t="s">
        <v>297</v>
      </c>
      <c r="T127" s="131"/>
      <c r="U127" s="132" t="s">
        <v>81</v>
      </c>
      <c r="V127" s="132" t="s">
        <v>172</v>
      </c>
      <c r="W127" s="132"/>
      <c r="X127" s="132"/>
      <c r="Y127" s="133">
        <v>0</v>
      </c>
      <c r="Z127" s="133">
        <v>17</v>
      </c>
      <c r="AA127" s="132" t="s">
        <v>71</v>
      </c>
      <c r="AB127" s="132" t="s">
        <v>60</v>
      </c>
      <c r="AC127" s="132" t="s">
        <v>60</v>
      </c>
      <c r="AD127" s="132" t="s">
        <v>71</v>
      </c>
      <c r="AE127" s="132" t="s">
        <v>71</v>
      </c>
      <c r="AF127" s="134" t="s">
        <v>68</v>
      </c>
      <c r="AG127" s="132" t="s">
        <v>81</v>
      </c>
      <c r="AH127" s="132" t="s">
        <v>71</v>
      </c>
      <c r="AI127" s="132" t="s">
        <v>60</v>
      </c>
      <c r="AJ127" s="132" t="s">
        <v>71</v>
      </c>
      <c r="AK127" s="132" t="s">
        <v>60</v>
      </c>
      <c r="AL127" s="132" t="s">
        <v>60</v>
      </c>
      <c r="AM127" s="132" t="s">
        <v>60</v>
      </c>
      <c r="AN127" s="132" t="s">
        <v>60</v>
      </c>
      <c r="AO127" s="132" t="s">
        <v>71</v>
      </c>
      <c r="AP127" s="132" t="s">
        <v>71</v>
      </c>
      <c r="AQ127" s="132" t="s">
        <v>71</v>
      </c>
      <c r="AR127" s="132" t="s">
        <v>71</v>
      </c>
      <c r="AS127" s="132" t="s">
        <v>71</v>
      </c>
      <c r="AT127" s="132" t="s">
        <v>71</v>
      </c>
      <c r="AU127" s="132" t="s">
        <v>71</v>
      </c>
      <c r="AV127" s="132" t="s">
        <v>71</v>
      </c>
      <c r="AW127" s="132" t="s">
        <v>71</v>
      </c>
      <c r="AX127" s="132" t="s">
        <v>71</v>
      </c>
      <c r="AY127" s="132" t="s">
        <v>71</v>
      </c>
      <c r="AZ127" s="132" t="s">
        <v>71</v>
      </c>
      <c r="BA127" s="132" t="s">
        <v>71</v>
      </c>
      <c r="BB127" s="132" t="s">
        <v>71</v>
      </c>
      <c r="BC127" s="132" t="s">
        <v>71</v>
      </c>
      <c r="BD127" s="132" t="s">
        <v>71</v>
      </c>
      <c r="BE127" s="132" t="s">
        <v>71</v>
      </c>
      <c r="BF127" s="132" t="s">
        <v>71</v>
      </c>
      <c r="BG127" s="132" t="s">
        <v>71</v>
      </c>
      <c r="BH127" s="132" t="s">
        <v>71</v>
      </c>
      <c r="BI127" s="132" t="s">
        <v>71</v>
      </c>
      <c r="BJ127" s="132" t="s">
        <v>71</v>
      </c>
      <c r="BK127" s="132" t="s">
        <v>71</v>
      </c>
      <c r="BL127" s="132" t="s">
        <v>71</v>
      </c>
      <c r="BM127" s="132" t="s">
        <v>71</v>
      </c>
      <c r="BN127" s="132" t="s">
        <v>71</v>
      </c>
      <c r="BO127" s="132" t="s">
        <v>71</v>
      </c>
      <c r="BP127" s="132" t="s">
        <v>71</v>
      </c>
      <c r="BQ127" s="132" t="s">
        <v>71</v>
      </c>
      <c r="BR127" s="132" t="s">
        <v>71</v>
      </c>
      <c r="BS127" s="132" t="s">
        <v>71</v>
      </c>
      <c r="BT127" s="132" t="s">
        <v>71</v>
      </c>
      <c r="BU127" s="132" t="s">
        <v>60</v>
      </c>
      <c r="BV127" s="132" t="s">
        <v>71</v>
      </c>
      <c r="BW127" s="132" t="s">
        <v>60</v>
      </c>
      <c r="BX127" s="132" t="s">
        <v>71</v>
      </c>
      <c r="BY127" s="132" t="s">
        <v>60</v>
      </c>
      <c r="BZ127" s="132" t="s">
        <v>71</v>
      </c>
      <c r="CA127" s="132" t="s">
        <v>60</v>
      </c>
      <c r="CB127" s="132" t="s">
        <v>71</v>
      </c>
      <c r="CC127" s="132" t="s">
        <v>60</v>
      </c>
      <c r="CD127" s="132" t="s">
        <v>71</v>
      </c>
      <c r="CE127" s="132" t="s">
        <v>60</v>
      </c>
      <c r="CF127" s="132" t="s">
        <v>71</v>
      </c>
      <c r="CG127" s="132" t="s">
        <v>60</v>
      </c>
      <c r="CH127" s="132" t="s">
        <v>71</v>
      </c>
      <c r="CI127" s="132" t="s">
        <v>60</v>
      </c>
      <c r="CJ127" s="132" t="s">
        <v>71</v>
      </c>
      <c r="CK127" s="132" t="s">
        <v>60</v>
      </c>
      <c r="CL127" s="132" t="s">
        <v>71</v>
      </c>
      <c r="CM127" s="132" t="s">
        <v>60</v>
      </c>
      <c r="CN127" s="132" t="s">
        <v>71</v>
      </c>
      <c r="CO127" s="132" t="s">
        <v>60</v>
      </c>
      <c r="CP127" s="132" t="s">
        <v>71</v>
      </c>
      <c r="CQ127" s="132" t="s">
        <v>60</v>
      </c>
      <c r="CR127" s="132" t="s">
        <v>71</v>
      </c>
      <c r="CS127" s="132" t="s">
        <v>60</v>
      </c>
      <c r="CT127" s="132" t="s">
        <v>71</v>
      </c>
      <c r="CU127" s="132" t="s">
        <v>60</v>
      </c>
      <c r="CV127" s="132" t="s">
        <v>71</v>
      </c>
      <c r="CW127" s="132" t="s">
        <v>60</v>
      </c>
      <c r="CX127" s="132" t="s">
        <v>71</v>
      </c>
      <c r="CY127" s="132" t="s">
        <v>60</v>
      </c>
      <c r="CZ127" s="132" t="s">
        <v>71</v>
      </c>
      <c r="DA127" s="132" t="s">
        <v>60</v>
      </c>
      <c r="DB127" s="132" t="s">
        <v>71</v>
      </c>
      <c r="DC127" s="132" t="s">
        <v>60</v>
      </c>
      <c r="DD127" s="132" t="s">
        <v>71</v>
      </c>
      <c r="DE127" s="137" t="str">
        <f t="shared" si="39"/>
        <v>FETAL</v>
      </c>
      <c r="DF127" s="137">
        <f t="shared" si="46"/>
        <v>0</v>
      </c>
    </row>
    <row r="128" spans="1:110" x14ac:dyDescent="0.2">
      <c r="A128" s="160"/>
      <c r="B128" s="5">
        <f t="shared" si="42"/>
        <v>126</v>
      </c>
      <c r="C128" s="131" t="str">
        <f t="shared" si="47"/>
        <v>CNS162</v>
      </c>
      <c r="D128" s="135" t="s">
        <v>260</v>
      </c>
      <c r="E128" s="131" t="str">
        <f t="shared" si="48"/>
        <v>CNS162_CONTROL</v>
      </c>
      <c r="F128" s="131"/>
      <c r="G128" s="130">
        <f t="shared" si="40"/>
        <v>162</v>
      </c>
      <c r="H128" s="131"/>
      <c r="I128" s="131"/>
      <c r="J128" s="132" t="s">
        <v>25</v>
      </c>
      <c r="K128" s="132" t="s">
        <v>177</v>
      </c>
      <c r="L128" s="132" t="s">
        <v>301</v>
      </c>
      <c r="M128" s="131" t="s">
        <v>81</v>
      </c>
      <c r="N128" s="131" t="s">
        <v>81</v>
      </c>
      <c r="O128" s="131" t="s">
        <v>81</v>
      </c>
      <c r="P128" s="131" t="s">
        <v>311</v>
      </c>
      <c r="Q128" s="131" t="s">
        <v>81</v>
      </c>
      <c r="R128" s="131" t="s">
        <v>89</v>
      </c>
      <c r="S128" s="131" t="s">
        <v>297</v>
      </c>
      <c r="T128" s="131"/>
      <c r="U128" s="132" t="s">
        <v>81</v>
      </c>
      <c r="V128" s="132" t="s">
        <v>172</v>
      </c>
      <c r="W128" s="132"/>
      <c r="X128" s="132"/>
      <c r="Y128" s="133">
        <v>0</v>
      </c>
      <c r="Z128" s="133">
        <v>19</v>
      </c>
      <c r="AA128" s="132" t="s">
        <v>71</v>
      </c>
      <c r="AB128" s="132" t="s">
        <v>60</v>
      </c>
      <c r="AC128" s="132" t="s">
        <v>60</v>
      </c>
      <c r="AD128" s="132" t="s">
        <v>71</v>
      </c>
      <c r="AE128" s="132" t="s">
        <v>71</v>
      </c>
      <c r="AF128" s="134" t="s">
        <v>68</v>
      </c>
      <c r="AG128" s="132" t="s">
        <v>81</v>
      </c>
      <c r="AH128" s="132" t="s">
        <v>71</v>
      </c>
      <c r="AI128" s="132" t="s">
        <v>60</v>
      </c>
      <c r="AJ128" s="132" t="s">
        <v>71</v>
      </c>
      <c r="AK128" s="132" t="s">
        <v>60</v>
      </c>
      <c r="AL128" s="132" t="s">
        <v>60</v>
      </c>
      <c r="AM128" s="132" t="s">
        <v>60</v>
      </c>
      <c r="AN128" s="132" t="s">
        <v>60</v>
      </c>
      <c r="AO128" s="132" t="s">
        <v>71</v>
      </c>
      <c r="AP128" s="132" t="s">
        <v>71</v>
      </c>
      <c r="AQ128" s="132" t="s">
        <v>71</v>
      </c>
      <c r="AR128" s="132" t="s">
        <v>71</v>
      </c>
      <c r="AS128" s="132" t="s">
        <v>71</v>
      </c>
      <c r="AT128" s="132" t="s">
        <v>71</v>
      </c>
      <c r="AU128" s="132" t="s">
        <v>71</v>
      </c>
      <c r="AV128" s="132" t="s">
        <v>71</v>
      </c>
      <c r="AW128" s="132" t="s">
        <v>71</v>
      </c>
      <c r="AX128" s="132" t="s">
        <v>71</v>
      </c>
      <c r="AY128" s="132" t="s">
        <v>71</v>
      </c>
      <c r="AZ128" s="132" t="s">
        <v>71</v>
      </c>
      <c r="BA128" s="132" t="s">
        <v>71</v>
      </c>
      <c r="BB128" s="132" t="s">
        <v>71</v>
      </c>
      <c r="BC128" s="132" t="s">
        <v>71</v>
      </c>
      <c r="BD128" s="132" t="s">
        <v>71</v>
      </c>
      <c r="BE128" s="132" t="s">
        <v>71</v>
      </c>
      <c r="BF128" s="132" t="s">
        <v>71</v>
      </c>
      <c r="BG128" s="132" t="s">
        <v>71</v>
      </c>
      <c r="BH128" s="132" t="s">
        <v>71</v>
      </c>
      <c r="BI128" s="132" t="s">
        <v>71</v>
      </c>
      <c r="BJ128" s="132" t="s">
        <v>71</v>
      </c>
      <c r="BK128" s="132" t="s">
        <v>71</v>
      </c>
      <c r="BL128" s="132" t="s">
        <v>71</v>
      </c>
      <c r="BM128" s="132" t="s">
        <v>71</v>
      </c>
      <c r="BN128" s="132" t="s">
        <v>71</v>
      </c>
      <c r="BO128" s="132" t="s">
        <v>71</v>
      </c>
      <c r="BP128" s="132" t="s">
        <v>71</v>
      </c>
      <c r="BQ128" s="132" t="s">
        <v>71</v>
      </c>
      <c r="BR128" s="132" t="s">
        <v>71</v>
      </c>
      <c r="BS128" s="132" t="s">
        <v>71</v>
      </c>
      <c r="BT128" s="132" t="s">
        <v>71</v>
      </c>
      <c r="BU128" s="132" t="s">
        <v>60</v>
      </c>
      <c r="BV128" s="132" t="s">
        <v>71</v>
      </c>
      <c r="BW128" s="132" t="s">
        <v>60</v>
      </c>
      <c r="BX128" s="132" t="s">
        <v>71</v>
      </c>
      <c r="BY128" s="132" t="s">
        <v>60</v>
      </c>
      <c r="BZ128" s="132" t="s">
        <v>71</v>
      </c>
      <c r="CA128" s="132" t="s">
        <v>60</v>
      </c>
      <c r="CB128" s="132" t="s">
        <v>71</v>
      </c>
      <c r="CC128" s="132" t="s">
        <v>60</v>
      </c>
      <c r="CD128" s="132" t="s">
        <v>71</v>
      </c>
      <c r="CE128" s="132" t="s">
        <v>60</v>
      </c>
      <c r="CF128" s="132" t="s">
        <v>71</v>
      </c>
      <c r="CG128" s="132" t="s">
        <v>60</v>
      </c>
      <c r="CH128" s="132" t="s">
        <v>71</v>
      </c>
      <c r="CI128" s="132" t="s">
        <v>60</v>
      </c>
      <c r="CJ128" s="132" t="s">
        <v>71</v>
      </c>
      <c r="CK128" s="132" t="s">
        <v>60</v>
      </c>
      <c r="CL128" s="132" t="s">
        <v>71</v>
      </c>
      <c r="CM128" s="132" t="s">
        <v>60</v>
      </c>
      <c r="CN128" s="132" t="s">
        <v>71</v>
      </c>
      <c r="CO128" s="132" t="s">
        <v>60</v>
      </c>
      <c r="CP128" s="132" t="s">
        <v>71</v>
      </c>
      <c r="CQ128" s="132" t="s">
        <v>60</v>
      </c>
      <c r="CR128" s="132" t="s">
        <v>71</v>
      </c>
      <c r="CS128" s="132" t="s">
        <v>60</v>
      </c>
      <c r="CT128" s="132" t="s">
        <v>71</v>
      </c>
      <c r="CU128" s="132" t="s">
        <v>60</v>
      </c>
      <c r="CV128" s="132" t="s">
        <v>71</v>
      </c>
      <c r="CW128" s="132" t="s">
        <v>60</v>
      </c>
      <c r="CX128" s="132" t="s">
        <v>71</v>
      </c>
      <c r="CY128" s="132" t="s">
        <v>60</v>
      </c>
      <c r="CZ128" s="132" t="s">
        <v>71</v>
      </c>
      <c r="DA128" s="132" t="s">
        <v>60</v>
      </c>
      <c r="DB128" s="132" t="s">
        <v>71</v>
      </c>
      <c r="DC128" s="132" t="s">
        <v>60</v>
      </c>
      <c r="DD128" s="132" t="s">
        <v>71</v>
      </c>
      <c r="DE128" s="137" t="str">
        <f t="shared" si="39"/>
        <v>FETAL</v>
      </c>
      <c r="DF128" s="137">
        <f t="shared" si="46"/>
        <v>0</v>
      </c>
    </row>
    <row r="129" spans="1:110" x14ac:dyDescent="0.2">
      <c r="A129" s="160"/>
      <c r="B129" s="5">
        <f t="shared" si="42"/>
        <v>127</v>
      </c>
      <c r="C129" s="131" t="str">
        <f t="shared" ref="C129:C138" si="49">CONCATENATE("CNS",G129)</f>
        <v>CNS163</v>
      </c>
      <c r="D129" s="135" t="s">
        <v>261</v>
      </c>
      <c r="E129" s="131" t="str">
        <f t="shared" si="48"/>
        <v>CNS163_CONTROL</v>
      </c>
      <c r="F129" s="131"/>
      <c r="G129" s="130">
        <f t="shared" si="40"/>
        <v>163</v>
      </c>
      <c r="H129" s="131"/>
      <c r="I129" s="131"/>
      <c r="J129" s="132" t="s">
        <v>25</v>
      </c>
      <c r="K129" s="132" t="s">
        <v>177</v>
      </c>
      <c r="L129" s="132" t="s">
        <v>301</v>
      </c>
      <c r="M129" s="131" t="s">
        <v>81</v>
      </c>
      <c r="N129" s="131" t="s">
        <v>81</v>
      </c>
      <c r="O129" s="131" t="s">
        <v>81</v>
      </c>
      <c r="P129" s="131" t="s">
        <v>311</v>
      </c>
      <c r="Q129" s="131" t="s">
        <v>81</v>
      </c>
      <c r="R129" s="131" t="s">
        <v>89</v>
      </c>
      <c r="S129" s="131" t="s">
        <v>297</v>
      </c>
      <c r="T129" s="131"/>
      <c r="U129" s="132" t="s">
        <v>81</v>
      </c>
      <c r="V129" s="132" t="s">
        <v>172</v>
      </c>
      <c r="W129" s="132"/>
      <c r="X129" s="132"/>
      <c r="Y129" s="133">
        <v>0</v>
      </c>
      <c r="Z129" s="133">
        <v>19</v>
      </c>
      <c r="AA129" s="132" t="s">
        <v>71</v>
      </c>
      <c r="AB129" s="132" t="s">
        <v>60</v>
      </c>
      <c r="AC129" s="132" t="s">
        <v>60</v>
      </c>
      <c r="AD129" s="132" t="s">
        <v>71</v>
      </c>
      <c r="AE129" s="132" t="s">
        <v>71</v>
      </c>
      <c r="AF129" s="134" t="s">
        <v>68</v>
      </c>
      <c r="AG129" s="132" t="s">
        <v>81</v>
      </c>
      <c r="AH129" s="132" t="s">
        <v>71</v>
      </c>
      <c r="AI129" s="132" t="s">
        <v>60</v>
      </c>
      <c r="AJ129" s="132" t="s">
        <v>71</v>
      </c>
      <c r="AK129" s="132" t="s">
        <v>60</v>
      </c>
      <c r="AL129" s="132" t="s">
        <v>60</v>
      </c>
      <c r="AM129" s="132" t="s">
        <v>60</v>
      </c>
      <c r="AN129" s="132" t="s">
        <v>60</v>
      </c>
      <c r="AO129" s="132" t="s">
        <v>71</v>
      </c>
      <c r="AP129" s="132" t="s">
        <v>71</v>
      </c>
      <c r="AQ129" s="132" t="s">
        <v>71</v>
      </c>
      <c r="AR129" s="132" t="s">
        <v>71</v>
      </c>
      <c r="AS129" s="132" t="s">
        <v>71</v>
      </c>
      <c r="AT129" s="132" t="s">
        <v>71</v>
      </c>
      <c r="AU129" s="132" t="s">
        <v>71</v>
      </c>
      <c r="AV129" s="132" t="s">
        <v>71</v>
      </c>
      <c r="AW129" s="132" t="s">
        <v>71</v>
      </c>
      <c r="AX129" s="132" t="s">
        <v>71</v>
      </c>
      <c r="AY129" s="132" t="s">
        <v>71</v>
      </c>
      <c r="AZ129" s="132" t="s">
        <v>71</v>
      </c>
      <c r="BA129" s="132" t="s">
        <v>71</v>
      </c>
      <c r="BB129" s="132" t="s">
        <v>71</v>
      </c>
      <c r="BC129" s="132" t="s">
        <v>71</v>
      </c>
      <c r="BD129" s="132" t="s">
        <v>71</v>
      </c>
      <c r="BE129" s="132" t="s">
        <v>71</v>
      </c>
      <c r="BF129" s="132" t="s">
        <v>71</v>
      </c>
      <c r="BG129" s="132" t="s">
        <v>71</v>
      </c>
      <c r="BH129" s="132" t="s">
        <v>71</v>
      </c>
      <c r="BI129" s="132" t="s">
        <v>71</v>
      </c>
      <c r="BJ129" s="132" t="s">
        <v>71</v>
      </c>
      <c r="BK129" s="132" t="s">
        <v>71</v>
      </c>
      <c r="BL129" s="132" t="s">
        <v>71</v>
      </c>
      <c r="BM129" s="132" t="s">
        <v>71</v>
      </c>
      <c r="BN129" s="132" t="s">
        <v>71</v>
      </c>
      <c r="BO129" s="132" t="s">
        <v>71</v>
      </c>
      <c r="BP129" s="132" t="s">
        <v>71</v>
      </c>
      <c r="BQ129" s="132" t="s">
        <v>71</v>
      </c>
      <c r="BR129" s="132" t="s">
        <v>71</v>
      </c>
      <c r="BS129" s="132" t="s">
        <v>71</v>
      </c>
      <c r="BT129" s="132" t="s">
        <v>71</v>
      </c>
      <c r="BU129" s="132" t="s">
        <v>60</v>
      </c>
      <c r="BV129" s="132" t="s">
        <v>71</v>
      </c>
      <c r="BW129" s="132" t="s">
        <v>60</v>
      </c>
      <c r="BX129" s="132" t="s">
        <v>71</v>
      </c>
      <c r="BY129" s="132" t="s">
        <v>60</v>
      </c>
      <c r="BZ129" s="132" t="s">
        <v>71</v>
      </c>
      <c r="CA129" s="132" t="s">
        <v>60</v>
      </c>
      <c r="CB129" s="132" t="s">
        <v>71</v>
      </c>
      <c r="CC129" s="132" t="s">
        <v>60</v>
      </c>
      <c r="CD129" s="132" t="s">
        <v>71</v>
      </c>
      <c r="CE129" s="132" t="s">
        <v>60</v>
      </c>
      <c r="CF129" s="132" t="s">
        <v>71</v>
      </c>
      <c r="CG129" s="132" t="s">
        <v>60</v>
      </c>
      <c r="CH129" s="132" t="s">
        <v>71</v>
      </c>
      <c r="CI129" s="132" t="s">
        <v>60</v>
      </c>
      <c r="CJ129" s="132" t="s">
        <v>71</v>
      </c>
      <c r="CK129" s="132" t="s">
        <v>60</v>
      </c>
      <c r="CL129" s="132" t="s">
        <v>71</v>
      </c>
      <c r="CM129" s="132" t="s">
        <v>60</v>
      </c>
      <c r="CN129" s="132" t="s">
        <v>71</v>
      </c>
      <c r="CO129" s="132" t="s">
        <v>60</v>
      </c>
      <c r="CP129" s="132" t="s">
        <v>71</v>
      </c>
      <c r="CQ129" s="132" t="s">
        <v>60</v>
      </c>
      <c r="CR129" s="132" t="s">
        <v>71</v>
      </c>
      <c r="CS129" s="132" t="s">
        <v>60</v>
      </c>
      <c r="CT129" s="132" t="s">
        <v>71</v>
      </c>
      <c r="CU129" s="132" t="s">
        <v>60</v>
      </c>
      <c r="CV129" s="132" t="s">
        <v>71</v>
      </c>
      <c r="CW129" s="132" t="s">
        <v>60</v>
      </c>
      <c r="CX129" s="132" t="s">
        <v>71</v>
      </c>
      <c r="CY129" s="132" t="s">
        <v>60</v>
      </c>
      <c r="CZ129" s="132" t="s">
        <v>71</v>
      </c>
      <c r="DA129" s="132" t="s">
        <v>60</v>
      </c>
      <c r="DB129" s="132" t="s">
        <v>71</v>
      </c>
      <c r="DC129" s="132" t="s">
        <v>60</v>
      </c>
      <c r="DD129" s="132" t="s">
        <v>71</v>
      </c>
      <c r="DE129" s="137" t="str">
        <f t="shared" si="39"/>
        <v>FETAL</v>
      </c>
      <c r="DF129" s="137">
        <f t="shared" si="46"/>
        <v>0</v>
      </c>
    </row>
    <row r="130" spans="1:110" x14ac:dyDescent="0.2">
      <c r="A130" s="160"/>
      <c r="B130" s="5">
        <f t="shared" si="42"/>
        <v>128</v>
      </c>
      <c r="C130" s="131" t="str">
        <f t="shared" si="49"/>
        <v>CNS164</v>
      </c>
      <c r="D130" s="135" t="s">
        <v>262</v>
      </c>
      <c r="E130" s="131" t="str">
        <f t="shared" si="48"/>
        <v>CNS164_CONTROL</v>
      </c>
      <c r="F130" s="131"/>
      <c r="G130" s="130">
        <f t="shared" si="40"/>
        <v>164</v>
      </c>
      <c r="H130" s="131"/>
      <c r="I130" s="131"/>
      <c r="J130" s="132" t="s">
        <v>25</v>
      </c>
      <c r="K130" s="132" t="s">
        <v>177</v>
      </c>
      <c r="L130" s="132" t="s">
        <v>301</v>
      </c>
      <c r="M130" s="131" t="s">
        <v>81</v>
      </c>
      <c r="N130" s="131" t="s">
        <v>81</v>
      </c>
      <c r="O130" s="131" t="s">
        <v>81</v>
      </c>
      <c r="P130" s="131" t="s">
        <v>311</v>
      </c>
      <c r="Q130" s="131" t="s">
        <v>81</v>
      </c>
      <c r="R130" s="131" t="s">
        <v>89</v>
      </c>
      <c r="S130" s="131" t="s">
        <v>297</v>
      </c>
      <c r="T130" s="131"/>
      <c r="U130" s="132" t="s">
        <v>81</v>
      </c>
      <c r="V130" s="132" t="s">
        <v>172</v>
      </c>
      <c r="W130" s="132"/>
      <c r="X130" s="132"/>
      <c r="Y130" s="133">
        <v>0</v>
      </c>
      <c r="Z130" s="133">
        <v>18</v>
      </c>
      <c r="AA130" s="132" t="s">
        <v>71</v>
      </c>
      <c r="AB130" s="132" t="s">
        <v>60</v>
      </c>
      <c r="AC130" s="132" t="s">
        <v>60</v>
      </c>
      <c r="AD130" s="132" t="s">
        <v>71</v>
      </c>
      <c r="AE130" s="132" t="s">
        <v>71</v>
      </c>
      <c r="AF130" s="134" t="s">
        <v>68</v>
      </c>
      <c r="AG130" s="132" t="s">
        <v>81</v>
      </c>
      <c r="AH130" s="132" t="s">
        <v>71</v>
      </c>
      <c r="AI130" s="132" t="s">
        <v>60</v>
      </c>
      <c r="AJ130" s="132" t="s">
        <v>71</v>
      </c>
      <c r="AK130" s="132" t="s">
        <v>60</v>
      </c>
      <c r="AL130" s="132" t="s">
        <v>60</v>
      </c>
      <c r="AM130" s="132" t="s">
        <v>60</v>
      </c>
      <c r="AN130" s="132" t="s">
        <v>60</v>
      </c>
      <c r="AO130" s="132" t="s">
        <v>71</v>
      </c>
      <c r="AP130" s="132" t="s">
        <v>71</v>
      </c>
      <c r="AQ130" s="132" t="s">
        <v>71</v>
      </c>
      <c r="AR130" s="132" t="s">
        <v>71</v>
      </c>
      <c r="AS130" s="132" t="s">
        <v>71</v>
      </c>
      <c r="AT130" s="132" t="s">
        <v>71</v>
      </c>
      <c r="AU130" s="132" t="s">
        <v>71</v>
      </c>
      <c r="AV130" s="132" t="s">
        <v>71</v>
      </c>
      <c r="AW130" s="132" t="s">
        <v>71</v>
      </c>
      <c r="AX130" s="132" t="s">
        <v>71</v>
      </c>
      <c r="AY130" s="132" t="s">
        <v>71</v>
      </c>
      <c r="AZ130" s="132" t="s">
        <v>71</v>
      </c>
      <c r="BA130" s="132" t="s">
        <v>71</v>
      </c>
      <c r="BB130" s="132" t="s">
        <v>71</v>
      </c>
      <c r="BC130" s="132" t="s">
        <v>71</v>
      </c>
      <c r="BD130" s="132" t="s">
        <v>71</v>
      </c>
      <c r="BE130" s="132" t="s">
        <v>71</v>
      </c>
      <c r="BF130" s="132" t="s">
        <v>71</v>
      </c>
      <c r="BG130" s="132" t="s">
        <v>71</v>
      </c>
      <c r="BH130" s="132" t="s">
        <v>71</v>
      </c>
      <c r="BI130" s="132" t="s">
        <v>71</v>
      </c>
      <c r="BJ130" s="132" t="s">
        <v>71</v>
      </c>
      <c r="BK130" s="132" t="s">
        <v>71</v>
      </c>
      <c r="BL130" s="132" t="s">
        <v>71</v>
      </c>
      <c r="BM130" s="132" t="s">
        <v>71</v>
      </c>
      <c r="BN130" s="132" t="s">
        <v>71</v>
      </c>
      <c r="BO130" s="132" t="s">
        <v>71</v>
      </c>
      <c r="BP130" s="132" t="s">
        <v>71</v>
      </c>
      <c r="BQ130" s="132" t="s">
        <v>71</v>
      </c>
      <c r="BR130" s="132" t="s">
        <v>71</v>
      </c>
      <c r="BS130" s="132" t="s">
        <v>71</v>
      </c>
      <c r="BT130" s="132" t="s">
        <v>71</v>
      </c>
      <c r="BU130" s="132" t="s">
        <v>60</v>
      </c>
      <c r="BV130" s="132" t="s">
        <v>71</v>
      </c>
      <c r="BW130" s="132" t="s">
        <v>60</v>
      </c>
      <c r="BX130" s="132" t="s">
        <v>71</v>
      </c>
      <c r="BY130" s="132" t="s">
        <v>60</v>
      </c>
      <c r="BZ130" s="132" t="s">
        <v>71</v>
      </c>
      <c r="CA130" s="132" t="s">
        <v>60</v>
      </c>
      <c r="CB130" s="132" t="s">
        <v>71</v>
      </c>
      <c r="CC130" s="132" t="s">
        <v>60</v>
      </c>
      <c r="CD130" s="132" t="s">
        <v>71</v>
      </c>
      <c r="CE130" s="132" t="s">
        <v>60</v>
      </c>
      <c r="CF130" s="132" t="s">
        <v>71</v>
      </c>
      <c r="CG130" s="132" t="s">
        <v>60</v>
      </c>
      <c r="CH130" s="132" t="s">
        <v>71</v>
      </c>
      <c r="CI130" s="132" t="s">
        <v>60</v>
      </c>
      <c r="CJ130" s="132" t="s">
        <v>71</v>
      </c>
      <c r="CK130" s="132" t="s">
        <v>60</v>
      </c>
      <c r="CL130" s="132" t="s">
        <v>71</v>
      </c>
      <c r="CM130" s="132" t="s">
        <v>60</v>
      </c>
      <c r="CN130" s="132" t="s">
        <v>71</v>
      </c>
      <c r="CO130" s="132" t="s">
        <v>60</v>
      </c>
      <c r="CP130" s="132" t="s">
        <v>71</v>
      </c>
      <c r="CQ130" s="132" t="s">
        <v>60</v>
      </c>
      <c r="CR130" s="132" t="s">
        <v>71</v>
      </c>
      <c r="CS130" s="132" t="s">
        <v>60</v>
      </c>
      <c r="CT130" s="132" t="s">
        <v>71</v>
      </c>
      <c r="CU130" s="132" t="s">
        <v>60</v>
      </c>
      <c r="CV130" s="132" t="s">
        <v>71</v>
      </c>
      <c r="CW130" s="132" t="s">
        <v>60</v>
      </c>
      <c r="CX130" s="132" t="s">
        <v>71</v>
      </c>
      <c r="CY130" s="132" t="s">
        <v>60</v>
      </c>
      <c r="CZ130" s="132" t="s">
        <v>71</v>
      </c>
      <c r="DA130" s="132" t="s">
        <v>60</v>
      </c>
      <c r="DB130" s="132" t="s">
        <v>71</v>
      </c>
      <c r="DC130" s="132" t="s">
        <v>60</v>
      </c>
      <c r="DD130" s="132" t="s">
        <v>71</v>
      </c>
      <c r="DE130" s="137" t="str">
        <f t="shared" ref="DE130:DE161" si="50">IF(ISERROR(IF(AND(Y130&lt;3,Y130&gt;0),"3&gt; YEARS OLD",IF(AND(Y130&gt;3,Y130&lt;9),"3&lt;YEARS OLD&lt;9",IF(Y130&gt;9,"9&lt; YEARS OLD",IF(Y130=0,"FETAL","N/A"))))),"N/A",(IF(AND(Y130&lt;3,Y130&gt;0),"3&gt; YEARS OLD",IF(AND(Y130&gt;3,Y130&lt;9),"3&lt;YEARS OLD&lt;9",IF(Y130&gt;9,"9&lt; YEARS OLD",IF(Y130=0,"FETAL","N/A"))))))</f>
        <v>FETAL</v>
      </c>
      <c r="DF130" s="137">
        <f t="shared" si="46"/>
        <v>0</v>
      </c>
    </row>
    <row r="131" spans="1:110" x14ac:dyDescent="0.2">
      <c r="A131" s="160"/>
      <c r="B131" s="5">
        <f t="shared" si="42"/>
        <v>129</v>
      </c>
      <c r="C131" s="131" t="str">
        <f t="shared" si="49"/>
        <v>CNS165</v>
      </c>
      <c r="D131" s="135" t="s">
        <v>263</v>
      </c>
      <c r="E131" s="131" t="str">
        <f t="shared" si="48"/>
        <v>CNS165_CONTROL</v>
      </c>
      <c r="F131" s="131"/>
      <c r="G131" s="130">
        <f t="shared" si="40"/>
        <v>165</v>
      </c>
      <c r="H131" s="131"/>
      <c r="I131" s="131"/>
      <c r="J131" s="132" t="s">
        <v>24</v>
      </c>
      <c r="K131" s="132" t="s">
        <v>177</v>
      </c>
      <c r="L131" s="132" t="s">
        <v>301</v>
      </c>
      <c r="M131" s="131" t="s">
        <v>81</v>
      </c>
      <c r="N131" s="131" t="s">
        <v>81</v>
      </c>
      <c r="O131" s="131" t="s">
        <v>81</v>
      </c>
      <c r="P131" s="131" t="s">
        <v>311</v>
      </c>
      <c r="Q131" s="131" t="s">
        <v>81</v>
      </c>
      <c r="R131" s="131" t="s">
        <v>89</v>
      </c>
      <c r="S131" s="131" t="s">
        <v>297</v>
      </c>
      <c r="T131" s="131"/>
      <c r="U131" s="132" t="s">
        <v>81</v>
      </c>
      <c r="V131" s="132" t="s">
        <v>172</v>
      </c>
      <c r="W131" s="132"/>
      <c r="X131" s="132"/>
      <c r="Y131" s="133">
        <v>0</v>
      </c>
      <c r="Z131" s="133">
        <v>18</v>
      </c>
      <c r="AA131" s="132" t="s">
        <v>71</v>
      </c>
      <c r="AB131" s="132" t="s">
        <v>60</v>
      </c>
      <c r="AC131" s="132" t="s">
        <v>60</v>
      </c>
      <c r="AD131" s="132" t="s">
        <v>71</v>
      </c>
      <c r="AE131" s="132" t="s">
        <v>71</v>
      </c>
      <c r="AF131" s="134" t="s">
        <v>68</v>
      </c>
      <c r="AG131" s="132" t="s">
        <v>81</v>
      </c>
      <c r="AH131" s="132" t="s">
        <v>71</v>
      </c>
      <c r="AI131" s="132" t="s">
        <v>60</v>
      </c>
      <c r="AJ131" s="132" t="s">
        <v>71</v>
      </c>
      <c r="AK131" s="132" t="s">
        <v>60</v>
      </c>
      <c r="AL131" s="132" t="s">
        <v>60</v>
      </c>
      <c r="AM131" s="132" t="s">
        <v>60</v>
      </c>
      <c r="AN131" s="132" t="s">
        <v>60</v>
      </c>
      <c r="AO131" s="132" t="s">
        <v>71</v>
      </c>
      <c r="AP131" s="132" t="s">
        <v>71</v>
      </c>
      <c r="AQ131" s="132" t="s">
        <v>71</v>
      </c>
      <c r="AR131" s="132" t="s">
        <v>71</v>
      </c>
      <c r="AS131" s="132" t="s">
        <v>71</v>
      </c>
      <c r="AT131" s="132" t="s">
        <v>71</v>
      </c>
      <c r="AU131" s="132" t="s">
        <v>71</v>
      </c>
      <c r="AV131" s="132" t="s">
        <v>71</v>
      </c>
      <c r="AW131" s="132" t="s">
        <v>71</v>
      </c>
      <c r="AX131" s="132" t="s">
        <v>71</v>
      </c>
      <c r="AY131" s="132" t="s">
        <v>71</v>
      </c>
      <c r="AZ131" s="132" t="s">
        <v>71</v>
      </c>
      <c r="BA131" s="132" t="s">
        <v>71</v>
      </c>
      <c r="BB131" s="132" t="s">
        <v>71</v>
      </c>
      <c r="BC131" s="132" t="s">
        <v>71</v>
      </c>
      <c r="BD131" s="132" t="s">
        <v>71</v>
      </c>
      <c r="BE131" s="132" t="s">
        <v>71</v>
      </c>
      <c r="BF131" s="132" t="s">
        <v>71</v>
      </c>
      <c r="BG131" s="132" t="s">
        <v>71</v>
      </c>
      <c r="BH131" s="132" t="s">
        <v>71</v>
      </c>
      <c r="BI131" s="132" t="s">
        <v>71</v>
      </c>
      <c r="BJ131" s="132" t="s">
        <v>71</v>
      </c>
      <c r="BK131" s="132" t="s">
        <v>71</v>
      </c>
      <c r="BL131" s="132" t="s">
        <v>71</v>
      </c>
      <c r="BM131" s="132" t="s">
        <v>71</v>
      </c>
      <c r="BN131" s="132" t="s">
        <v>71</v>
      </c>
      <c r="BO131" s="132" t="s">
        <v>71</v>
      </c>
      <c r="BP131" s="132" t="s">
        <v>71</v>
      </c>
      <c r="BQ131" s="132" t="s">
        <v>71</v>
      </c>
      <c r="BR131" s="132" t="s">
        <v>71</v>
      </c>
      <c r="BS131" s="132" t="s">
        <v>71</v>
      </c>
      <c r="BT131" s="132" t="s">
        <v>71</v>
      </c>
      <c r="BU131" s="132" t="s">
        <v>60</v>
      </c>
      <c r="BV131" s="132" t="s">
        <v>71</v>
      </c>
      <c r="BW131" s="132" t="s">
        <v>60</v>
      </c>
      <c r="BX131" s="132" t="s">
        <v>71</v>
      </c>
      <c r="BY131" s="132" t="s">
        <v>60</v>
      </c>
      <c r="BZ131" s="132" t="s">
        <v>71</v>
      </c>
      <c r="CA131" s="132" t="s">
        <v>60</v>
      </c>
      <c r="CB131" s="132" t="s">
        <v>71</v>
      </c>
      <c r="CC131" s="132" t="s">
        <v>60</v>
      </c>
      <c r="CD131" s="132" t="s">
        <v>71</v>
      </c>
      <c r="CE131" s="132" t="s">
        <v>60</v>
      </c>
      <c r="CF131" s="132" t="s">
        <v>71</v>
      </c>
      <c r="CG131" s="132" t="s">
        <v>60</v>
      </c>
      <c r="CH131" s="132" t="s">
        <v>71</v>
      </c>
      <c r="CI131" s="132" t="s">
        <v>60</v>
      </c>
      <c r="CJ131" s="132" t="s">
        <v>71</v>
      </c>
      <c r="CK131" s="132" t="s">
        <v>60</v>
      </c>
      <c r="CL131" s="132" t="s">
        <v>71</v>
      </c>
      <c r="CM131" s="132" t="s">
        <v>60</v>
      </c>
      <c r="CN131" s="132" t="s">
        <v>71</v>
      </c>
      <c r="CO131" s="132" t="s">
        <v>60</v>
      </c>
      <c r="CP131" s="132" t="s">
        <v>71</v>
      </c>
      <c r="CQ131" s="132" t="s">
        <v>60</v>
      </c>
      <c r="CR131" s="132" t="s">
        <v>71</v>
      </c>
      <c r="CS131" s="132" t="s">
        <v>60</v>
      </c>
      <c r="CT131" s="132" t="s">
        <v>71</v>
      </c>
      <c r="CU131" s="132" t="s">
        <v>60</v>
      </c>
      <c r="CV131" s="132" t="s">
        <v>71</v>
      </c>
      <c r="CW131" s="132" t="s">
        <v>60</v>
      </c>
      <c r="CX131" s="132" t="s">
        <v>71</v>
      </c>
      <c r="CY131" s="132" t="s">
        <v>60</v>
      </c>
      <c r="CZ131" s="132" t="s">
        <v>71</v>
      </c>
      <c r="DA131" s="132" t="s">
        <v>60</v>
      </c>
      <c r="DB131" s="132" t="s">
        <v>71</v>
      </c>
      <c r="DC131" s="132" t="s">
        <v>60</v>
      </c>
      <c r="DD131" s="132" t="s">
        <v>71</v>
      </c>
      <c r="DE131" s="137" t="str">
        <f t="shared" si="50"/>
        <v>FETAL</v>
      </c>
      <c r="DF131" s="137">
        <f t="shared" si="46"/>
        <v>0</v>
      </c>
    </row>
    <row r="132" spans="1:110" x14ac:dyDescent="0.2">
      <c r="A132" s="160"/>
      <c r="B132" s="5">
        <f t="shared" si="42"/>
        <v>130</v>
      </c>
      <c r="C132" s="131" t="str">
        <f t="shared" si="49"/>
        <v>CNS166</v>
      </c>
      <c r="D132" s="135" t="s">
        <v>264</v>
      </c>
      <c r="E132" s="131" t="str">
        <f t="shared" si="48"/>
        <v>CNS166_CONTROL</v>
      </c>
      <c r="F132" s="131"/>
      <c r="G132" s="130">
        <f t="shared" ref="G132:G162" si="51">G131+1</f>
        <v>166</v>
      </c>
      <c r="H132" s="131"/>
      <c r="I132" s="131"/>
      <c r="J132" s="132" t="s">
        <v>24</v>
      </c>
      <c r="K132" s="132" t="s">
        <v>177</v>
      </c>
      <c r="L132" s="132" t="s">
        <v>301</v>
      </c>
      <c r="M132" s="131" t="s">
        <v>81</v>
      </c>
      <c r="N132" s="131" t="s">
        <v>81</v>
      </c>
      <c r="O132" s="131" t="s">
        <v>81</v>
      </c>
      <c r="P132" s="131" t="s">
        <v>311</v>
      </c>
      <c r="Q132" s="131" t="s">
        <v>81</v>
      </c>
      <c r="R132" s="131" t="s">
        <v>89</v>
      </c>
      <c r="S132" s="131" t="s">
        <v>297</v>
      </c>
      <c r="T132" s="131"/>
      <c r="U132" s="132" t="s">
        <v>81</v>
      </c>
      <c r="V132" s="132" t="s">
        <v>172</v>
      </c>
      <c r="W132" s="132"/>
      <c r="X132" s="132"/>
      <c r="Y132" s="133">
        <v>0</v>
      </c>
      <c r="Z132" s="133">
        <v>18</v>
      </c>
      <c r="AA132" s="132" t="s">
        <v>71</v>
      </c>
      <c r="AB132" s="132" t="s">
        <v>60</v>
      </c>
      <c r="AC132" s="132" t="s">
        <v>60</v>
      </c>
      <c r="AD132" s="132" t="s">
        <v>71</v>
      </c>
      <c r="AE132" s="132" t="s">
        <v>71</v>
      </c>
      <c r="AF132" s="134" t="s">
        <v>68</v>
      </c>
      <c r="AG132" s="132" t="s">
        <v>81</v>
      </c>
      <c r="AH132" s="132" t="s">
        <v>71</v>
      </c>
      <c r="AI132" s="132" t="s">
        <v>60</v>
      </c>
      <c r="AJ132" s="132" t="s">
        <v>71</v>
      </c>
      <c r="AK132" s="132" t="s">
        <v>60</v>
      </c>
      <c r="AL132" s="132" t="s">
        <v>60</v>
      </c>
      <c r="AM132" s="132" t="s">
        <v>60</v>
      </c>
      <c r="AN132" s="132" t="s">
        <v>60</v>
      </c>
      <c r="AO132" s="132" t="s">
        <v>71</v>
      </c>
      <c r="AP132" s="132" t="s">
        <v>71</v>
      </c>
      <c r="AQ132" s="132" t="s">
        <v>71</v>
      </c>
      <c r="AR132" s="132" t="s">
        <v>71</v>
      </c>
      <c r="AS132" s="132" t="s">
        <v>71</v>
      </c>
      <c r="AT132" s="132" t="s">
        <v>71</v>
      </c>
      <c r="AU132" s="132" t="s">
        <v>71</v>
      </c>
      <c r="AV132" s="132" t="s">
        <v>71</v>
      </c>
      <c r="AW132" s="132" t="s">
        <v>71</v>
      </c>
      <c r="AX132" s="132" t="s">
        <v>71</v>
      </c>
      <c r="AY132" s="132" t="s">
        <v>71</v>
      </c>
      <c r="AZ132" s="132" t="s">
        <v>71</v>
      </c>
      <c r="BA132" s="132" t="s">
        <v>71</v>
      </c>
      <c r="BB132" s="132" t="s">
        <v>71</v>
      </c>
      <c r="BC132" s="132" t="s">
        <v>71</v>
      </c>
      <c r="BD132" s="132" t="s">
        <v>71</v>
      </c>
      <c r="BE132" s="132" t="s">
        <v>71</v>
      </c>
      <c r="BF132" s="132" t="s">
        <v>71</v>
      </c>
      <c r="BG132" s="132" t="s">
        <v>71</v>
      </c>
      <c r="BH132" s="132" t="s">
        <v>71</v>
      </c>
      <c r="BI132" s="132" t="s">
        <v>71</v>
      </c>
      <c r="BJ132" s="132" t="s">
        <v>71</v>
      </c>
      <c r="BK132" s="132" t="s">
        <v>71</v>
      </c>
      <c r="BL132" s="132" t="s">
        <v>71</v>
      </c>
      <c r="BM132" s="132" t="s">
        <v>71</v>
      </c>
      <c r="BN132" s="132" t="s">
        <v>71</v>
      </c>
      <c r="BO132" s="132" t="s">
        <v>71</v>
      </c>
      <c r="BP132" s="132" t="s">
        <v>71</v>
      </c>
      <c r="BQ132" s="132" t="s">
        <v>71</v>
      </c>
      <c r="BR132" s="132" t="s">
        <v>71</v>
      </c>
      <c r="BS132" s="132" t="s">
        <v>71</v>
      </c>
      <c r="BT132" s="132" t="s">
        <v>71</v>
      </c>
      <c r="BU132" s="132" t="s">
        <v>60</v>
      </c>
      <c r="BV132" s="132" t="s">
        <v>71</v>
      </c>
      <c r="BW132" s="132" t="s">
        <v>60</v>
      </c>
      <c r="BX132" s="132" t="s">
        <v>71</v>
      </c>
      <c r="BY132" s="132" t="s">
        <v>60</v>
      </c>
      <c r="BZ132" s="132" t="s">
        <v>71</v>
      </c>
      <c r="CA132" s="132" t="s">
        <v>60</v>
      </c>
      <c r="CB132" s="132" t="s">
        <v>71</v>
      </c>
      <c r="CC132" s="132" t="s">
        <v>60</v>
      </c>
      <c r="CD132" s="132" t="s">
        <v>71</v>
      </c>
      <c r="CE132" s="132" t="s">
        <v>60</v>
      </c>
      <c r="CF132" s="132" t="s">
        <v>71</v>
      </c>
      <c r="CG132" s="132" t="s">
        <v>60</v>
      </c>
      <c r="CH132" s="132" t="s">
        <v>71</v>
      </c>
      <c r="CI132" s="132" t="s">
        <v>60</v>
      </c>
      <c r="CJ132" s="132" t="s">
        <v>71</v>
      </c>
      <c r="CK132" s="132" t="s">
        <v>60</v>
      </c>
      <c r="CL132" s="132" t="s">
        <v>71</v>
      </c>
      <c r="CM132" s="132" t="s">
        <v>60</v>
      </c>
      <c r="CN132" s="132" t="s">
        <v>71</v>
      </c>
      <c r="CO132" s="132" t="s">
        <v>60</v>
      </c>
      <c r="CP132" s="132" t="s">
        <v>71</v>
      </c>
      <c r="CQ132" s="132" t="s">
        <v>60</v>
      </c>
      <c r="CR132" s="132" t="s">
        <v>71</v>
      </c>
      <c r="CS132" s="132" t="s">
        <v>60</v>
      </c>
      <c r="CT132" s="132" t="s">
        <v>71</v>
      </c>
      <c r="CU132" s="132" t="s">
        <v>60</v>
      </c>
      <c r="CV132" s="132" t="s">
        <v>71</v>
      </c>
      <c r="CW132" s="132" t="s">
        <v>60</v>
      </c>
      <c r="CX132" s="132" t="s">
        <v>71</v>
      </c>
      <c r="CY132" s="132" t="s">
        <v>60</v>
      </c>
      <c r="CZ132" s="132" t="s">
        <v>71</v>
      </c>
      <c r="DA132" s="132" t="s">
        <v>60</v>
      </c>
      <c r="DB132" s="132" t="s">
        <v>71</v>
      </c>
      <c r="DC132" s="132" t="s">
        <v>60</v>
      </c>
      <c r="DD132" s="132" t="s">
        <v>71</v>
      </c>
      <c r="DE132" s="137" t="str">
        <f t="shared" si="50"/>
        <v>FETAL</v>
      </c>
      <c r="DF132" s="137">
        <f t="shared" si="46"/>
        <v>0</v>
      </c>
    </row>
    <row r="133" spans="1:110" x14ac:dyDescent="0.2">
      <c r="A133" s="160"/>
      <c r="B133" s="5">
        <f t="shared" si="42"/>
        <v>131</v>
      </c>
      <c r="C133" s="131" t="str">
        <f t="shared" si="49"/>
        <v>CNS167</v>
      </c>
      <c r="D133" s="135" t="s">
        <v>265</v>
      </c>
      <c r="E133" s="131" t="str">
        <f t="shared" si="48"/>
        <v>CNS167_CONTROL</v>
      </c>
      <c r="F133" s="131"/>
      <c r="G133" s="130">
        <f t="shared" si="51"/>
        <v>167</v>
      </c>
      <c r="H133" s="131"/>
      <c r="I133" s="131"/>
      <c r="J133" s="132" t="s">
        <v>25</v>
      </c>
      <c r="K133" s="132" t="s">
        <v>177</v>
      </c>
      <c r="L133" s="132" t="s">
        <v>301</v>
      </c>
      <c r="M133" s="131" t="s">
        <v>81</v>
      </c>
      <c r="N133" s="131" t="s">
        <v>81</v>
      </c>
      <c r="O133" s="131" t="s">
        <v>81</v>
      </c>
      <c r="P133" s="131" t="s">
        <v>311</v>
      </c>
      <c r="Q133" s="131" t="s">
        <v>81</v>
      </c>
      <c r="R133" s="131" t="s">
        <v>89</v>
      </c>
      <c r="S133" s="131" t="s">
        <v>297</v>
      </c>
      <c r="T133" s="131"/>
      <c r="U133" s="132" t="s">
        <v>81</v>
      </c>
      <c r="V133" s="132" t="s">
        <v>172</v>
      </c>
      <c r="W133" s="132"/>
      <c r="X133" s="132"/>
      <c r="Y133" s="133">
        <v>0</v>
      </c>
      <c r="Z133" s="133">
        <v>18</v>
      </c>
      <c r="AA133" s="132" t="s">
        <v>71</v>
      </c>
      <c r="AB133" s="132" t="s">
        <v>60</v>
      </c>
      <c r="AC133" s="132" t="s">
        <v>60</v>
      </c>
      <c r="AD133" s="132" t="s">
        <v>71</v>
      </c>
      <c r="AE133" s="132" t="s">
        <v>71</v>
      </c>
      <c r="AF133" s="134" t="s">
        <v>68</v>
      </c>
      <c r="AG133" s="132" t="s">
        <v>81</v>
      </c>
      <c r="AH133" s="132" t="s">
        <v>71</v>
      </c>
      <c r="AI133" s="132" t="s">
        <v>60</v>
      </c>
      <c r="AJ133" s="132" t="s">
        <v>71</v>
      </c>
      <c r="AK133" s="132" t="s">
        <v>60</v>
      </c>
      <c r="AL133" s="132" t="s">
        <v>60</v>
      </c>
      <c r="AM133" s="132" t="s">
        <v>60</v>
      </c>
      <c r="AN133" s="132" t="s">
        <v>60</v>
      </c>
      <c r="AO133" s="132" t="s">
        <v>71</v>
      </c>
      <c r="AP133" s="132" t="s">
        <v>71</v>
      </c>
      <c r="AQ133" s="132" t="s">
        <v>71</v>
      </c>
      <c r="AR133" s="132" t="s">
        <v>71</v>
      </c>
      <c r="AS133" s="132" t="s">
        <v>71</v>
      </c>
      <c r="AT133" s="132" t="s">
        <v>71</v>
      </c>
      <c r="AU133" s="132" t="s">
        <v>71</v>
      </c>
      <c r="AV133" s="132" t="s">
        <v>71</v>
      </c>
      <c r="AW133" s="132" t="s">
        <v>71</v>
      </c>
      <c r="AX133" s="132" t="s">
        <v>71</v>
      </c>
      <c r="AY133" s="132" t="s">
        <v>71</v>
      </c>
      <c r="AZ133" s="132" t="s">
        <v>71</v>
      </c>
      <c r="BA133" s="132" t="s">
        <v>71</v>
      </c>
      <c r="BB133" s="132" t="s">
        <v>71</v>
      </c>
      <c r="BC133" s="132" t="s">
        <v>71</v>
      </c>
      <c r="BD133" s="132" t="s">
        <v>71</v>
      </c>
      <c r="BE133" s="132" t="s">
        <v>71</v>
      </c>
      <c r="BF133" s="132" t="s">
        <v>71</v>
      </c>
      <c r="BG133" s="132" t="s">
        <v>71</v>
      </c>
      <c r="BH133" s="132" t="s">
        <v>71</v>
      </c>
      <c r="BI133" s="132" t="s">
        <v>71</v>
      </c>
      <c r="BJ133" s="132" t="s">
        <v>71</v>
      </c>
      <c r="BK133" s="132" t="s">
        <v>71</v>
      </c>
      <c r="BL133" s="132" t="s">
        <v>71</v>
      </c>
      <c r="BM133" s="132" t="s">
        <v>71</v>
      </c>
      <c r="BN133" s="132" t="s">
        <v>71</v>
      </c>
      <c r="BO133" s="132" t="s">
        <v>71</v>
      </c>
      <c r="BP133" s="132" t="s">
        <v>71</v>
      </c>
      <c r="BQ133" s="132" t="s">
        <v>71</v>
      </c>
      <c r="BR133" s="132" t="s">
        <v>71</v>
      </c>
      <c r="BS133" s="132" t="s">
        <v>71</v>
      </c>
      <c r="BT133" s="132" t="s">
        <v>71</v>
      </c>
      <c r="BU133" s="132" t="s">
        <v>60</v>
      </c>
      <c r="BV133" s="132" t="s">
        <v>71</v>
      </c>
      <c r="BW133" s="132" t="s">
        <v>60</v>
      </c>
      <c r="BX133" s="132" t="s">
        <v>71</v>
      </c>
      <c r="BY133" s="132" t="s">
        <v>60</v>
      </c>
      <c r="BZ133" s="132" t="s">
        <v>71</v>
      </c>
      <c r="CA133" s="132" t="s">
        <v>60</v>
      </c>
      <c r="CB133" s="132" t="s">
        <v>71</v>
      </c>
      <c r="CC133" s="132" t="s">
        <v>60</v>
      </c>
      <c r="CD133" s="132" t="s">
        <v>71</v>
      </c>
      <c r="CE133" s="132" t="s">
        <v>60</v>
      </c>
      <c r="CF133" s="132" t="s">
        <v>71</v>
      </c>
      <c r="CG133" s="132" t="s">
        <v>60</v>
      </c>
      <c r="CH133" s="132" t="s">
        <v>71</v>
      </c>
      <c r="CI133" s="132" t="s">
        <v>60</v>
      </c>
      <c r="CJ133" s="132" t="s">
        <v>71</v>
      </c>
      <c r="CK133" s="132" t="s">
        <v>60</v>
      </c>
      <c r="CL133" s="132" t="s">
        <v>71</v>
      </c>
      <c r="CM133" s="132" t="s">
        <v>60</v>
      </c>
      <c r="CN133" s="132" t="s">
        <v>71</v>
      </c>
      <c r="CO133" s="132" t="s">
        <v>60</v>
      </c>
      <c r="CP133" s="132" t="s">
        <v>71</v>
      </c>
      <c r="CQ133" s="132" t="s">
        <v>60</v>
      </c>
      <c r="CR133" s="132" t="s">
        <v>71</v>
      </c>
      <c r="CS133" s="132" t="s">
        <v>60</v>
      </c>
      <c r="CT133" s="132" t="s">
        <v>71</v>
      </c>
      <c r="CU133" s="132" t="s">
        <v>60</v>
      </c>
      <c r="CV133" s="132" t="s">
        <v>71</v>
      </c>
      <c r="CW133" s="132" t="s">
        <v>60</v>
      </c>
      <c r="CX133" s="132" t="s">
        <v>71</v>
      </c>
      <c r="CY133" s="132" t="s">
        <v>60</v>
      </c>
      <c r="CZ133" s="132" t="s">
        <v>71</v>
      </c>
      <c r="DA133" s="132" t="s">
        <v>60</v>
      </c>
      <c r="DB133" s="132" t="s">
        <v>71</v>
      </c>
      <c r="DC133" s="132" t="s">
        <v>60</v>
      </c>
      <c r="DD133" s="132" t="s">
        <v>71</v>
      </c>
      <c r="DE133" s="137" t="str">
        <f t="shared" si="50"/>
        <v>FETAL</v>
      </c>
      <c r="DF133" s="137">
        <f t="shared" si="46"/>
        <v>0</v>
      </c>
    </row>
    <row r="134" spans="1:110" x14ac:dyDescent="0.2">
      <c r="A134" s="160"/>
      <c r="B134" s="5">
        <f t="shared" si="42"/>
        <v>132</v>
      </c>
      <c r="C134" s="131" t="str">
        <f t="shared" si="49"/>
        <v>CNS168</v>
      </c>
      <c r="D134" s="135" t="s">
        <v>266</v>
      </c>
      <c r="E134" s="131" t="str">
        <f t="shared" si="48"/>
        <v>CNS168_CONTROL</v>
      </c>
      <c r="F134" s="131"/>
      <c r="G134" s="130">
        <f t="shared" si="51"/>
        <v>168</v>
      </c>
      <c r="H134" s="131"/>
      <c r="I134" s="131"/>
      <c r="J134" s="132" t="s">
        <v>25</v>
      </c>
      <c r="K134" s="132" t="s">
        <v>177</v>
      </c>
      <c r="L134" s="132" t="s">
        <v>301</v>
      </c>
      <c r="M134" s="131" t="s">
        <v>81</v>
      </c>
      <c r="N134" s="131" t="s">
        <v>81</v>
      </c>
      <c r="O134" s="131" t="s">
        <v>81</v>
      </c>
      <c r="P134" s="131" t="s">
        <v>311</v>
      </c>
      <c r="Q134" s="131" t="s">
        <v>81</v>
      </c>
      <c r="R134" s="131" t="s">
        <v>89</v>
      </c>
      <c r="S134" s="131" t="s">
        <v>297</v>
      </c>
      <c r="T134" s="131"/>
      <c r="U134" s="132" t="s">
        <v>81</v>
      </c>
      <c r="V134" s="132" t="s">
        <v>172</v>
      </c>
      <c r="W134" s="132"/>
      <c r="X134" s="132"/>
      <c r="Y134" s="133">
        <v>0</v>
      </c>
      <c r="Z134" s="133">
        <v>18</v>
      </c>
      <c r="AA134" s="132" t="s">
        <v>71</v>
      </c>
      <c r="AB134" s="132" t="s">
        <v>60</v>
      </c>
      <c r="AC134" s="132" t="s">
        <v>60</v>
      </c>
      <c r="AD134" s="132" t="s">
        <v>71</v>
      </c>
      <c r="AE134" s="132" t="s">
        <v>71</v>
      </c>
      <c r="AF134" s="134" t="s">
        <v>68</v>
      </c>
      <c r="AG134" s="132" t="s">
        <v>81</v>
      </c>
      <c r="AH134" s="132" t="s">
        <v>71</v>
      </c>
      <c r="AI134" s="132" t="s">
        <v>60</v>
      </c>
      <c r="AJ134" s="132" t="s">
        <v>71</v>
      </c>
      <c r="AK134" s="132" t="s">
        <v>60</v>
      </c>
      <c r="AL134" s="132" t="s">
        <v>60</v>
      </c>
      <c r="AM134" s="132" t="s">
        <v>60</v>
      </c>
      <c r="AN134" s="132" t="s">
        <v>60</v>
      </c>
      <c r="AO134" s="132" t="s">
        <v>71</v>
      </c>
      <c r="AP134" s="132" t="s">
        <v>71</v>
      </c>
      <c r="AQ134" s="132" t="s">
        <v>71</v>
      </c>
      <c r="AR134" s="132" t="s">
        <v>71</v>
      </c>
      <c r="AS134" s="132" t="s">
        <v>71</v>
      </c>
      <c r="AT134" s="132" t="s">
        <v>71</v>
      </c>
      <c r="AU134" s="132" t="s">
        <v>71</v>
      </c>
      <c r="AV134" s="132" t="s">
        <v>71</v>
      </c>
      <c r="AW134" s="132" t="s">
        <v>71</v>
      </c>
      <c r="AX134" s="132" t="s">
        <v>71</v>
      </c>
      <c r="AY134" s="132" t="s">
        <v>71</v>
      </c>
      <c r="AZ134" s="132" t="s">
        <v>71</v>
      </c>
      <c r="BA134" s="132" t="s">
        <v>71</v>
      </c>
      <c r="BB134" s="132" t="s">
        <v>71</v>
      </c>
      <c r="BC134" s="132" t="s">
        <v>71</v>
      </c>
      <c r="BD134" s="132" t="s">
        <v>71</v>
      </c>
      <c r="BE134" s="132" t="s">
        <v>71</v>
      </c>
      <c r="BF134" s="132" t="s">
        <v>71</v>
      </c>
      <c r="BG134" s="132" t="s">
        <v>71</v>
      </c>
      <c r="BH134" s="132" t="s">
        <v>71</v>
      </c>
      <c r="BI134" s="132" t="s">
        <v>71</v>
      </c>
      <c r="BJ134" s="132" t="s">
        <v>71</v>
      </c>
      <c r="BK134" s="132" t="s">
        <v>71</v>
      </c>
      <c r="BL134" s="132" t="s">
        <v>71</v>
      </c>
      <c r="BM134" s="132" t="s">
        <v>71</v>
      </c>
      <c r="BN134" s="132" t="s">
        <v>71</v>
      </c>
      <c r="BO134" s="132" t="s">
        <v>71</v>
      </c>
      <c r="BP134" s="132" t="s">
        <v>71</v>
      </c>
      <c r="BQ134" s="132" t="s">
        <v>71</v>
      </c>
      <c r="BR134" s="132" t="s">
        <v>71</v>
      </c>
      <c r="BS134" s="132" t="s">
        <v>71</v>
      </c>
      <c r="BT134" s="132" t="s">
        <v>71</v>
      </c>
      <c r="BU134" s="132" t="s">
        <v>60</v>
      </c>
      <c r="BV134" s="132" t="s">
        <v>71</v>
      </c>
      <c r="BW134" s="132" t="s">
        <v>60</v>
      </c>
      <c r="BX134" s="132" t="s">
        <v>71</v>
      </c>
      <c r="BY134" s="132" t="s">
        <v>60</v>
      </c>
      <c r="BZ134" s="132" t="s">
        <v>71</v>
      </c>
      <c r="CA134" s="132" t="s">
        <v>60</v>
      </c>
      <c r="CB134" s="132" t="s">
        <v>71</v>
      </c>
      <c r="CC134" s="132" t="s">
        <v>60</v>
      </c>
      <c r="CD134" s="132" t="s">
        <v>71</v>
      </c>
      <c r="CE134" s="132" t="s">
        <v>60</v>
      </c>
      <c r="CF134" s="132" t="s">
        <v>71</v>
      </c>
      <c r="CG134" s="132" t="s">
        <v>60</v>
      </c>
      <c r="CH134" s="132" t="s">
        <v>71</v>
      </c>
      <c r="CI134" s="132" t="s">
        <v>60</v>
      </c>
      <c r="CJ134" s="132" t="s">
        <v>71</v>
      </c>
      <c r="CK134" s="132" t="s">
        <v>60</v>
      </c>
      <c r="CL134" s="132" t="s">
        <v>71</v>
      </c>
      <c r="CM134" s="132" t="s">
        <v>60</v>
      </c>
      <c r="CN134" s="132" t="s">
        <v>71</v>
      </c>
      <c r="CO134" s="132" t="s">
        <v>60</v>
      </c>
      <c r="CP134" s="132" t="s">
        <v>71</v>
      </c>
      <c r="CQ134" s="132" t="s">
        <v>60</v>
      </c>
      <c r="CR134" s="132" t="s">
        <v>71</v>
      </c>
      <c r="CS134" s="132" t="s">
        <v>60</v>
      </c>
      <c r="CT134" s="132" t="s">
        <v>71</v>
      </c>
      <c r="CU134" s="132" t="s">
        <v>60</v>
      </c>
      <c r="CV134" s="132" t="s">
        <v>71</v>
      </c>
      <c r="CW134" s="132" t="s">
        <v>60</v>
      </c>
      <c r="CX134" s="132" t="s">
        <v>71</v>
      </c>
      <c r="CY134" s="132" t="s">
        <v>60</v>
      </c>
      <c r="CZ134" s="132" t="s">
        <v>71</v>
      </c>
      <c r="DA134" s="132" t="s">
        <v>60</v>
      </c>
      <c r="DB134" s="132" t="s">
        <v>71</v>
      </c>
      <c r="DC134" s="132" t="s">
        <v>60</v>
      </c>
      <c r="DD134" s="132" t="s">
        <v>71</v>
      </c>
      <c r="DE134" s="137" t="str">
        <f t="shared" si="50"/>
        <v>FETAL</v>
      </c>
      <c r="DF134" s="137">
        <f t="shared" si="46"/>
        <v>0</v>
      </c>
    </row>
    <row r="135" spans="1:110" x14ac:dyDescent="0.2">
      <c r="A135" s="160"/>
      <c r="B135" s="5">
        <f t="shared" si="42"/>
        <v>133</v>
      </c>
      <c r="C135" s="131" t="str">
        <f t="shared" si="49"/>
        <v>CNS169</v>
      </c>
      <c r="D135" s="135" t="s">
        <v>267</v>
      </c>
      <c r="E135" s="131" t="str">
        <f t="shared" si="48"/>
        <v>CNS169_CONTROL</v>
      </c>
      <c r="F135" s="131"/>
      <c r="G135" s="130">
        <f t="shared" si="51"/>
        <v>169</v>
      </c>
      <c r="H135" s="131"/>
      <c r="I135" s="131"/>
      <c r="J135" s="132" t="s">
        <v>24</v>
      </c>
      <c r="K135" s="132" t="s">
        <v>177</v>
      </c>
      <c r="L135" s="132" t="s">
        <v>301</v>
      </c>
      <c r="M135" s="131" t="s">
        <v>81</v>
      </c>
      <c r="N135" s="131" t="s">
        <v>81</v>
      </c>
      <c r="O135" s="131" t="s">
        <v>81</v>
      </c>
      <c r="P135" s="131" t="s">
        <v>311</v>
      </c>
      <c r="Q135" s="131" t="s">
        <v>81</v>
      </c>
      <c r="R135" s="131" t="s">
        <v>89</v>
      </c>
      <c r="S135" s="131" t="s">
        <v>297</v>
      </c>
      <c r="T135" s="131"/>
      <c r="U135" s="132" t="s">
        <v>81</v>
      </c>
      <c r="V135" s="132" t="s">
        <v>172</v>
      </c>
      <c r="W135" s="132"/>
      <c r="X135" s="132"/>
      <c r="Y135" s="133">
        <v>0</v>
      </c>
      <c r="Z135" s="133">
        <v>24</v>
      </c>
      <c r="AA135" s="132" t="s">
        <v>71</v>
      </c>
      <c r="AB135" s="132" t="s">
        <v>60</v>
      </c>
      <c r="AC135" s="132" t="s">
        <v>60</v>
      </c>
      <c r="AD135" s="132" t="s">
        <v>71</v>
      </c>
      <c r="AE135" s="132" t="s">
        <v>71</v>
      </c>
      <c r="AF135" s="134" t="s">
        <v>68</v>
      </c>
      <c r="AG135" s="132" t="s">
        <v>81</v>
      </c>
      <c r="AH135" s="132" t="s">
        <v>71</v>
      </c>
      <c r="AI135" s="132" t="s">
        <v>60</v>
      </c>
      <c r="AJ135" s="132" t="s">
        <v>71</v>
      </c>
      <c r="AK135" s="132" t="s">
        <v>60</v>
      </c>
      <c r="AL135" s="132" t="s">
        <v>60</v>
      </c>
      <c r="AM135" s="132" t="s">
        <v>60</v>
      </c>
      <c r="AN135" s="132" t="s">
        <v>60</v>
      </c>
      <c r="AO135" s="132" t="s">
        <v>71</v>
      </c>
      <c r="AP135" s="132" t="s">
        <v>71</v>
      </c>
      <c r="AQ135" s="132" t="s">
        <v>71</v>
      </c>
      <c r="AR135" s="132" t="s">
        <v>71</v>
      </c>
      <c r="AS135" s="132" t="s">
        <v>71</v>
      </c>
      <c r="AT135" s="132" t="s">
        <v>71</v>
      </c>
      <c r="AU135" s="132" t="s">
        <v>71</v>
      </c>
      <c r="AV135" s="132" t="s">
        <v>71</v>
      </c>
      <c r="AW135" s="132" t="s">
        <v>71</v>
      </c>
      <c r="AX135" s="132" t="s">
        <v>71</v>
      </c>
      <c r="AY135" s="132" t="s">
        <v>71</v>
      </c>
      <c r="AZ135" s="132" t="s">
        <v>71</v>
      </c>
      <c r="BA135" s="132" t="s">
        <v>71</v>
      </c>
      <c r="BB135" s="132" t="s">
        <v>71</v>
      </c>
      <c r="BC135" s="132" t="s">
        <v>71</v>
      </c>
      <c r="BD135" s="132" t="s">
        <v>71</v>
      </c>
      <c r="BE135" s="132" t="s">
        <v>71</v>
      </c>
      <c r="BF135" s="132" t="s">
        <v>71</v>
      </c>
      <c r="BG135" s="132" t="s">
        <v>71</v>
      </c>
      <c r="BH135" s="132" t="s">
        <v>71</v>
      </c>
      <c r="BI135" s="132" t="s">
        <v>71</v>
      </c>
      <c r="BJ135" s="132" t="s">
        <v>71</v>
      </c>
      <c r="BK135" s="132" t="s">
        <v>71</v>
      </c>
      <c r="BL135" s="132" t="s">
        <v>71</v>
      </c>
      <c r="BM135" s="132" t="s">
        <v>71</v>
      </c>
      <c r="BN135" s="132" t="s">
        <v>71</v>
      </c>
      <c r="BO135" s="132" t="s">
        <v>71</v>
      </c>
      <c r="BP135" s="132" t="s">
        <v>71</v>
      </c>
      <c r="BQ135" s="132" t="s">
        <v>71</v>
      </c>
      <c r="BR135" s="132" t="s">
        <v>71</v>
      </c>
      <c r="BS135" s="132" t="s">
        <v>71</v>
      </c>
      <c r="BT135" s="132" t="s">
        <v>71</v>
      </c>
      <c r="BU135" s="132" t="s">
        <v>60</v>
      </c>
      <c r="BV135" s="132" t="s">
        <v>71</v>
      </c>
      <c r="BW135" s="132" t="s">
        <v>60</v>
      </c>
      <c r="BX135" s="132" t="s">
        <v>71</v>
      </c>
      <c r="BY135" s="132" t="s">
        <v>60</v>
      </c>
      <c r="BZ135" s="132" t="s">
        <v>71</v>
      </c>
      <c r="CA135" s="132" t="s">
        <v>60</v>
      </c>
      <c r="CB135" s="132" t="s">
        <v>71</v>
      </c>
      <c r="CC135" s="132" t="s">
        <v>60</v>
      </c>
      <c r="CD135" s="132" t="s">
        <v>71</v>
      </c>
      <c r="CE135" s="132" t="s">
        <v>60</v>
      </c>
      <c r="CF135" s="132" t="s">
        <v>71</v>
      </c>
      <c r="CG135" s="132" t="s">
        <v>60</v>
      </c>
      <c r="CH135" s="132" t="s">
        <v>71</v>
      </c>
      <c r="CI135" s="132" t="s">
        <v>60</v>
      </c>
      <c r="CJ135" s="132" t="s">
        <v>71</v>
      </c>
      <c r="CK135" s="132" t="s">
        <v>60</v>
      </c>
      <c r="CL135" s="132" t="s">
        <v>71</v>
      </c>
      <c r="CM135" s="132" t="s">
        <v>60</v>
      </c>
      <c r="CN135" s="132" t="s">
        <v>71</v>
      </c>
      <c r="CO135" s="132" t="s">
        <v>60</v>
      </c>
      <c r="CP135" s="132" t="s">
        <v>71</v>
      </c>
      <c r="CQ135" s="132" t="s">
        <v>60</v>
      </c>
      <c r="CR135" s="132" t="s">
        <v>71</v>
      </c>
      <c r="CS135" s="132" t="s">
        <v>60</v>
      </c>
      <c r="CT135" s="132" t="s">
        <v>71</v>
      </c>
      <c r="CU135" s="132" t="s">
        <v>60</v>
      </c>
      <c r="CV135" s="132" t="s">
        <v>71</v>
      </c>
      <c r="CW135" s="132" t="s">
        <v>60</v>
      </c>
      <c r="CX135" s="132" t="s">
        <v>71</v>
      </c>
      <c r="CY135" s="132" t="s">
        <v>60</v>
      </c>
      <c r="CZ135" s="132" t="s">
        <v>71</v>
      </c>
      <c r="DA135" s="132" t="s">
        <v>60</v>
      </c>
      <c r="DB135" s="132" t="s">
        <v>71</v>
      </c>
      <c r="DC135" s="132" t="s">
        <v>60</v>
      </c>
      <c r="DD135" s="132" t="s">
        <v>71</v>
      </c>
      <c r="DE135" s="137" t="str">
        <f t="shared" si="50"/>
        <v>FETAL</v>
      </c>
      <c r="DF135" s="137">
        <f t="shared" si="46"/>
        <v>0</v>
      </c>
    </row>
    <row r="136" spans="1:110" x14ac:dyDescent="0.2">
      <c r="A136" s="160"/>
      <c r="B136" s="5">
        <f t="shared" si="42"/>
        <v>134</v>
      </c>
      <c r="C136" s="131" t="str">
        <f t="shared" si="49"/>
        <v>CNS170</v>
      </c>
      <c r="D136" s="135" t="s">
        <v>268</v>
      </c>
      <c r="E136" s="131" t="str">
        <f t="shared" si="48"/>
        <v>CNS170_CONTROL</v>
      </c>
      <c r="F136" s="131"/>
      <c r="G136" s="130">
        <f t="shared" si="51"/>
        <v>170</v>
      </c>
      <c r="H136" s="131"/>
      <c r="I136" s="131"/>
      <c r="J136" s="132" t="s">
        <v>24</v>
      </c>
      <c r="K136" s="132" t="s">
        <v>177</v>
      </c>
      <c r="L136" s="132" t="s">
        <v>301</v>
      </c>
      <c r="M136" s="131" t="s">
        <v>81</v>
      </c>
      <c r="N136" s="131" t="s">
        <v>81</v>
      </c>
      <c r="O136" s="131" t="s">
        <v>81</v>
      </c>
      <c r="P136" s="131" t="s">
        <v>311</v>
      </c>
      <c r="Q136" s="131" t="s">
        <v>81</v>
      </c>
      <c r="R136" s="131" t="s">
        <v>89</v>
      </c>
      <c r="S136" s="131" t="s">
        <v>297</v>
      </c>
      <c r="T136" s="131"/>
      <c r="U136" s="132" t="s">
        <v>81</v>
      </c>
      <c r="V136" s="132" t="s">
        <v>172</v>
      </c>
      <c r="W136" s="132"/>
      <c r="X136" s="132"/>
      <c r="Y136" s="133">
        <v>0</v>
      </c>
      <c r="Z136" s="133">
        <v>18</v>
      </c>
      <c r="AA136" s="132" t="s">
        <v>71</v>
      </c>
      <c r="AB136" s="132" t="s">
        <v>60</v>
      </c>
      <c r="AC136" s="132" t="s">
        <v>60</v>
      </c>
      <c r="AD136" s="132" t="s">
        <v>71</v>
      </c>
      <c r="AE136" s="132" t="s">
        <v>71</v>
      </c>
      <c r="AF136" s="134" t="s">
        <v>68</v>
      </c>
      <c r="AG136" s="132" t="s">
        <v>81</v>
      </c>
      <c r="AH136" s="132" t="s">
        <v>71</v>
      </c>
      <c r="AI136" s="132" t="s">
        <v>60</v>
      </c>
      <c r="AJ136" s="132" t="s">
        <v>71</v>
      </c>
      <c r="AK136" s="132" t="s">
        <v>60</v>
      </c>
      <c r="AL136" s="132" t="s">
        <v>60</v>
      </c>
      <c r="AM136" s="132" t="s">
        <v>60</v>
      </c>
      <c r="AN136" s="132" t="s">
        <v>60</v>
      </c>
      <c r="AO136" s="132" t="s">
        <v>71</v>
      </c>
      <c r="AP136" s="132" t="s">
        <v>71</v>
      </c>
      <c r="AQ136" s="132" t="s">
        <v>71</v>
      </c>
      <c r="AR136" s="132" t="s">
        <v>71</v>
      </c>
      <c r="AS136" s="132" t="s">
        <v>71</v>
      </c>
      <c r="AT136" s="132" t="s">
        <v>71</v>
      </c>
      <c r="AU136" s="132" t="s">
        <v>71</v>
      </c>
      <c r="AV136" s="132" t="s">
        <v>71</v>
      </c>
      <c r="AW136" s="132" t="s">
        <v>71</v>
      </c>
      <c r="AX136" s="132" t="s">
        <v>71</v>
      </c>
      <c r="AY136" s="132" t="s">
        <v>71</v>
      </c>
      <c r="AZ136" s="132" t="s">
        <v>71</v>
      </c>
      <c r="BA136" s="132" t="s">
        <v>71</v>
      </c>
      <c r="BB136" s="132" t="s">
        <v>71</v>
      </c>
      <c r="BC136" s="132" t="s">
        <v>71</v>
      </c>
      <c r="BD136" s="132" t="s">
        <v>71</v>
      </c>
      <c r="BE136" s="132" t="s">
        <v>71</v>
      </c>
      <c r="BF136" s="132" t="s">
        <v>71</v>
      </c>
      <c r="BG136" s="132" t="s">
        <v>71</v>
      </c>
      <c r="BH136" s="132" t="s">
        <v>71</v>
      </c>
      <c r="BI136" s="132" t="s">
        <v>71</v>
      </c>
      <c r="BJ136" s="132" t="s">
        <v>71</v>
      </c>
      <c r="BK136" s="132" t="s">
        <v>71</v>
      </c>
      <c r="BL136" s="132" t="s">
        <v>71</v>
      </c>
      <c r="BM136" s="132" t="s">
        <v>71</v>
      </c>
      <c r="BN136" s="132" t="s">
        <v>71</v>
      </c>
      <c r="BO136" s="132" t="s">
        <v>71</v>
      </c>
      <c r="BP136" s="132" t="s">
        <v>71</v>
      </c>
      <c r="BQ136" s="132" t="s">
        <v>71</v>
      </c>
      <c r="BR136" s="132" t="s">
        <v>71</v>
      </c>
      <c r="BS136" s="132" t="s">
        <v>71</v>
      </c>
      <c r="BT136" s="132" t="s">
        <v>71</v>
      </c>
      <c r="BU136" s="132" t="s">
        <v>60</v>
      </c>
      <c r="BV136" s="132" t="s">
        <v>71</v>
      </c>
      <c r="BW136" s="132" t="s">
        <v>60</v>
      </c>
      <c r="BX136" s="132" t="s">
        <v>71</v>
      </c>
      <c r="BY136" s="132" t="s">
        <v>60</v>
      </c>
      <c r="BZ136" s="132" t="s">
        <v>71</v>
      </c>
      <c r="CA136" s="132" t="s">
        <v>60</v>
      </c>
      <c r="CB136" s="132" t="s">
        <v>71</v>
      </c>
      <c r="CC136" s="132" t="s">
        <v>60</v>
      </c>
      <c r="CD136" s="132" t="s">
        <v>71</v>
      </c>
      <c r="CE136" s="132" t="s">
        <v>60</v>
      </c>
      <c r="CF136" s="132" t="s">
        <v>71</v>
      </c>
      <c r="CG136" s="132" t="s">
        <v>60</v>
      </c>
      <c r="CH136" s="132" t="s">
        <v>71</v>
      </c>
      <c r="CI136" s="132" t="s">
        <v>60</v>
      </c>
      <c r="CJ136" s="132" t="s">
        <v>71</v>
      </c>
      <c r="CK136" s="132" t="s">
        <v>60</v>
      </c>
      <c r="CL136" s="132" t="s">
        <v>71</v>
      </c>
      <c r="CM136" s="132" t="s">
        <v>60</v>
      </c>
      <c r="CN136" s="132" t="s">
        <v>71</v>
      </c>
      <c r="CO136" s="132" t="s">
        <v>60</v>
      </c>
      <c r="CP136" s="132" t="s">
        <v>71</v>
      </c>
      <c r="CQ136" s="132" t="s">
        <v>60</v>
      </c>
      <c r="CR136" s="132" t="s">
        <v>71</v>
      </c>
      <c r="CS136" s="132" t="s">
        <v>60</v>
      </c>
      <c r="CT136" s="132" t="s">
        <v>71</v>
      </c>
      <c r="CU136" s="132" t="s">
        <v>60</v>
      </c>
      <c r="CV136" s="132" t="s">
        <v>71</v>
      </c>
      <c r="CW136" s="132" t="s">
        <v>60</v>
      </c>
      <c r="CX136" s="132" t="s">
        <v>71</v>
      </c>
      <c r="CY136" s="132" t="s">
        <v>60</v>
      </c>
      <c r="CZ136" s="132" t="s">
        <v>71</v>
      </c>
      <c r="DA136" s="132" t="s">
        <v>60</v>
      </c>
      <c r="DB136" s="132" t="s">
        <v>71</v>
      </c>
      <c r="DC136" s="132" t="s">
        <v>60</v>
      </c>
      <c r="DD136" s="132" t="s">
        <v>71</v>
      </c>
      <c r="DE136" s="137" t="str">
        <f t="shared" si="50"/>
        <v>FETAL</v>
      </c>
      <c r="DF136" s="137">
        <f t="shared" si="46"/>
        <v>0</v>
      </c>
    </row>
    <row r="137" spans="1:110" x14ac:dyDescent="0.2">
      <c r="A137" s="160"/>
      <c r="B137" s="5">
        <f t="shared" si="42"/>
        <v>135</v>
      </c>
      <c r="C137" s="131" t="str">
        <f t="shared" si="49"/>
        <v>CNS171</v>
      </c>
      <c r="D137" s="135" t="s">
        <v>269</v>
      </c>
      <c r="E137" s="131" t="str">
        <f t="shared" si="48"/>
        <v>CNS171_CONTROL</v>
      </c>
      <c r="F137" s="131"/>
      <c r="G137" s="130">
        <f t="shared" si="51"/>
        <v>171</v>
      </c>
      <c r="H137" s="131"/>
      <c r="I137" s="131"/>
      <c r="J137" s="132" t="s">
        <v>25</v>
      </c>
      <c r="K137" s="132" t="s">
        <v>177</v>
      </c>
      <c r="L137" s="132" t="s">
        <v>301</v>
      </c>
      <c r="M137" s="131" t="s">
        <v>81</v>
      </c>
      <c r="N137" s="131" t="s">
        <v>81</v>
      </c>
      <c r="O137" s="131" t="s">
        <v>81</v>
      </c>
      <c r="P137" s="131" t="s">
        <v>311</v>
      </c>
      <c r="Q137" s="131" t="s">
        <v>81</v>
      </c>
      <c r="R137" s="131" t="s">
        <v>89</v>
      </c>
      <c r="S137" s="131" t="s">
        <v>297</v>
      </c>
      <c r="T137" s="131"/>
      <c r="U137" s="132" t="s">
        <v>81</v>
      </c>
      <c r="V137" s="132" t="s">
        <v>172</v>
      </c>
      <c r="W137" s="132"/>
      <c r="X137" s="132"/>
      <c r="Y137" s="133">
        <v>0</v>
      </c>
      <c r="Z137" s="133">
        <v>18</v>
      </c>
      <c r="AA137" s="132" t="s">
        <v>71</v>
      </c>
      <c r="AB137" s="132" t="s">
        <v>60</v>
      </c>
      <c r="AC137" s="132" t="s">
        <v>60</v>
      </c>
      <c r="AD137" s="132" t="s">
        <v>71</v>
      </c>
      <c r="AE137" s="132" t="s">
        <v>71</v>
      </c>
      <c r="AF137" s="134" t="s">
        <v>68</v>
      </c>
      <c r="AG137" s="132" t="s">
        <v>81</v>
      </c>
      <c r="AH137" s="132" t="s">
        <v>71</v>
      </c>
      <c r="AI137" s="132" t="s">
        <v>60</v>
      </c>
      <c r="AJ137" s="132" t="s">
        <v>71</v>
      </c>
      <c r="AK137" s="132" t="s">
        <v>60</v>
      </c>
      <c r="AL137" s="132" t="s">
        <v>60</v>
      </c>
      <c r="AM137" s="132" t="s">
        <v>60</v>
      </c>
      <c r="AN137" s="132" t="s">
        <v>60</v>
      </c>
      <c r="AO137" s="132" t="s">
        <v>71</v>
      </c>
      <c r="AP137" s="132" t="s">
        <v>71</v>
      </c>
      <c r="AQ137" s="132" t="s">
        <v>71</v>
      </c>
      <c r="AR137" s="132" t="s">
        <v>71</v>
      </c>
      <c r="AS137" s="132" t="s">
        <v>71</v>
      </c>
      <c r="AT137" s="132" t="s">
        <v>71</v>
      </c>
      <c r="AU137" s="132" t="s">
        <v>71</v>
      </c>
      <c r="AV137" s="132" t="s">
        <v>71</v>
      </c>
      <c r="AW137" s="132" t="s">
        <v>71</v>
      </c>
      <c r="AX137" s="132" t="s">
        <v>71</v>
      </c>
      <c r="AY137" s="132" t="s">
        <v>71</v>
      </c>
      <c r="AZ137" s="132" t="s">
        <v>71</v>
      </c>
      <c r="BA137" s="132" t="s">
        <v>71</v>
      </c>
      <c r="BB137" s="132" t="s">
        <v>71</v>
      </c>
      <c r="BC137" s="132" t="s">
        <v>71</v>
      </c>
      <c r="BD137" s="132" t="s">
        <v>71</v>
      </c>
      <c r="BE137" s="132" t="s">
        <v>71</v>
      </c>
      <c r="BF137" s="132" t="s">
        <v>71</v>
      </c>
      <c r="BG137" s="132" t="s">
        <v>71</v>
      </c>
      <c r="BH137" s="132" t="s">
        <v>71</v>
      </c>
      <c r="BI137" s="132" t="s">
        <v>71</v>
      </c>
      <c r="BJ137" s="132" t="s">
        <v>71</v>
      </c>
      <c r="BK137" s="132" t="s">
        <v>71</v>
      </c>
      <c r="BL137" s="132" t="s">
        <v>71</v>
      </c>
      <c r="BM137" s="132" t="s">
        <v>71</v>
      </c>
      <c r="BN137" s="132" t="s">
        <v>71</v>
      </c>
      <c r="BO137" s="132" t="s">
        <v>71</v>
      </c>
      <c r="BP137" s="132" t="s">
        <v>71</v>
      </c>
      <c r="BQ137" s="132" t="s">
        <v>71</v>
      </c>
      <c r="BR137" s="132" t="s">
        <v>71</v>
      </c>
      <c r="BS137" s="132" t="s">
        <v>71</v>
      </c>
      <c r="BT137" s="132" t="s">
        <v>71</v>
      </c>
      <c r="BU137" s="132" t="s">
        <v>60</v>
      </c>
      <c r="BV137" s="132" t="s">
        <v>71</v>
      </c>
      <c r="BW137" s="132" t="s">
        <v>60</v>
      </c>
      <c r="BX137" s="132" t="s">
        <v>71</v>
      </c>
      <c r="BY137" s="132" t="s">
        <v>60</v>
      </c>
      <c r="BZ137" s="132" t="s">
        <v>71</v>
      </c>
      <c r="CA137" s="132" t="s">
        <v>60</v>
      </c>
      <c r="CB137" s="132" t="s">
        <v>71</v>
      </c>
      <c r="CC137" s="132" t="s">
        <v>60</v>
      </c>
      <c r="CD137" s="132" t="s">
        <v>71</v>
      </c>
      <c r="CE137" s="132" t="s">
        <v>60</v>
      </c>
      <c r="CF137" s="132" t="s">
        <v>71</v>
      </c>
      <c r="CG137" s="132" t="s">
        <v>60</v>
      </c>
      <c r="CH137" s="132" t="s">
        <v>71</v>
      </c>
      <c r="CI137" s="132" t="s">
        <v>60</v>
      </c>
      <c r="CJ137" s="132" t="s">
        <v>71</v>
      </c>
      <c r="CK137" s="132" t="s">
        <v>60</v>
      </c>
      <c r="CL137" s="132" t="s">
        <v>71</v>
      </c>
      <c r="CM137" s="132" t="s">
        <v>60</v>
      </c>
      <c r="CN137" s="132" t="s">
        <v>71</v>
      </c>
      <c r="CO137" s="132" t="s">
        <v>60</v>
      </c>
      <c r="CP137" s="132" t="s">
        <v>71</v>
      </c>
      <c r="CQ137" s="132" t="s">
        <v>60</v>
      </c>
      <c r="CR137" s="132" t="s">
        <v>71</v>
      </c>
      <c r="CS137" s="132" t="s">
        <v>60</v>
      </c>
      <c r="CT137" s="132" t="s">
        <v>71</v>
      </c>
      <c r="CU137" s="132" t="s">
        <v>60</v>
      </c>
      <c r="CV137" s="132" t="s">
        <v>71</v>
      </c>
      <c r="CW137" s="132" t="s">
        <v>60</v>
      </c>
      <c r="CX137" s="132" t="s">
        <v>71</v>
      </c>
      <c r="CY137" s="132" t="s">
        <v>60</v>
      </c>
      <c r="CZ137" s="132" t="s">
        <v>71</v>
      </c>
      <c r="DA137" s="132" t="s">
        <v>60</v>
      </c>
      <c r="DB137" s="132" t="s">
        <v>71</v>
      </c>
      <c r="DC137" s="132" t="s">
        <v>60</v>
      </c>
      <c r="DD137" s="132" t="s">
        <v>71</v>
      </c>
      <c r="DE137" s="137" t="str">
        <f t="shared" si="50"/>
        <v>FETAL</v>
      </c>
      <c r="DF137" s="137">
        <f t="shared" si="46"/>
        <v>0</v>
      </c>
    </row>
    <row r="138" spans="1:110" x14ac:dyDescent="0.2">
      <c r="A138" s="160"/>
      <c r="B138" s="5">
        <f t="shared" si="42"/>
        <v>136</v>
      </c>
      <c r="C138" s="131" t="str">
        <f t="shared" si="49"/>
        <v>CNS172</v>
      </c>
      <c r="D138" s="135" t="s">
        <v>270</v>
      </c>
      <c r="E138" s="131" t="str">
        <f t="shared" si="48"/>
        <v>CNS172_CONTROL</v>
      </c>
      <c r="F138" s="131"/>
      <c r="G138" s="130">
        <f t="shared" si="51"/>
        <v>172</v>
      </c>
      <c r="H138" s="131"/>
      <c r="I138" s="131"/>
      <c r="J138" s="132" t="s">
        <v>25</v>
      </c>
      <c r="K138" s="132" t="s">
        <v>177</v>
      </c>
      <c r="L138" s="132" t="s">
        <v>301</v>
      </c>
      <c r="M138" s="131" t="s">
        <v>81</v>
      </c>
      <c r="N138" s="131" t="s">
        <v>81</v>
      </c>
      <c r="O138" s="131" t="s">
        <v>81</v>
      </c>
      <c r="P138" s="131" t="s">
        <v>311</v>
      </c>
      <c r="Q138" s="131" t="s">
        <v>81</v>
      </c>
      <c r="R138" s="131" t="s">
        <v>89</v>
      </c>
      <c r="S138" s="131" t="s">
        <v>297</v>
      </c>
      <c r="T138" s="131"/>
      <c r="U138" s="132" t="s">
        <v>81</v>
      </c>
      <c r="V138" s="132" t="s">
        <v>172</v>
      </c>
      <c r="W138" s="132"/>
      <c r="X138" s="132"/>
      <c r="Y138" s="133">
        <v>0</v>
      </c>
      <c r="Z138" s="133">
        <v>19</v>
      </c>
      <c r="AA138" s="132" t="s">
        <v>71</v>
      </c>
      <c r="AB138" s="132" t="s">
        <v>60</v>
      </c>
      <c r="AC138" s="132" t="s">
        <v>60</v>
      </c>
      <c r="AD138" s="132" t="s">
        <v>71</v>
      </c>
      <c r="AE138" s="132" t="s">
        <v>71</v>
      </c>
      <c r="AF138" s="134" t="s">
        <v>68</v>
      </c>
      <c r="AG138" s="132" t="s">
        <v>81</v>
      </c>
      <c r="AH138" s="132" t="s">
        <v>71</v>
      </c>
      <c r="AI138" s="132" t="s">
        <v>60</v>
      </c>
      <c r="AJ138" s="132" t="s">
        <v>71</v>
      </c>
      <c r="AK138" s="132" t="s">
        <v>60</v>
      </c>
      <c r="AL138" s="132" t="s">
        <v>60</v>
      </c>
      <c r="AM138" s="132" t="s">
        <v>60</v>
      </c>
      <c r="AN138" s="132" t="s">
        <v>60</v>
      </c>
      <c r="AO138" s="132" t="s">
        <v>71</v>
      </c>
      <c r="AP138" s="132" t="s">
        <v>71</v>
      </c>
      <c r="AQ138" s="132" t="s">
        <v>71</v>
      </c>
      <c r="AR138" s="132" t="s">
        <v>71</v>
      </c>
      <c r="AS138" s="132" t="s">
        <v>71</v>
      </c>
      <c r="AT138" s="132" t="s">
        <v>71</v>
      </c>
      <c r="AU138" s="132" t="s">
        <v>71</v>
      </c>
      <c r="AV138" s="132" t="s">
        <v>71</v>
      </c>
      <c r="AW138" s="132" t="s">
        <v>71</v>
      </c>
      <c r="AX138" s="132" t="s">
        <v>71</v>
      </c>
      <c r="AY138" s="132" t="s">
        <v>71</v>
      </c>
      <c r="AZ138" s="132" t="s">
        <v>71</v>
      </c>
      <c r="BA138" s="132" t="s">
        <v>71</v>
      </c>
      <c r="BB138" s="132" t="s">
        <v>71</v>
      </c>
      <c r="BC138" s="132" t="s">
        <v>71</v>
      </c>
      <c r="BD138" s="132" t="s">
        <v>71</v>
      </c>
      <c r="BE138" s="132" t="s">
        <v>71</v>
      </c>
      <c r="BF138" s="132" t="s">
        <v>71</v>
      </c>
      <c r="BG138" s="132" t="s">
        <v>71</v>
      </c>
      <c r="BH138" s="132" t="s">
        <v>71</v>
      </c>
      <c r="BI138" s="132" t="s">
        <v>71</v>
      </c>
      <c r="BJ138" s="132" t="s">
        <v>71</v>
      </c>
      <c r="BK138" s="132" t="s">
        <v>71</v>
      </c>
      <c r="BL138" s="132" t="s">
        <v>71</v>
      </c>
      <c r="BM138" s="132" t="s">
        <v>71</v>
      </c>
      <c r="BN138" s="132" t="s">
        <v>71</v>
      </c>
      <c r="BO138" s="132" t="s">
        <v>71</v>
      </c>
      <c r="BP138" s="132" t="s">
        <v>71</v>
      </c>
      <c r="BQ138" s="132" t="s">
        <v>71</v>
      </c>
      <c r="BR138" s="132" t="s">
        <v>71</v>
      </c>
      <c r="BS138" s="132" t="s">
        <v>71</v>
      </c>
      <c r="BT138" s="132" t="s">
        <v>71</v>
      </c>
      <c r="BU138" s="132" t="s">
        <v>60</v>
      </c>
      <c r="BV138" s="132" t="s">
        <v>71</v>
      </c>
      <c r="BW138" s="132" t="s">
        <v>60</v>
      </c>
      <c r="BX138" s="132" t="s">
        <v>71</v>
      </c>
      <c r="BY138" s="132" t="s">
        <v>60</v>
      </c>
      <c r="BZ138" s="132" t="s">
        <v>71</v>
      </c>
      <c r="CA138" s="132" t="s">
        <v>60</v>
      </c>
      <c r="CB138" s="132" t="s">
        <v>71</v>
      </c>
      <c r="CC138" s="132" t="s">
        <v>60</v>
      </c>
      <c r="CD138" s="132" t="s">
        <v>71</v>
      </c>
      <c r="CE138" s="132" t="s">
        <v>60</v>
      </c>
      <c r="CF138" s="132" t="s">
        <v>71</v>
      </c>
      <c r="CG138" s="132" t="s">
        <v>60</v>
      </c>
      <c r="CH138" s="132" t="s">
        <v>71</v>
      </c>
      <c r="CI138" s="132" t="s">
        <v>60</v>
      </c>
      <c r="CJ138" s="132" t="s">
        <v>71</v>
      </c>
      <c r="CK138" s="132" t="s">
        <v>60</v>
      </c>
      <c r="CL138" s="132" t="s">
        <v>71</v>
      </c>
      <c r="CM138" s="132" t="s">
        <v>60</v>
      </c>
      <c r="CN138" s="132" t="s">
        <v>71</v>
      </c>
      <c r="CO138" s="132" t="s">
        <v>60</v>
      </c>
      <c r="CP138" s="132" t="s">
        <v>71</v>
      </c>
      <c r="CQ138" s="132" t="s">
        <v>60</v>
      </c>
      <c r="CR138" s="132" t="s">
        <v>71</v>
      </c>
      <c r="CS138" s="132" t="s">
        <v>60</v>
      </c>
      <c r="CT138" s="132" t="s">
        <v>71</v>
      </c>
      <c r="CU138" s="132" t="s">
        <v>60</v>
      </c>
      <c r="CV138" s="132" t="s">
        <v>71</v>
      </c>
      <c r="CW138" s="132" t="s">
        <v>60</v>
      </c>
      <c r="CX138" s="132" t="s">
        <v>71</v>
      </c>
      <c r="CY138" s="132" t="s">
        <v>60</v>
      </c>
      <c r="CZ138" s="132" t="s">
        <v>71</v>
      </c>
      <c r="DA138" s="132" t="s">
        <v>60</v>
      </c>
      <c r="DB138" s="132" t="s">
        <v>71</v>
      </c>
      <c r="DC138" s="132" t="s">
        <v>60</v>
      </c>
      <c r="DD138" s="132" t="s">
        <v>71</v>
      </c>
      <c r="DE138" s="137" t="str">
        <f t="shared" si="50"/>
        <v>FETAL</v>
      </c>
      <c r="DF138" s="137">
        <f t="shared" si="46"/>
        <v>0</v>
      </c>
    </row>
    <row r="139" spans="1:110" x14ac:dyDescent="0.2">
      <c r="A139" s="160"/>
      <c r="B139" s="5">
        <f t="shared" si="42"/>
        <v>137</v>
      </c>
      <c r="C139" s="131" t="str">
        <f t="shared" ref="C139:C146" si="52">CONCATENATE("CNS",G139)</f>
        <v>CNS173</v>
      </c>
      <c r="D139" s="135" t="s">
        <v>271</v>
      </c>
      <c r="E139" s="131" t="str">
        <f t="shared" si="48"/>
        <v>CNS173_CONTROL</v>
      </c>
      <c r="F139" s="131"/>
      <c r="G139" s="130">
        <f t="shared" si="51"/>
        <v>173</v>
      </c>
      <c r="H139" s="131"/>
      <c r="I139" s="131"/>
      <c r="J139" s="132" t="s">
        <v>25</v>
      </c>
      <c r="K139" s="132" t="s">
        <v>177</v>
      </c>
      <c r="L139" s="132" t="s">
        <v>301</v>
      </c>
      <c r="M139" s="131" t="s">
        <v>81</v>
      </c>
      <c r="N139" s="131" t="s">
        <v>81</v>
      </c>
      <c r="O139" s="131" t="s">
        <v>81</v>
      </c>
      <c r="P139" s="131" t="s">
        <v>311</v>
      </c>
      <c r="Q139" s="131" t="s">
        <v>81</v>
      </c>
      <c r="R139" s="131" t="s">
        <v>89</v>
      </c>
      <c r="S139" s="131" t="s">
        <v>297</v>
      </c>
      <c r="T139" s="131"/>
      <c r="U139" s="132" t="s">
        <v>81</v>
      </c>
      <c r="V139" s="132" t="s">
        <v>172</v>
      </c>
      <c r="W139" s="132"/>
      <c r="X139" s="132"/>
      <c r="Y139" s="133">
        <v>0</v>
      </c>
      <c r="Z139" s="133">
        <v>16</v>
      </c>
      <c r="AA139" s="132" t="s">
        <v>71</v>
      </c>
      <c r="AB139" s="132" t="s">
        <v>60</v>
      </c>
      <c r="AC139" s="132" t="s">
        <v>60</v>
      </c>
      <c r="AD139" s="132" t="s">
        <v>71</v>
      </c>
      <c r="AE139" s="132" t="s">
        <v>71</v>
      </c>
      <c r="AF139" s="134" t="s">
        <v>68</v>
      </c>
      <c r="AG139" s="132" t="s">
        <v>81</v>
      </c>
      <c r="AH139" s="132" t="s">
        <v>71</v>
      </c>
      <c r="AI139" s="132" t="s">
        <v>60</v>
      </c>
      <c r="AJ139" s="132" t="s">
        <v>71</v>
      </c>
      <c r="AK139" s="132" t="s">
        <v>60</v>
      </c>
      <c r="AL139" s="132" t="s">
        <v>60</v>
      </c>
      <c r="AM139" s="132" t="s">
        <v>60</v>
      </c>
      <c r="AN139" s="132" t="s">
        <v>60</v>
      </c>
      <c r="AO139" s="132" t="s">
        <v>71</v>
      </c>
      <c r="AP139" s="132" t="s">
        <v>71</v>
      </c>
      <c r="AQ139" s="132" t="s">
        <v>71</v>
      </c>
      <c r="AR139" s="132" t="s">
        <v>71</v>
      </c>
      <c r="AS139" s="132" t="s">
        <v>71</v>
      </c>
      <c r="AT139" s="132" t="s">
        <v>71</v>
      </c>
      <c r="AU139" s="132" t="s">
        <v>71</v>
      </c>
      <c r="AV139" s="132" t="s">
        <v>71</v>
      </c>
      <c r="AW139" s="132" t="s">
        <v>71</v>
      </c>
      <c r="AX139" s="132" t="s">
        <v>71</v>
      </c>
      <c r="AY139" s="132" t="s">
        <v>71</v>
      </c>
      <c r="AZ139" s="132" t="s">
        <v>71</v>
      </c>
      <c r="BA139" s="132" t="s">
        <v>71</v>
      </c>
      <c r="BB139" s="132" t="s">
        <v>71</v>
      </c>
      <c r="BC139" s="132" t="s">
        <v>71</v>
      </c>
      <c r="BD139" s="132" t="s">
        <v>71</v>
      </c>
      <c r="BE139" s="132" t="s">
        <v>71</v>
      </c>
      <c r="BF139" s="132" t="s">
        <v>71</v>
      </c>
      <c r="BG139" s="132" t="s">
        <v>71</v>
      </c>
      <c r="BH139" s="132" t="s">
        <v>71</v>
      </c>
      <c r="BI139" s="132" t="s">
        <v>71</v>
      </c>
      <c r="BJ139" s="132" t="s">
        <v>71</v>
      </c>
      <c r="BK139" s="132" t="s">
        <v>71</v>
      </c>
      <c r="BL139" s="132" t="s">
        <v>71</v>
      </c>
      <c r="BM139" s="132" t="s">
        <v>71</v>
      </c>
      <c r="BN139" s="132" t="s">
        <v>71</v>
      </c>
      <c r="BO139" s="132" t="s">
        <v>71</v>
      </c>
      <c r="BP139" s="132" t="s">
        <v>71</v>
      </c>
      <c r="BQ139" s="132" t="s">
        <v>71</v>
      </c>
      <c r="BR139" s="132" t="s">
        <v>71</v>
      </c>
      <c r="BS139" s="132" t="s">
        <v>71</v>
      </c>
      <c r="BT139" s="132" t="s">
        <v>71</v>
      </c>
      <c r="BU139" s="132" t="s">
        <v>60</v>
      </c>
      <c r="BV139" s="132" t="s">
        <v>71</v>
      </c>
      <c r="BW139" s="132" t="s">
        <v>60</v>
      </c>
      <c r="BX139" s="132" t="s">
        <v>71</v>
      </c>
      <c r="BY139" s="132" t="s">
        <v>60</v>
      </c>
      <c r="BZ139" s="132" t="s">
        <v>71</v>
      </c>
      <c r="CA139" s="132" t="s">
        <v>60</v>
      </c>
      <c r="CB139" s="132" t="s">
        <v>71</v>
      </c>
      <c r="CC139" s="132" t="s">
        <v>60</v>
      </c>
      <c r="CD139" s="132" t="s">
        <v>71</v>
      </c>
      <c r="CE139" s="132" t="s">
        <v>60</v>
      </c>
      <c r="CF139" s="132" t="s">
        <v>71</v>
      </c>
      <c r="CG139" s="132" t="s">
        <v>60</v>
      </c>
      <c r="CH139" s="132" t="s">
        <v>71</v>
      </c>
      <c r="CI139" s="132" t="s">
        <v>60</v>
      </c>
      <c r="CJ139" s="132" t="s">
        <v>71</v>
      </c>
      <c r="CK139" s="132" t="s">
        <v>60</v>
      </c>
      <c r="CL139" s="132" t="s">
        <v>71</v>
      </c>
      <c r="CM139" s="132" t="s">
        <v>60</v>
      </c>
      <c r="CN139" s="132" t="s">
        <v>71</v>
      </c>
      <c r="CO139" s="132" t="s">
        <v>60</v>
      </c>
      <c r="CP139" s="132" t="s">
        <v>71</v>
      </c>
      <c r="CQ139" s="132" t="s">
        <v>60</v>
      </c>
      <c r="CR139" s="132" t="s">
        <v>71</v>
      </c>
      <c r="CS139" s="132" t="s">
        <v>60</v>
      </c>
      <c r="CT139" s="132" t="s">
        <v>71</v>
      </c>
      <c r="CU139" s="132" t="s">
        <v>60</v>
      </c>
      <c r="CV139" s="132" t="s">
        <v>71</v>
      </c>
      <c r="CW139" s="132" t="s">
        <v>60</v>
      </c>
      <c r="CX139" s="132" t="s">
        <v>71</v>
      </c>
      <c r="CY139" s="132" t="s">
        <v>60</v>
      </c>
      <c r="CZ139" s="132" t="s">
        <v>71</v>
      </c>
      <c r="DA139" s="132" t="s">
        <v>60</v>
      </c>
      <c r="DB139" s="132" t="s">
        <v>71</v>
      </c>
      <c r="DC139" s="132" t="s">
        <v>60</v>
      </c>
      <c r="DD139" s="132" t="s">
        <v>71</v>
      </c>
      <c r="DE139" s="137" t="str">
        <f t="shared" si="50"/>
        <v>FETAL</v>
      </c>
      <c r="DF139" s="137">
        <f t="shared" si="46"/>
        <v>0</v>
      </c>
    </row>
    <row r="140" spans="1:110" x14ac:dyDescent="0.2">
      <c r="A140" s="160"/>
      <c r="B140" s="5">
        <f t="shared" si="42"/>
        <v>138</v>
      </c>
      <c r="C140" s="131" t="str">
        <f t="shared" si="52"/>
        <v>CNS174</v>
      </c>
      <c r="D140" s="135" t="s">
        <v>272</v>
      </c>
      <c r="E140" s="131" t="str">
        <f t="shared" si="48"/>
        <v>CNS174_CONTROL</v>
      </c>
      <c r="F140" s="131"/>
      <c r="G140" s="130">
        <f t="shared" si="51"/>
        <v>174</v>
      </c>
      <c r="H140" s="131"/>
      <c r="I140" s="131"/>
      <c r="J140" s="132" t="s">
        <v>24</v>
      </c>
      <c r="K140" s="132" t="s">
        <v>177</v>
      </c>
      <c r="L140" s="132" t="s">
        <v>301</v>
      </c>
      <c r="M140" s="131" t="s">
        <v>81</v>
      </c>
      <c r="N140" s="131" t="s">
        <v>81</v>
      </c>
      <c r="O140" s="131" t="s">
        <v>81</v>
      </c>
      <c r="P140" s="131" t="s">
        <v>311</v>
      </c>
      <c r="Q140" s="131" t="s">
        <v>81</v>
      </c>
      <c r="R140" s="131" t="s">
        <v>89</v>
      </c>
      <c r="S140" s="131" t="s">
        <v>297</v>
      </c>
      <c r="T140" s="131"/>
      <c r="U140" s="132" t="s">
        <v>81</v>
      </c>
      <c r="V140" s="132" t="s">
        <v>172</v>
      </c>
      <c r="W140" s="132"/>
      <c r="X140" s="132"/>
      <c r="Y140" s="133">
        <v>0</v>
      </c>
      <c r="Z140" s="133">
        <v>18</v>
      </c>
      <c r="AA140" s="132" t="s">
        <v>71</v>
      </c>
      <c r="AB140" s="132" t="s">
        <v>60</v>
      </c>
      <c r="AC140" s="132" t="s">
        <v>60</v>
      </c>
      <c r="AD140" s="132" t="s">
        <v>71</v>
      </c>
      <c r="AE140" s="132" t="s">
        <v>71</v>
      </c>
      <c r="AF140" s="134" t="s">
        <v>68</v>
      </c>
      <c r="AG140" s="132" t="s">
        <v>81</v>
      </c>
      <c r="AH140" s="132" t="s">
        <v>71</v>
      </c>
      <c r="AI140" s="132" t="s">
        <v>60</v>
      </c>
      <c r="AJ140" s="132" t="s">
        <v>71</v>
      </c>
      <c r="AK140" s="132" t="s">
        <v>60</v>
      </c>
      <c r="AL140" s="132" t="s">
        <v>60</v>
      </c>
      <c r="AM140" s="132" t="s">
        <v>60</v>
      </c>
      <c r="AN140" s="132" t="s">
        <v>60</v>
      </c>
      <c r="AO140" s="132" t="s">
        <v>71</v>
      </c>
      <c r="AP140" s="132" t="s">
        <v>71</v>
      </c>
      <c r="AQ140" s="132" t="s">
        <v>71</v>
      </c>
      <c r="AR140" s="132" t="s">
        <v>71</v>
      </c>
      <c r="AS140" s="132" t="s">
        <v>71</v>
      </c>
      <c r="AT140" s="132" t="s">
        <v>71</v>
      </c>
      <c r="AU140" s="132" t="s">
        <v>71</v>
      </c>
      <c r="AV140" s="132" t="s">
        <v>71</v>
      </c>
      <c r="AW140" s="132" t="s">
        <v>71</v>
      </c>
      <c r="AX140" s="132" t="s">
        <v>71</v>
      </c>
      <c r="AY140" s="132" t="s">
        <v>71</v>
      </c>
      <c r="AZ140" s="132" t="s">
        <v>71</v>
      </c>
      <c r="BA140" s="132" t="s">
        <v>71</v>
      </c>
      <c r="BB140" s="132" t="s">
        <v>71</v>
      </c>
      <c r="BC140" s="132" t="s">
        <v>71</v>
      </c>
      <c r="BD140" s="132" t="s">
        <v>71</v>
      </c>
      <c r="BE140" s="132" t="s">
        <v>71</v>
      </c>
      <c r="BF140" s="132" t="s">
        <v>71</v>
      </c>
      <c r="BG140" s="132" t="s">
        <v>71</v>
      </c>
      <c r="BH140" s="132" t="s">
        <v>71</v>
      </c>
      <c r="BI140" s="132" t="s">
        <v>71</v>
      </c>
      <c r="BJ140" s="132" t="s">
        <v>71</v>
      </c>
      <c r="BK140" s="132" t="s">
        <v>71</v>
      </c>
      <c r="BL140" s="132" t="s">
        <v>71</v>
      </c>
      <c r="BM140" s="132" t="s">
        <v>71</v>
      </c>
      <c r="BN140" s="132" t="s">
        <v>71</v>
      </c>
      <c r="BO140" s="132" t="s">
        <v>71</v>
      </c>
      <c r="BP140" s="132" t="s">
        <v>71</v>
      </c>
      <c r="BQ140" s="132" t="s">
        <v>71</v>
      </c>
      <c r="BR140" s="132" t="s">
        <v>71</v>
      </c>
      <c r="BS140" s="132" t="s">
        <v>71</v>
      </c>
      <c r="BT140" s="132" t="s">
        <v>71</v>
      </c>
      <c r="BU140" s="132" t="s">
        <v>60</v>
      </c>
      <c r="BV140" s="132" t="s">
        <v>71</v>
      </c>
      <c r="BW140" s="132" t="s">
        <v>60</v>
      </c>
      <c r="BX140" s="132" t="s">
        <v>71</v>
      </c>
      <c r="BY140" s="132" t="s">
        <v>60</v>
      </c>
      <c r="BZ140" s="132" t="s">
        <v>71</v>
      </c>
      <c r="CA140" s="132" t="s">
        <v>60</v>
      </c>
      <c r="CB140" s="132" t="s">
        <v>71</v>
      </c>
      <c r="CC140" s="132" t="s">
        <v>60</v>
      </c>
      <c r="CD140" s="132" t="s">
        <v>71</v>
      </c>
      <c r="CE140" s="132" t="s">
        <v>60</v>
      </c>
      <c r="CF140" s="132" t="s">
        <v>71</v>
      </c>
      <c r="CG140" s="132" t="s">
        <v>60</v>
      </c>
      <c r="CH140" s="132" t="s">
        <v>71</v>
      </c>
      <c r="CI140" s="132" t="s">
        <v>60</v>
      </c>
      <c r="CJ140" s="132" t="s">
        <v>71</v>
      </c>
      <c r="CK140" s="132" t="s">
        <v>60</v>
      </c>
      <c r="CL140" s="132" t="s">
        <v>71</v>
      </c>
      <c r="CM140" s="132" t="s">
        <v>60</v>
      </c>
      <c r="CN140" s="132" t="s">
        <v>71</v>
      </c>
      <c r="CO140" s="132" t="s">
        <v>60</v>
      </c>
      <c r="CP140" s="132" t="s">
        <v>71</v>
      </c>
      <c r="CQ140" s="132" t="s">
        <v>60</v>
      </c>
      <c r="CR140" s="132" t="s">
        <v>71</v>
      </c>
      <c r="CS140" s="132" t="s">
        <v>60</v>
      </c>
      <c r="CT140" s="132" t="s">
        <v>71</v>
      </c>
      <c r="CU140" s="132" t="s">
        <v>60</v>
      </c>
      <c r="CV140" s="132" t="s">
        <v>71</v>
      </c>
      <c r="CW140" s="132" t="s">
        <v>60</v>
      </c>
      <c r="CX140" s="132" t="s">
        <v>71</v>
      </c>
      <c r="CY140" s="132" t="s">
        <v>60</v>
      </c>
      <c r="CZ140" s="132" t="s">
        <v>71</v>
      </c>
      <c r="DA140" s="132" t="s">
        <v>60</v>
      </c>
      <c r="DB140" s="132" t="s">
        <v>71</v>
      </c>
      <c r="DC140" s="132" t="s">
        <v>60</v>
      </c>
      <c r="DD140" s="132" t="s">
        <v>71</v>
      </c>
      <c r="DE140" s="137" t="str">
        <f t="shared" si="50"/>
        <v>FETAL</v>
      </c>
      <c r="DF140" s="137">
        <f t="shared" si="46"/>
        <v>0</v>
      </c>
    </row>
    <row r="141" spans="1:110" x14ac:dyDescent="0.2">
      <c r="A141" s="160"/>
      <c r="B141" s="5">
        <f t="shared" si="42"/>
        <v>139</v>
      </c>
      <c r="C141" s="131" t="str">
        <f t="shared" si="52"/>
        <v>CNS175</v>
      </c>
      <c r="D141" s="135" t="s">
        <v>273</v>
      </c>
      <c r="E141" s="131" t="str">
        <f t="shared" si="48"/>
        <v>CNS175_CONTROL</v>
      </c>
      <c r="F141" s="131"/>
      <c r="G141" s="130">
        <f t="shared" si="51"/>
        <v>175</v>
      </c>
      <c r="H141" s="131"/>
      <c r="I141" s="131"/>
      <c r="J141" s="132" t="s">
        <v>24</v>
      </c>
      <c r="K141" s="132" t="s">
        <v>177</v>
      </c>
      <c r="L141" s="132" t="s">
        <v>301</v>
      </c>
      <c r="M141" s="131" t="s">
        <v>81</v>
      </c>
      <c r="N141" s="131" t="s">
        <v>81</v>
      </c>
      <c r="O141" s="131" t="s">
        <v>81</v>
      </c>
      <c r="P141" s="131" t="s">
        <v>311</v>
      </c>
      <c r="Q141" s="131" t="s">
        <v>81</v>
      </c>
      <c r="R141" s="131" t="s">
        <v>89</v>
      </c>
      <c r="S141" s="131" t="s">
        <v>297</v>
      </c>
      <c r="T141" s="131"/>
      <c r="U141" s="132" t="s">
        <v>81</v>
      </c>
      <c r="V141" s="132" t="s">
        <v>172</v>
      </c>
      <c r="W141" s="132"/>
      <c r="X141" s="132"/>
      <c r="Y141" s="133">
        <v>0</v>
      </c>
      <c r="Z141" s="133">
        <v>17</v>
      </c>
      <c r="AA141" s="132" t="s">
        <v>71</v>
      </c>
      <c r="AB141" s="132" t="s">
        <v>60</v>
      </c>
      <c r="AC141" s="132" t="s">
        <v>60</v>
      </c>
      <c r="AD141" s="132" t="s">
        <v>71</v>
      </c>
      <c r="AE141" s="132" t="s">
        <v>71</v>
      </c>
      <c r="AF141" s="134" t="s">
        <v>68</v>
      </c>
      <c r="AG141" s="132" t="s">
        <v>81</v>
      </c>
      <c r="AH141" s="132" t="s">
        <v>71</v>
      </c>
      <c r="AI141" s="132" t="s">
        <v>60</v>
      </c>
      <c r="AJ141" s="132" t="s">
        <v>71</v>
      </c>
      <c r="AK141" s="132" t="s">
        <v>60</v>
      </c>
      <c r="AL141" s="132" t="s">
        <v>60</v>
      </c>
      <c r="AM141" s="132" t="s">
        <v>60</v>
      </c>
      <c r="AN141" s="132" t="s">
        <v>60</v>
      </c>
      <c r="AO141" s="132" t="s">
        <v>71</v>
      </c>
      <c r="AP141" s="132" t="s">
        <v>71</v>
      </c>
      <c r="AQ141" s="132" t="s">
        <v>71</v>
      </c>
      <c r="AR141" s="132" t="s">
        <v>71</v>
      </c>
      <c r="AS141" s="132" t="s">
        <v>71</v>
      </c>
      <c r="AT141" s="132" t="s">
        <v>71</v>
      </c>
      <c r="AU141" s="132" t="s">
        <v>71</v>
      </c>
      <c r="AV141" s="132" t="s">
        <v>71</v>
      </c>
      <c r="AW141" s="132" t="s">
        <v>71</v>
      </c>
      <c r="AX141" s="132" t="s">
        <v>71</v>
      </c>
      <c r="AY141" s="132" t="s">
        <v>71</v>
      </c>
      <c r="AZ141" s="132" t="s">
        <v>71</v>
      </c>
      <c r="BA141" s="132" t="s">
        <v>71</v>
      </c>
      <c r="BB141" s="132" t="s">
        <v>71</v>
      </c>
      <c r="BC141" s="132" t="s">
        <v>71</v>
      </c>
      <c r="BD141" s="132" t="s">
        <v>71</v>
      </c>
      <c r="BE141" s="132" t="s">
        <v>71</v>
      </c>
      <c r="BF141" s="132" t="s">
        <v>71</v>
      </c>
      <c r="BG141" s="132" t="s">
        <v>71</v>
      </c>
      <c r="BH141" s="132" t="s">
        <v>71</v>
      </c>
      <c r="BI141" s="132" t="s">
        <v>71</v>
      </c>
      <c r="BJ141" s="132" t="s">
        <v>71</v>
      </c>
      <c r="BK141" s="132" t="s">
        <v>71</v>
      </c>
      <c r="BL141" s="132" t="s">
        <v>71</v>
      </c>
      <c r="BM141" s="132" t="s">
        <v>71</v>
      </c>
      <c r="BN141" s="132" t="s">
        <v>71</v>
      </c>
      <c r="BO141" s="132" t="s">
        <v>71</v>
      </c>
      <c r="BP141" s="132" t="s">
        <v>71</v>
      </c>
      <c r="BQ141" s="132" t="s">
        <v>71</v>
      </c>
      <c r="BR141" s="132" t="s">
        <v>71</v>
      </c>
      <c r="BS141" s="132" t="s">
        <v>71</v>
      </c>
      <c r="BT141" s="132" t="s">
        <v>71</v>
      </c>
      <c r="BU141" s="132" t="s">
        <v>60</v>
      </c>
      <c r="BV141" s="132" t="s">
        <v>71</v>
      </c>
      <c r="BW141" s="132" t="s">
        <v>60</v>
      </c>
      <c r="BX141" s="132" t="s">
        <v>71</v>
      </c>
      <c r="BY141" s="132" t="s">
        <v>60</v>
      </c>
      <c r="BZ141" s="132" t="s">
        <v>71</v>
      </c>
      <c r="CA141" s="132" t="s">
        <v>60</v>
      </c>
      <c r="CB141" s="132" t="s">
        <v>71</v>
      </c>
      <c r="CC141" s="132" t="s">
        <v>60</v>
      </c>
      <c r="CD141" s="132" t="s">
        <v>71</v>
      </c>
      <c r="CE141" s="132" t="s">
        <v>60</v>
      </c>
      <c r="CF141" s="132" t="s">
        <v>71</v>
      </c>
      <c r="CG141" s="132" t="s">
        <v>60</v>
      </c>
      <c r="CH141" s="132" t="s">
        <v>71</v>
      </c>
      <c r="CI141" s="132" t="s">
        <v>60</v>
      </c>
      <c r="CJ141" s="132" t="s">
        <v>71</v>
      </c>
      <c r="CK141" s="132" t="s">
        <v>60</v>
      </c>
      <c r="CL141" s="132" t="s">
        <v>71</v>
      </c>
      <c r="CM141" s="132" t="s">
        <v>60</v>
      </c>
      <c r="CN141" s="132" t="s">
        <v>71</v>
      </c>
      <c r="CO141" s="132" t="s">
        <v>60</v>
      </c>
      <c r="CP141" s="132" t="s">
        <v>71</v>
      </c>
      <c r="CQ141" s="132" t="s">
        <v>60</v>
      </c>
      <c r="CR141" s="132" t="s">
        <v>71</v>
      </c>
      <c r="CS141" s="132" t="s">
        <v>60</v>
      </c>
      <c r="CT141" s="132" t="s">
        <v>71</v>
      </c>
      <c r="CU141" s="132" t="s">
        <v>60</v>
      </c>
      <c r="CV141" s="132" t="s">
        <v>71</v>
      </c>
      <c r="CW141" s="132" t="s">
        <v>60</v>
      </c>
      <c r="CX141" s="132" t="s">
        <v>71</v>
      </c>
      <c r="CY141" s="132" t="s">
        <v>60</v>
      </c>
      <c r="CZ141" s="132" t="s">
        <v>71</v>
      </c>
      <c r="DA141" s="132" t="s">
        <v>60</v>
      </c>
      <c r="DB141" s="132" t="s">
        <v>71</v>
      </c>
      <c r="DC141" s="132" t="s">
        <v>60</v>
      </c>
      <c r="DD141" s="132" t="s">
        <v>71</v>
      </c>
      <c r="DE141" s="137" t="str">
        <f t="shared" si="50"/>
        <v>FETAL</v>
      </c>
      <c r="DF141" s="137">
        <f t="shared" si="46"/>
        <v>0</v>
      </c>
    </row>
    <row r="142" spans="1:110" x14ac:dyDescent="0.2">
      <c r="A142" s="160"/>
      <c r="B142" s="5">
        <f t="shared" si="42"/>
        <v>140</v>
      </c>
      <c r="C142" s="131" t="str">
        <f t="shared" si="52"/>
        <v>CNS176</v>
      </c>
      <c r="D142" s="135" t="s">
        <v>274</v>
      </c>
      <c r="E142" s="131" t="str">
        <f t="shared" si="48"/>
        <v>CNS176_CONTROL</v>
      </c>
      <c r="F142" s="131"/>
      <c r="G142" s="130">
        <f t="shared" si="51"/>
        <v>176</v>
      </c>
      <c r="H142" s="131"/>
      <c r="I142" s="131"/>
      <c r="J142" s="132" t="s">
        <v>25</v>
      </c>
      <c r="K142" s="132" t="s">
        <v>177</v>
      </c>
      <c r="L142" s="132" t="s">
        <v>301</v>
      </c>
      <c r="M142" s="131" t="s">
        <v>81</v>
      </c>
      <c r="N142" s="131" t="s">
        <v>81</v>
      </c>
      <c r="O142" s="131" t="s">
        <v>81</v>
      </c>
      <c r="P142" s="131" t="s">
        <v>311</v>
      </c>
      <c r="Q142" s="131" t="s">
        <v>81</v>
      </c>
      <c r="R142" s="131" t="s">
        <v>89</v>
      </c>
      <c r="S142" s="131" t="s">
        <v>297</v>
      </c>
      <c r="T142" s="131"/>
      <c r="U142" s="132" t="s">
        <v>81</v>
      </c>
      <c r="V142" s="132" t="s">
        <v>172</v>
      </c>
      <c r="W142" s="132"/>
      <c r="X142" s="132"/>
      <c r="Y142" s="133">
        <v>0</v>
      </c>
      <c r="Z142" s="133">
        <v>20</v>
      </c>
      <c r="AA142" s="132" t="s">
        <v>71</v>
      </c>
      <c r="AB142" s="132" t="s">
        <v>60</v>
      </c>
      <c r="AC142" s="132" t="s">
        <v>60</v>
      </c>
      <c r="AD142" s="132" t="s">
        <v>71</v>
      </c>
      <c r="AE142" s="132" t="s">
        <v>71</v>
      </c>
      <c r="AF142" s="134" t="s">
        <v>68</v>
      </c>
      <c r="AG142" s="132" t="s">
        <v>81</v>
      </c>
      <c r="AH142" s="132" t="s">
        <v>71</v>
      </c>
      <c r="AI142" s="132" t="s">
        <v>60</v>
      </c>
      <c r="AJ142" s="132" t="s">
        <v>71</v>
      </c>
      <c r="AK142" s="132" t="s">
        <v>60</v>
      </c>
      <c r="AL142" s="132" t="s">
        <v>60</v>
      </c>
      <c r="AM142" s="132" t="s">
        <v>60</v>
      </c>
      <c r="AN142" s="132" t="s">
        <v>60</v>
      </c>
      <c r="AO142" s="132" t="s">
        <v>71</v>
      </c>
      <c r="AP142" s="132" t="s">
        <v>71</v>
      </c>
      <c r="AQ142" s="132" t="s">
        <v>71</v>
      </c>
      <c r="AR142" s="132" t="s">
        <v>71</v>
      </c>
      <c r="AS142" s="132" t="s">
        <v>71</v>
      </c>
      <c r="AT142" s="132" t="s">
        <v>71</v>
      </c>
      <c r="AU142" s="132" t="s">
        <v>71</v>
      </c>
      <c r="AV142" s="132" t="s">
        <v>71</v>
      </c>
      <c r="AW142" s="132" t="s">
        <v>71</v>
      </c>
      <c r="AX142" s="132" t="s">
        <v>71</v>
      </c>
      <c r="AY142" s="132" t="s">
        <v>71</v>
      </c>
      <c r="AZ142" s="132" t="s">
        <v>71</v>
      </c>
      <c r="BA142" s="132" t="s">
        <v>71</v>
      </c>
      <c r="BB142" s="132" t="s">
        <v>71</v>
      </c>
      <c r="BC142" s="132" t="s">
        <v>71</v>
      </c>
      <c r="BD142" s="132" t="s">
        <v>71</v>
      </c>
      <c r="BE142" s="132" t="s">
        <v>71</v>
      </c>
      <c r="BF142" s="132" t="s">
        <v>71</v>
      </c>
      <c r="BG142" s="132" t="s">
        <v>71</v>
      </c>
      <c r="BH142" s="132" t="s">
        <v>71</v>
      </c>
      <c r="BI142" s="132" t="s">
        <v>71</v>
      </c>
      <c r="BJ142" s="132" t="s">
        <v>71</v>
      </c>
      <c r="BK142" s="132" t="s">
        <v>71</v>
      </c>
      <c r="BL142" s="132" t="s">
        <v>71</v>
      </c>
      <c r="BM142" s="132" t="s">
        <v>71</v>
      </c>
      <c r="BN142" s="132" t="s">
        <v>71</v>
      </c>
      <c r="BO142" s="132" t="s">
        <v>71</v>
      </c>
      <c r="BP142" s="132" t="s">
        <v>71</v>
      </c>
      <c r="BQ142" s="132" t="s">
        <v>71</v>
      </c>
      <c r="BR142" s="132" t="s">
        <v>71</v>
      </c>
      <c r="BS142" s="132" t="s">
        <v>71</v>
      </c>
      <c r="BT142" s="132" t="s">
        <v>71</v>
      </c>
      <c r="BU142" s="132" t="s">
        <v>60</v>
      </c>
      <c r="BV142" s="132" t="s">
        <v>71</v>
      </c>
      <c r="BW142" s="132" t="s">
        <v>60</v>
      </c>
      <c r="BX142" s="132" t="s">
        <v>71</v>
      </c>
      <c r="BY142" s="132" t="s">
        <v>60</v>
      </c>
      <c r="BZ142" s="132" t="s">
        <v>71</v>
      </c>
      <c r="CA142" s="132" t="s">
        <v>60</v>
      </c>
      <c r="CB142" s="132" t="s">
        <v>71</v>
      </c>
      <c r="CC142" s="132" t="s">
        <v>60</v>
      </c>
      <c r="CD142" s="132" t="s">
        <v>71</v>
      </c>
      <c r="CE142" s="132" t="s">
        <v>60</v>
      </c>
      <c r="CF142" s="132" t="s">
        <v>71</v>
      </c>
      <c r="CG142" s="132" t="s">
        <v>60</v>
      </c>
      <c r="CH142" s="132" t="s">
        <v>71</v>
      </c>
      <c r="CI142" s="132" t="s">
        <v>60</v>
      </c>
      <c r="CJ142" s="132" t="s">
        <v>71</v>
      </c>
      <c r="CK142" s="132" t="s">
        <v>60</v>
      </c>
      <c r="CL142" s="132" t="s">
        <v>71</v>
      </c>
      <c r="CM142" s="132" t="s">
        <v>60</v>
      </c>
      <c r="CN142" s="132" t="s">
        <v>71</v>
      </c>
      <c r="CO142" s="132" t="s">
        <v>60</v>
      </c>
      <c r="CP142" s="132" t="s">
        <v>71</v>
      </c>
      <c r="CQ142" s="132" t="s">
        <v>60</v>
      </c>
      <c r="CR142" s="132" t="s">
        <v>71</v>
      </c>
      <c r="CS142" s="132" t="s">
        <v>60</v>
      </c>
      <c r="CT142" s="132" t="s">
        <v>71</v>
      </c>
      <c r="CU142" s="132" t="s">
        <v>60</v>
      </c>
      <c r="CV142" s="132" t="s">
        <v>71</v>
      </c>
      <c r="CW142" s="132" t="s">
        <v>60</v>
      </c>
      <c r="CX142" s="132" t="s">
        <v>71</v>
      </c>
      <c r="CY142" s="132" t="s">
        <v>60</v>
      </c>
      <c r="CZ142" s="132" t="s">
        <v>71</v>
      </c>
      <c r="DA142" s="132" t="s">
        <v>60</v>
      </c>
      <c r="DB142" s="132" t="s">
        <v>71</v>
      </c>
      <c r="DC142" s="132" t="s">
        <v>60</v>
      </c>
      <c r="DD142" s="132" t="s">
        <v>71</v>
      </c>
      <c r="DE142" s="137" t="str">
        <f t="shared" si="50"/>
        <v>FETAL</v>
      </c>
      <c r="DF142" s="137">
        <f t="shared" si="46"/>
        <v>0</v>
      </c>
    </row>
    <row r="143" spans="1:110" x14ac:dyDescent="0.2">
      <c r="A143" s="160"/>
      <c r="B143" s="5">
        <f t="shared" si="42"/>
        <v>141</v>
      </c>
      <c r="C143" s="131" t="str">
        <f t="shared" si="52"/>
        <v>CNS177</v>
      </c>
      <c r="D143" s="135" t="s">
        <v>275</v>
      </c>
      <c r="E143" s="131" t="str">
        <f t="shared" si="48"/>
        <v>CNS177_CONTROL</v>
      </c>
      <c r="F143" s="131"/>
      <c r="G143" s="130">
        <f t="shared" si="51"/>
        <v>177</v>
      </c>
      <c r="H143" s="131"/>
      <c r="I143" s="131"/>
      <c r="J143" s="132" t="s">
        <v>24</v>
      </c>
      <c r="K143" s="132" t="s">
        <v>177</v>
      </c>
      <c r="L143" s="132" t="s">
        <v>301</v>
      </c>
      <c r="M143" s="131" t="s">
        <v>81</v>
      </c>
      <c r="N143" s="131" t="s">
        <v>81</v>
      </c>
      <c r="O143" s="131" t="s">
        <v>81</v>
      </c>
      <c r="P143" s="131" t="s">
        <v>311</v>
      </c>
      <c r="Q143" s="131" t="s">
        <v>81</v>
      </c>
      <c r="R143" s="131" t="s">
        <v>89</v>
      </c>
      <c r="S143" s="131" t="s">
        <v>297</v>
      </c>
      <c r="T143" s="131"/>
      <c r="U143" s="132" t="s">
        <v>81</v>
      </c>
      <c r="V143" s="132" t="s">
        <v>172</v>
      </c>
      <c r="W143" s="132"/>
      <c r="X143" s="132"/>
      <c r="Y143" s="133">
        <v>0</v>
      </c>
      <c r="Z143" s="133">
        <v>16</v>
      </c>
      <c r="AA143" s="132" t="s">
        <v>71</v>
      </c>
      <c r="AB143" s="132" t="s">
        <v>60</v>
      </c>
      <c r="AC143" s="132" t="s">
        <v>60</v>
      </c>
      <c r="AD143" s="132" t="s">
        <v>71</v>
      </c>
      <c r="AE143" s="132" t="s">
        <v>71</v>
      </c>
      <c r="AF143" s="134" t="s">
        <v>68</v>
      </c>
      <c r="AG143" s="132" t="s">
        <v>81</v>
      </c>
      <c r="AH143" s="132" t="s">
        <v>71</v>
      </c>
      <c r="AI143" s="132" t="s">
        <v>60</v>
      </c>
      <c r="AJ143" s="132" t="s">
        <v>71</v>
      </c>
      <c r="AK143" s="132" t="s">
        <v>60</v>
      </c>
      <c r="AL143" s="132" t="s">
        <v>60</v>
      </c>
      <c r="AM143" s="132" t="s">
        <v>60</v>
      </c>
      <c r="AN143" s="132" t="s">
        <v>60</v>
      </c>
      <c r="AO143" s="132" t="s">
        <v>71</v>
      </c>
      <c r="AP143" s="132" t="s">
        <v>71</v>
      </c>
      <c r="AQ143" s="132" t="s">
        <v>71</v>
      </c>
      <c r="AR143" s="132" t="s">
        <v>71</v>
      </c>
      <c r="AS143" s="132" t="s">
        <v>71</v>
      </c>
      <c r="AT143" s="132" t="s">
        <v>71</v>
      </c>
      <c r="AU143" s="132" t="s">
        <v>71</v>
      </c>
      <c r="AV143" s="132" t="s">
        <v>71</v>
      </c>
      <c r="AW143" s="132" t="s">
        <v>71</v>
      </c>
      <c r="AX143" s="132" t="s">
        <v>71</v>
      </c>
      <c r="AY143" s="132" t="s">
        <v>71</v>
      </c>
      <c r="AZ143" s="132" t="s">
        <v>71</v>
      </c>
      <c r="BA143" s="132" t="s">
        <v>71</v>
      </c>
      <c r="BB143" s="132" t="s">
        <v>71</v>
      </c>
      <c r="BC143" s="132" t="s">
        <v>71</v>
      </c>
      <c r="BD143" s="132" t="s">
        <v>71</v>
      </c>
      <c r="BE143" s="132" t="s">
        <v>71</v>
      </c>
      <c r="BF143" s="132" t="s">
        <v>71</v>
      </c>
      <c r="BG143" s="132" t="s">
        <v>71</v>
      </c>
      <c r="BH143" s="132" t="s">
        <v>71</v>
      </c>
      <c r="BI143" s="132" t="s">
        <v>71</v>
      </c>
      <c r="BJ143" s="132" t="s">
        <v>71</v>
      </c>
      <c r="BK143" s="132" t="s">
        <v>71</v>
      </c>
      <c r="BL143" s="132" t="s">
        <v>71</v>
      </c>
      <c r="BM143" s="132" t="s">
        <v>71</v>
      </c>
      <c r="BN143" s="132" t="s">
        <v>71</v>
      </c>
      <c r="BO143" s="132" t="s">
        <v>71</v>
      </c>
      <c r="BP143" s="132" t="s">
        <v>71</v>
      </c>
      <c r="BQ143" s="132" t="s">
        <v>71</v>
      </c>
      <c r="BR143" s="132" t="s">
        <v>71</v>
      </c>
      <c r="BS143" s="132" t="s">
        <v>71</v>
      </c>
      <c r="BT143" s="132" t="s">
        <v>71</v>
      </c>
      <c r="BU143" s="132" t="s">
        <v>60</v>
      </c>
      <c r="BV143" s="132" t="s">
        <v>71</v>
      </c>
      <c r="BW143" s="132" t="s">
        <v>60</v>
      </c>
      <c r="BX143" s="132" t="s">
        <v>71</v>
      </c>
      <c r="BY143" s="132" t="s">
        <v>60</v>
      </c>
      <c r="BZ143" s="132" t="s">
        <v>71</v>
      </c>
      <c r="CA143" s="132" t="s">
        <v>60</v>
      </c>
      <c r="CB143" s="132" t="s">
        <v>71</v>
      </c>
      <c r="CC143" s="132" t="s">
        <v>60</v>
      </c>
      <c r="CD143" s="132" t="s">
        <v>71</v>
      </c>
      <c r="CE143" s="132" t="s">
        <v>60</v>
      </c>
      <c r="CF143" s="132" t="s">
        <v>71</v>
      </c>
      <c r="CG143" s="132" t="s">
        <v>60</v>
      </c>
      <c r="CH143" s="132" t="s">
        <v>71</v>
      </c>
      <c r="CI143" s="132" t="s">
        <v>60</v>
      </c>
      <c r="CJ143" s="132" t="s">
        <v>71</v>
      </c>
      <c r="CK143" s="132" t="s">
        <v>60</v>
      </c>
      <c r="CL143" s="132" t="s">
        <v>71</v>
      </c>
      <c r="CM143" s="132" t="s">
        <v>60</v>
      </c>
      <c r="CN143" s="132" t="s">
        <v>71</v>
      </c>
      <c r="CO143" s="132" t="s">
        <v>60</v>
      </c>
      <c r="CP143" s="132" t="s">
        <v>71</v>
      </c>
      <c r="CQ143" s="132" t="s">
        <v>60</v>
      </c>
      <c r="CR143" s="132" t="s">
        <v>71</v>
      </c>
      <c r="CS143" s="132" t="s">
        <v>60</v>
      </c>
      <c r="CT143" s="132" t="s">
        <v>71</v>
      </c>
      <c r="CU143" s="132" t="s">
        <v>60</v>
      </c>
      <c r="CV143" s="132" t="s">
        <v>71</v>
      </c>
      <c r="CW143" s="132" t="s">
        <v>60</v>
      </c>
      <c r="CX143" s="132" t="s">
        <v>71</v>
      </c>
      <c r="CY143" s="132" t="s">
        <v>60</v>
      </c>
      <c r="CZ143" s="132" t="s">
        <v>71</v>
      </c>
      <c r="DA143" s="132" t="s">
        <v>60</v>
      </c>
      <c r="DB143" s="132" t="s">
        <v>71</v>
      </c>
      <c r="DC143" s="132" t="s">
        <v>60</v>
      </c>
      <c r="DD143" s="132" t="s">
        <v>71</v>
      </c>
      <c r="DE143" s="137" t="str">
        <f t="shared" si="50"/>
        <v>FETAL</v>
      </c>
      <c r="DF143" s="137">
        <f t="shared" si="46"/>
        <v>0</v>
      </c>
    </row>
    <row r="144" spans="1:110" x14ac:dyDescent="0.2">
      <c r="A144" s="160"/>
      <c r="B144" s="5">
        <f t="shared" si="42"/>
        <v>142</v>
      </c>
      <c r="C144" s="131" t="str">
        <f t="shared" si="52"/>
        <v>CNS178</v>
      </c>
      <c r="D144" s="135" t="s">
        <v>276</v>
      </c>
      <c r="E144" s="131" t="str">
        <f t="shared" si="48"/>
        <v>CNS178_CONTROL</v>
      </c>
      <c r="F144" s="131"/>
      <c r="G144" s="130">
        <f t="shared" si="51"/>
        <v>178</v>
      </c>
      <c r="H144" s="131"/>
      <c r="I144" s="131"/>
      <c r="J144" s="132" t="s">
        <v>24</v>
      </c>
      <c r="K144" s="132" t="s">
        <v>177</v>
      </c>
      <c r="L144" s="132" t="s">
        <v>301</v>
      </c>
      <c r="M144" s="131" t="s">
        <v>81</v>
      </c>
      <c r="N144" s="131" t="s">
        <v>81</v>
      </c>
      <c r="O144" s="131" t="s">
        <v>81</v>
      </c>
      <c r="P144" s="131" t="s">
        <v>311</v>
      </c>
      <c r="Q144" s="131" t="s">
        <v>81</v>
      </c>
      <c r="R144" s="131" t="s">
        <v>89</v>
      </c>
      <c r="S144" s="131" t="s">
        <v>297</v>
      </c>
      <c r="T144" s="131"/>
      <c r="U144" s="132" t="s">
        <v>81</v>
      </c>
      <c r="V144" s="132" t="s">
        <v>172</v>
      </c>
      <c r="W144" s="132"/>
      <c r="X144" s="132"/>
      <c r="Y144" s="133">
        <v>0</v>
      </c>
      <c r="Z144" s="133">
        <v>19</v>
      </c>
      <c r="AA144" s="132" t="s">
        <v>71</v>
      </c>
      <c r="AB144" s="132" t="s">
        <v>60</v>
      </c>
      <c r="AC144" s="132" t="s">
        <v>60</v>
      </c>
      <c r="AD144" s="132" t="s">
        <v>71</v>
      </c>
      <c r="AE144" s="132" t="s">
        <v>71</v>
      </c>
      <c r="AF144" s="134" t="s">
        <v>68</v>
      </c>
      <c r="AG144" s="132" t="s">
        <v>81</v>
      </c>
      <c r="AH144" s="132" t="s">
        <v>71</v>
      </c>
      <c r="AI144" s="132" t="s">
        <v>60</v>
      </c>
      <c r="AJ144" s="132" t="s">
        <v>71</v>
      </c>
      <c r="AK144" s="132" t="s">
        <v>60</v>
      </c>
      <c r="AL144" s="132" t="s">
        <v>60</v>
      </c>
      <c r="AM144" s="132" t="s">
        <v>60</v>
      </c>
      <c r="AN144" s="132" t="s">
        <v>60</v>
      </c>
      <c r="AO144" s="132" t="s">
        <v>71</v>
      </c>
      <c r="AP144" s="132" t="s">
        <v>71</v>
      </c>
      <c r="AQ144" s="132" t="s">
        <v>71</v>
      </c>
      <c r="AR144" s="132" t="s">
        <v>71</v>
      </c>
      <c r="AS144" s="132" t="s">
        <v>71</v>
      </c>
      <c r="AT144" s="132" t="s">
        <v>71</v>
      </c>
      <c r="AU144" s="132" t="s">
        <v>71</v>
      </c>
      <c r="AV144" s="132" t="s">
        <v>71</v>
      </c>
      <c r="AW144" s="132" t="s">
        <v>71</v>
      </c>
      <c r="AX144" s="132" t="s">
        <v>71</v>
      </c>
      <c r="AY144" s="132" t="s">
        <v>71</v>
      </c>
      <c r="AZ144" s="132" t="s">
        <v>71</v>
      </c>
      <c r="BA144" s="132" t="s">
        <v>71</v>
      </c>
      <c r="BB144" s="132" t="s">
        <v>71</v>
      </c>
      <c r="BC144" s="132" t="s">
        <v>71</v>
      </c>
      <c r="BD144" s="132" t="s">
        <v>71</v>
      </c>
      <c r="BE144" s="132" t="s">
        <v>71</v>
      </c>
      <c r="BF144" s="132" t="s">
        <v>71</v>
      </c>
      <c r="BG144" s="132" t="s">
        <v>71</v>
      </c>
      <c r="BH144" s="132" t="s">
        <v>71</v>
      </c>
      <c r="BI144" s="132" t="s">
        <v>71</v>
      </c>
      <c r="BJ144" s="132" t="s">
        <v>71</v>
      </c>
      <c r="BK144" s="132" t="s">
        <v>71</v>
      </c>
      <c r="BL144" s="132" t="s">
        <v>71</v>
      </c>
      <c r="BM144" s="132" t="s">
        <v>71</v>
      </c>
      <c r="BN144" s="132" t="s">
        <v>71</v>
      </c>
      <c r="BO144" s="132" t="s">
        <v>71</v>
      </c>
      <c r="BP144" s="132" t="s">
        <v>71</v>
      </c>
      <c r="BQ144" s="132" t="s">
        <v>71</v>
      </c>
      <c r="BR144" s="132" t="s">
        <v>71</v>
      </c>
      <c r="BS144" s="132" t="s">
        <v>71</v>
      </c>
      <c r="BT144" s="132" t="s">
        <v>71</v>
      </c>
      <c r="BU144" s="132" t="s">
        <v>60</v>
      </c>
      <c r="BV144" s="132" t="s">
        <v>71</v>
      </c>
      <c r="BW144" s="132" t="s">
        <v>60</v>
      </c>
      <c r="BX144" s="132" t="s">
        <v>71</v>
      </c>
      <c r="BY144" s="132" t="s">
        <v>60</v>
      </c>
      <c r="BZ144" s="132" t="s">
        <v>71</v>
      </c>
      <c r="CA144" s="132" t="s">
        <v>60</v>
      </c>
      <c r="CB144" s="132" t="s">
        <v>71</v>
      </c>
      <c r="CC144" s="132" t="s">
        <v>60</v>
      </c>
      <c r="CD144" s="132" t="s">
        <v>71</v>
      </c>
      <c r="CE144" s="132" t="s">
        <v>60</v>
      </c>
      <c r="CF144" s="132" t="s">
        <v>71</v>
      </c>
      <c r="CG144" s="132" t="s">
        <v>60</v>
      </c>
      <c r="CH144" s="132" t="s">
        <v>71</v>
      </c>
      <c r="CI144" s="132" t="s">
        <v>60</v>
      </c>
      <c r="CJ144" s="132" t="s">
        <v>71</v>
      </c>
      <c r="CK144" s="132" t="s">
        <v>60</v>
      </c>
      <c r="CL144" s="132" t="s">
        <v>71</v>
      </c>
      <c r="CM144" s="132" t="s">
        <v>60</v>
      </c>
      <c r="CN144" s="132" t="s">
        <v>71</v>
      </c>
      <c r="CO144" s="132" t="s">
        <v>60</v>
      </c>
      <c r="CP144" s="132" t="s">
        <v>71</v>
      </c>
      <c r="CQ144" s="132" t="s">
        <v>60</v>
      </c>
      <c r="CR144" s="132" t="s">
        <v>71</v>
      </c>
      <c r="CS144" s="132" t="s">
        <v>60</v>
      </c>
      <c r="CT144" s="132" t="s">
        <v>71</v>
      </c>
      <c r="CU144" s="132" t="s">
        <v>60</v>
      </c>
      <c r="CV144" s="132" t="s">
        <v>71</v>
      </c>
      <c r="CW144" s="132" t="s">
        <v>60</v>
      </c>
      <c r="CX144" s="132" t="s">
        <v>71</v>
      </c>
      <c r="CY144" s="132" t="s">
        <v>60</v>
      </c>
      <c r="CZ144" s="132" t="s">
        <v>71</v>
      </c>
      <c r="DA144" s="132" t="s">
        <v>60</v>
      </c>
      <c r="DB144" s="132" t="s">
        <v>71</v>
      </c>
      <c r="DC144" s="132" t="s">
        <v>60</v>
      </c>
      <c r="DD144" s="132" t="s">
        <v>71</v>
      </c>
      <c r="DE144" s="137" t="str">
        <f t="shared" si="50"/>
        <v>FETAL</v>
      </c>
      <c r="DF144" s="137">
        <f t="shared" si="46"/>
        <v>0</v>
      </c>
    </row>
    <row r="145" spans="1:110" x14ac:dyDescent="0.2">
      <c r="A145" s="160"/>
      <c r="B145" s="5">
        <f t="shared" si="42"/>
        <v>143</v>
      </c>
      <c r="C145" s="131" t="str">
        <f t="shared" si="52"/>
        <v>CNS179</v>
      </c>
      <c r="D145" s="135" t="s">
        <v>277</v>
      </c>
      <c r="E145" s="131" t="str">
        <f t="shared" si="48"/>
        <v>CNS179_CONTROL</v>
      </c>
      <c r="F145" s="131"/>
      <c r="G145" s="130">
        <f t="shared" si="51"/>
        <v>179</v>
      </c>
      <c r="H145" s="131"/>
      <c r="I145" s="131"/>
      <c r="J145" s="132" t="s">
        <v>24</v>
      </c>
      <c r="K145" s="132" t="s">
        <v>177</v>
      </c>
      <c r="L145" s="132" t="s">
        <v>301</v>
      </c>
      <c r="M145" s="131" t="s">
        <v>81</v>
      </c>
      <c r="N145" s="131" t="s">
        <v>81</v>
      </c>
      <c r="O145" s="131" t="s">
        <v>81</v>
      </c>
      <c r="P145" s="131" t="s">
        <v>311</v>
      </c>
      <c r="Q145" s="131" t="s">
        <v>81</v>
      </c>
      <c r="R145" s="131" t="s">
        <v>89</v>
      </c>
      <c r="S145" s="131" t="s">
        <v>297</v>
      </c>
      <c r="T145" s="131"/>
      <c r="U145" s="132" t="s">
        <v>81</v>
      </c>
      <c r="V145" s="132" t="s">
        <v>172</v>
      </c>
      <c r="W145" s="132"/>
      <c r="X145" s="132"/>
      <c r="Y145" s="133">
        <v>0</v>
      </c>
      <c r="Z145" s="133">
        <v>19</v>
      </c>
      <c r="AA145" s="132" t="s">
        <v>71</v>
      </c>
      <c r="AB145" s="132" t="s">
        <v>60</v>
      </c>
      <c r="AC145" s="132" t="s">
        <v>60</v>
      </c>
      <c r="AD145" s="132" t="s">
        <v>71</v>
      </c>
      <c r="AE145" s="132" t="s">
        <v>71</v>
      </c>
      <c r="AF145" s="134" t="s">
        <v>68</v>
      </c>
      <c r="AG145" s="132" t="s">
        <v>81</v>
      </c>
      <c r="AH145" s="132" t="s">
        <v>71</v>
      </c>
      <c r="AI145" s="132" t="s">
        <v>60</v>
      </c>
      <c r="AJ145" s="132" t="s">
        <v>71</v>
      </c>
      <c r="AK145" s="132" t="s">
        <v>60</v>
      </c>
      <c r="AL145" s="132" t="s">
        <v>60</v>
      </c>
      <c r="AM145" s="132" t="s">
        <v>60</v>
      </c>
      <c r="AN145" s="132" t="s">
        <v>60</v>
      </c>
      <c r="AO145" s="132" t="s">
        <v>71</v>
      </c>
      <c r="AP145" s="132" t="s">
        <v>71</v>
      </c>
      <c r="AQ145" s="132" t="s">
        <v>71</v>
      </c>
      <c r="AR145" s="132" t="s">
        <v>71</v>
      </c>
      <c r="AS145" s="132" t="s">
        <v>71</v>
      </c>
      <c r="AT145" s="132" t="s">
        <v>71</v>
      </c>
      <c r="AU145" s="132" t="s">
        <v>71</v>
      </c>
      <c r="AV145" s="132" t="s">
        <v>71</v>
      </c>
      <c r="AW145" s="132" t="s">
        <v>71</v>
      </c>
      <c r="AX145" s="132" t="s">
        <v>71</v>
      </c>
      <c r="AY145" s="132" t="s">
        <v>71</v>
      </c>
      <c r="AZ145" s="132" t="s">
        <v>71</v>
      </c>
      <c r="BA145" s="132" t="s">
        <v>71</v>
      </c>
      <c r="BB145" s="132" t="s">
        <v>71</v>
      </c>
      <c r="BC145" s="132" t="s">
        <v>71</v>
      </c>
      <c r="BD145" s="132" t="s">
        <v>71</v>
      </c>
      <c r="BE145" s="132" t="s">
        <v>71</v>
      </c>
      <c r="BF145" s="132" t="s">
        <v>71</v>
      </c>
      <c r="BG145" s="132" t="s">
        <v>71</v>
      </c>
      <c r="BH145" s="132" t="s">
        <v>71</v>
      </c>
      <c r="BI145" s="132" t="s">
        <v>71</v>
      </c>
      <c r="BJ145" s="132" t="s">
        <v>71</v>
      </c>
      <c r="BK145" s="132" t="s">
        <v>71</v>
      </c>
      <c r="BL145" s="132" t="s">
        <v>71</v>
      </c>
      <c r="BM145" s="132" t="s">
        <v>71</v>
      </c>
      <c r="BN145" s="132" t="s">
        <v>71</v>
      </c>
      <c r="BO145" s="132" t="s">
        <v>71</v>
      </c>
      <c r="BP145" s="132" t="s">
        <v>71</v>
      </c>
      <c r="BQ145" s="132" t="s">
        <v>71</v>
      </c>
      <c r="BR145" s="132" t="s">
        <v>71</v>
      </c>
      <c r="BS145" s="132" t="s">
        <v>71</v>
      </c>
      <c r="BT145" s="132" t="s">
        <v>71</v>
      </c>
      <c r="BU145" s="132" t="s">
        <v>60</v>
      </c>
      <c r="BV145" s="132" t="s">
        <v>71</v>
      </c>
      <c r="BW145" s="132" t="s">
        <v>60</v>
      </c>
      <c r="BX145" s="132" t="s">
        <v>71</v>
      </c>
      <c r="BY145" s="132" t="s">
        <v>60</v>
      </c>
      <c r="BZ145" s="132" t="s">
        <v>71</v>
      </c>
      <c r="CA145" s="132" t="s">
        <v>60</v>
      </c>
      <c r="CB145" s="132" t="s">
        <v>71</v>
      </c>
      <c r="CC145" s="132" t="s">
        <v>60</v>
      </c>
      <c r="CD145" s="132" t="s">
        <v>71</v>
      </c>
      <c r="CE145" s="132" t="s">
        <v>60</v>
      </c>
      <c r="CF145" s="132" t="s">
        <v>71</v>
      </c>
      <c r="CG145" s="132" t="s">
        <v>60</v>
      </c>
      <c r="CH145" s="132" t="s">
        <v>71</v>
      </c>
      <c r="CI145" s="132" t="s">
        <v>60</v>
      </c>
      <c r="CJ145" s="132" t="s">
        <v>71</v>
      </c>
      <c r="CK145" s="132" t="s">
        <v>60</v>
      </c>
      <c r="CL145" s="132" t="s">
        <v>71</v>
      </c>
      <c r="CM145" s="132" t="s">
        <v>60</v>
      </c>
      <c r="CN145" s="132" t="s">
        <v>71</v>
      </c>
      <c r="CO145" s="132" t="s">
        <v>60</v>
      </c>
      <c r="CP145" s="132" t="s">
        <v>71</v>
      </c>
      <c r="CQ145" s="132" t="s">
        <v>60</v>
      </c>
      <c r="CR145" s="132" t="s">
        <v>71</v>
      </c>
      <c r="CS145" s="132" t="s">
        <v>60</v>
      </c>
      <c r="CT145" s="132" t="s">
        <v>71</v>
      </c>
      <c r="CU145" s="132" t="s">
        <v>60</v>
      </c>
      <c r="CV145" s="132" t="s">
        <v>71</v>
      </c>
      <c r="CW145" s="132" t="s">
        <v>60</v>
      </c>
      <c r="CX145" s="132" t="s">
        <v>71</v>
      </c>
      <c r="CY145" s="132" t="s">
        <v>60</v>
      </c>
      <c r="CZ145" s="132" t="s">
        <v>71</v>
      </c>
      <c r="DA145" s="132" t="s">
        <v>60</v>
      </c>
      <c r="DB145" s="132" t="s">
        <v>71</v>
      </c>
      <c r="DC145" s="132" t="s">
        <v>60</v>
      </c>
      <c r="DD145" s="132" t="s">
        <v>71</v>
      </c>
      <c r="DE145" s="137" t="str">
        <f t="shared" si="50"/>
        <v>FETAL</v>
      </c>
      <c r="DF145" s="137">
        <f t="shared" si="46"/>
        <v>0</v>
      </c>
    </row>
    <row r="146" spans="1:110" x14ac:dyDescent="0.2">
      <c r="A146" s="160"/>
      <c r="B146" s="5">
        <f t="shared" si="42"/>
        <v>144</v>
      </c>
      <c r="C146" s="131" t="str">
        <f t="shared" si="52"/>
        <v>CNS180</v>
      </c>
      <c r="D146" s="135" t="s">
        <v>278</v>
      </c>
      <c r="E146" s="131" t="str">
        <f t="shared" si="48"/>
        <v>CNS180_CONTROL</v>
      </c>
      <c r="F146" s="131"/>
      <c r="G146" s="130">
        <f t="shared" si="51"/>
        <v>180</v>
      </c>
      <c r="H146" s="131"/>
      <c r="I146" s="131"/>
      <c r="J146" s="132" t="s">
        <v>60</v>
      </c>
      <c r="K146" s="132" t="s">
        <v>177</v>
      </c>
      <c r="L146" s="132" t="s">
        <v>301</v>
      </c>
      <c r="M146" s="131" t="s">
        <v>81</v>
      </c>
      <c r="N146" s="131" t="s">
        <v>81</v>
      </c>
      <c r="O146" s="131" t="s">
        <v>81</v>
      </c>
      <c r="P146" s="131" t="s">
        <v>311</v>
      </c>
      <c r="Q146" s="131" t="s">
        <v>81</v>
      </c>
      <c r="R146" s="131" t="s">
        <v>89</v>
      </c>
      <c r="S146" s="131" t="s">
        <v>297</v>
      </c>
      <c r="T146" s="131"/>
      <c r="U146" s="132" t="s">
        <v>81</v>
      </c>
      <c r="V146" s="132" t="s">
        <v>172</v>
      </c>
      <c r="W146" s="132"/>
      <c r="X146" s="132"/>
      <c r="Y146" s="133">
        <v>0</v>
      </c>
      <c r="Z146" s="133">
        <v>20</v>
      </c>
      <c r="AA146" s="132" t="s">
        <v>71</v>
      </c>
      <c r="AB146" s="132" t="s">
        <v>60</v>
      </c>
      <c r="AC146" s="132" t="s">
        <v>60</v>
      </c>
      <c r="AD146" s="132" t="s">
        <v>71</v>
      </c>
      <c r="AE146" s="132" t="s">
        <v>71</v>
      </c>
      <c r="AF146" s="134" t="s">
        <v>68</v>
      </c>
      <c r="AG146" s="132" t="s">
        <v>81</v>
      </c>
      <c r="AH146" s="132" t="s">
        <v>71</v>
      </c>
      <c r="AI146" s="132" t="s">
        <v>60</v>
      </c>
      <c r="AJ146" s="132" t="s">
        <v>71</v>
      </c>
      <c r="AK146" s="132" t="s">
        <v>60</v>
      </c>
      <c r="AL146" s="132" t="s">
        <v>60</v>
      </c>
      <c r="AM146" s="132" t="s">
        <v>60</v>
      </c>
      <c r="AN146" s="132" t="s">
        <v>60</v>
      </c>
      <c r="AO146" s="132" t="s">
        <v>71</v>
      </c>
      <c r="AP146" s="132" t="s">
        <v>71</v>
      </c>
      <c r="AQ146" s="132" t="s">
        <v>71</v>
      </c>
      <c r="AR146" s="132" t="s">
        <v>71</v>
      </c>
      <c r="AS146" s="132" t="s">
        <v>71</v>
      </c>
      <c r="AT146" s="132" t="s">
        <v>71</v>
      </c>
      <c r="AU146" s="132" t="s">
        <v>71</v>
      </c>
      <c r="AV146" s="132" t="s">
        <v>71</v>
      </c>
      <c r="AW146" s="132" t="s">
        <v>71</v>
      </c>
      <c r="AX146" s="132" t="s">
        <v>71</v>
      </c>
      <c r="AY146" s="132" t="s">
        <v>71</v>
      </c>
      <c r="AZ146" s="132" t="s">
        <v>71</v>
      </c>
      <c r="BA146" s="132" t="s">
        <v>71</v>
      </c>
      <c r="BB146" s="132" t="s">
        <v>71</v>
      </c>
      <c r="BC146" s="132" t="s">
        <v>71</v>
      </c>
      <c r="BD146" s="132" t="s">
        <v>71</v>
      </c>
      <c r="BE146" s="132" t="s">
        <v>71</v>
      </c>
      <c r="BF146" s="132" t="s">
        <v>71</v>
      </c>
      <c r="BG146" s="132" t="s">
        <v>71</v>
      </c>
      <c r="BH146" s="132" t="s">
        <v>71</v>
      </c>
      <c r="BI146" s="132" t="s">
        <v>71</v>
      </c>
      <c r="BJ146" s="132" t="s">
        <v>71</v>
      </c>
      <c r="BK146" s="132" t="s">
        <v>71</v>
      </c>
      <c r="BL146" s="132" t="s">
        <v>71</v>
      </c>
      <c r="BM146" s="132" t="s">
        <v>71</v>
      </c>
      <c r="BN146" s="132" t="s">
        <v>71</v>
      </c>
      <c r="BO146" s="132" t="s">
        <v>71</v>
      </c>
      <c r="BP146" s="132" t="s">
        <v>71</v>
      </c>
      <c r="BQ146" s="132" t="s">
        <v>71</v>
      </c>
      <c r="BR146" s="132" t="s">
        <v>71</v>
      </c>
      <c r="BS146" s="132" t="s">
        <v>71</v>
      </c>
      <c r="BT146" s="132" t="s">
        <v>71</v>
      </c>
      <c r="BU146" s="132" t="s">
        <v>60</v>
      </c>
      <c r="BV146" s="132" t="s">
        <v>71</v>
      </c>
      <c r="BW146" s="132" t="s">
        <v>60</v>
      </c>
      <c r="BX146" s="132" t="s">
        <v>71</v>
      </c>
      <c r="BY146" s="132" t="s">
        <v>60</v>
      </c>
      <c r="BZ146" s="132" t="s">
        <v>71</v>
      </c>
      <c r="CA146" s="132" t="s">
        <v>60</v>
      </c>
      <c r="CB146" s="132" t="s">
        <v>71</v>
      </c>
      <c r="CC146" s="132" t="s">
        <v>60</v>
      </c>
      <c r="CD146" s="132" t="s">
        <v>71</v>
      </c>
      <c r="CE146" s="132" t="s">
        <v>60</v>
      </c>
      <c r="CF146" s="132" t="s">
        <v>71</v>
      </c>
      <c r="CG146" s="132" t="s">
        <v>60</v>
      </c>
      <c r="CH146" s="132" t="s">
        <v>71</v>
      </c>
      <c r="CI146" s="132" t="s">
        <v>60</v>
      </c>
      <c r="CJ146" s="132" t="s">
        <v>71</v>
      </c>
      <c r="CK146" s="132" t="s">
        <v>60</v>
      </c>
      <c r="CL146" s="132" t="s">
        <v>71</v>
      </c>
      <c r="CM146" s="132" t="s">
        <v>60</v>
      </c>
      <c r="CN146" s="132" t="s">
        <v>71</v>
      </c>
      <c r="CO146" s="132" t="s">
        <v>60</v>
      </c>
      <c r="CP146" s="132" t="s">
        <v>71</v>
      </c>
      <c r="CQ146" s="132" t="s">
        <v>60</v>
      </c>
      <c r="CR146" s="132" t="s">
        <v>71</v>
      </c>
      <c r="CS146" s="132" t="s">
        <v>60</v>
      </c>
      <c r="CT146" s="132" t="s">
        <v>71</v>
      </c>
      <c r="CU146" s="132" t="s">
        <v>60</v>
      </c>
      <c r="CV146" s="132" t="s">
        <v>71</v>
      </c>
      <c r="CW146" s="132" t="s">
        <v>60</v>
      </c>
      <c r="CX146" s="132" t="s">
        <v>71</v>
      </c>
      <c r="CY146" s="132" t="s">
        <v>60</v>
      </c>
      <c r="CZ146" s="132" t="s">
        <v>71</v>
      </c>
      <c r="DA146" s="132" t="s">
        <v>60</v>
      </c>
      <c r="DB146" s="132" t="s">
        <v>71</v>
      </c>
      <c r="DC146" s="132" t="s">
        <v>60</v>
      </c>
      <c r="DD146" s="132" t="s">
        <v>71</v>
      </c>
      <c r="DE146" s="137" t="str">
        <f t="shared" si="50"/>
        <v>FETAL</v>
      </c>
      <c r="DF146" s="137">
        <f t="shared" si="46"/>
        <v>0</v>
      </c>
    </row>
    <row r="147" spans="1:110" x14ac:dyDescent="0.2">
      <c r="A147" s="160"/>
      <c r="B147" s="5">
        <f t="shared" si="42"/>
        <v>145</v>
      </c>
      <c r="C147" s="131" t="str">
        <f t="shared" ref="C147:C153" si="53">CONCATENATE("CNS",G147)</f>
        <v>CNS181</v>
      </c>
      <c r="D147" s="135" t="s">
        <v>279</v>
      </c>
      <c r="E147" s="131" t="str">
        <f t="shared" si="48"/>
        <v>CNS181_CONTROL</v>
      </c>
      <c r="F147" s="131"/>
      <c r="G147" s="130">
        <f t="shared" si="51"/>
        <v>181</v>
      </c>
      <c r="H147" s="131"/>
      <c r="I147" s="131"/>
      <c r="J147" s="132" t="s">
        <v>25</v>
      </c>
      <c r="K147" s="132" t="s">
        <v>177</v>
      </c>
      <c r="L147" s="132" t="s">
        <v>301</v>
      </c>
      <c r="M147" s="131" t="s">
        <v>81</v>
      </c>
      <c r="N147" s="131" t="s">
        <v>81</v>
      </c>
      <c r="O147" s="131" t="s">
        <v>81</v>
      </c>
      <c r="P147" s="131" t="s">
        <v>309</v>
      </c>
      <c r="Q147" s="131" t="s">
        <v>81</v>
      </c>
      <c r="R147" s="131" t="s">
        <v>89</v>
      </c>
      <c r="S147" s="131" t="s">
        <v>297</v>
      </c>
      <c r="T147" s="131"/>
      <c r="U147" s="132" t="s">
        <v>81</v>
      </c>
      <c r="V147" s="132" t="s">
        <v>174</v>
      </c>
      <c r="W147" s="132"/>
      <c r="X147" s="132"/>
      <c r="Y147" s="133">
        <v>4.7479452054794518</v>
      </c>
      <c r="Z147" s="133">
        <f t="shared" ref="Z147:Z162" si="54">IF(ISERROR((Y147*12*4)+36),"NaN",(Y147*12*4)+36)</f>
        <v>263.90136986301366</v>
      </c>
      <c r="AA147" s="132" t="s">
        <v>71</v>
      </c>
      <c r="AB147" s="132" t="s">
        <v>60</v>
      </c>
      <c r="AC147" s="132" t="s">
        <v>60</v>
      </c>
      <c r="AD147" s="132" t="s">
        <v>71</v>
      </c>
      <c r="AE147" s="132" t="s">
        <v>71</v>
      </c>
      <c r="AF147" s="134" t="s">
        <v>68</v>
      </c>
      <c r="AG147" s="132" t="s">
        <v>81</v>
      </c>
      <c r="AH147" s="132" t="s">
        <v>71</v>
      </c>
      <c r="AI147" s="132" t="s">
        <v>60</v>
      </c>
      <c r="AJ147" s="132" t="s">
        <v>71</v>
      </c>
      <c r="AK147" s="132" t="s">
        <v>60</v>
      </c>
      <c r="AL147" s="132" t="s">
        <v>60</v>
      </c>
      <c r="AM147" s="132" t="s">
        <v>60</v>
      </c>
      <c r="AN147" s="132" t="s">
        <v>60</v>
      </c>
      <c r="AO147" s="132" t="s">
        <v>71</v>
      </c>
      <c r="AP147" s="132" t="s">
        <v>71</v>
      </c>
      <c r="AQ147" s="132" t="s">
        <v>71</v>
      </c>
      <c r="AR147" s="132" t="s">
        <v>71</v>
      </c>
      <c r="AS147" s="132" t="s">
        <v>71</v>
      </c>
      <c r="AT147" s="132" t="s">
        <v>71</v>
      </c>
      <c r="AU147" s="132" t="s">
        <v>71</v>
      </c>
      <c r="AV147" s="132" t="s">
        <v>71</v>
      </c>
      <c r="AW147" s="132" t="s">
        <v>71</v>
      </c>
      <c r="AX147" s="132" t="s">
        <v>71</v>
      </c>
      <c r="AY147" s="132" t="s">
        <v>71</v>
      </c>
      <c r="AZ147" s="132" t="s">
        <v>71</v>
      </c>
      <c r="BA147" s="132" t="s">
        <v>71</v>
      </c>
      <c r="BB147" s="132" t="s">
        <v>71</v>
      </c>
      <c r="BC147" s="132" t="s">
        <v>71</v>
      </c>
      <c r="BD147" s="132" t="s">
        <v>71</v>
      </c>
      <c r="BE147" s="132" t="s">
        <v>71</v>
      </c>
      <c r="BF147" s="132" t="s">
        <v>71</v>
      </c>
      <c r="BG147" s="132" t="s">
        <v>71</v>
      </c>
      <c r="BH147" s="132" t="s">
        <v>71</v>
      </c>
      <c r="BI147" s="132" t="s">
        <v>71</v>
      </c>
      <c r="BJ147" s="132" t="s">
        <v>71</v>
      </c>
      <c r="BK147" s="132" t="s">
        <v>71</v>
      </c>
      <c r="BL147" s="132" t="s">
        <v>71</v>
      </c>
      <c r="BM147" s="132" t="s">
        <v>71</v>
      </c>
      <c r="BN147" s="132" t="s">
        <v>71</v>
      </c>
      <c r="BO147" s="132" t="s">
        <v>71</v>
      </c>
      <c r="BP147" s="132" t="s">
        <v>71</v>
      </c>
      <c r="BQ147" s="132" t="s">
        <v>71</v>
      </c>
      <c r="BR147" s="132" t="s">
        <v>71</v>
      </c>
      <c r="BS147" s="132" t="s">
        <v>71</v>
      </c>
      <c r="BT147" s="132" t="s">
        <v>71</v>
      </c>
      <c r="BU147" s="132" t="s">
        <v>60</v>
      </c>
      <c r="BV147" s="132" t="s">
        <v>71</v>
      </c>
      <c r="BW147" s="132" t="s">
        <v>60</v>
      </c>
      <c r="BX147" s="132" t="s">
        <v>71</v>
      </c>
      <c r="BY147" s="132" t="s">
        <v>60</v>
      </c>
      <c r="BZ147" s="132" t="s">
        <v>71</v>
      </c>
      <c r="CA147" s="132" t="s">
        <v>60</v>
      </c>
      <c r="CB147" s="132" t="s">
        <v>71</v>
      </c>
      <c r="CC147" s="132" t="s">
        <v>60</v>
      </c>
      <c r="CD147" s="132" t="s">
        <v>71</v>
      </c>
      <c r="CE147" s="132" t="s">
        <v>60</v>
      </c>
      <c r="CF147" s="132" t="s">
        <v>71</v>
      </c>
      <c r="CG147" s="132" t="s">
        <v>60</v>
      </c>
      <c r="CH147" s="132" t="s">
        <v>71</v>
      </c>
      <c r="CI147" s="132" t="s">
        <v>60</v>
      </c>
      <c r="CJ147" s="132" t="s">
        <v>71</v>
      </c>
      <c r="CK147" s="132" t="s">
        <v>60</v>
      </c>
      <c r="CL147" s="132" t="s">
        <v>71</v>
      </c>
      <c r="CM147" s="132" t="s">
        <v>60</v>
      </c>
      <c r="CN147" s="132" t="s">
        <v>71</v>
      </c>
      <c r="CO147" s="132" t="s">
        <v>60</v>
      </c>
      <c r="CP147" s="132" t="s">
        <v>71</v>
      </c>
      <c r="CQ147" s="132" t="s">
        <v>60</v>
      </c>
      <c r="CR147" s="132" t="s">
        <v>71</v>
      </c>
      <c r="CS147" s="132" t="s">
        <v>60</v>
      </c>
      <c r="CT147" s="132" t="s">
        <v>71</v>
      </c>
      <c r="CU147" s="132" t="s">
        <v>60</v>
      </c>
      <c r="CV147" s="132" t="s">
        <v>71</v>
      </c>
      <c r="CW147" s="132" t="s">
        <v>60</v>
      </c>
      <c r="CX147" s="132" t="s">
        <v>71</v>
      </c>
      <c r="CY147" s="132" t="s">
        <v>60</v>
      </c>
      <c r="CZ147" s="132" t="s">
        <v>71</v>
      </c>
      <c r="DA147" s="132" t="s">
        <v>60</v>
      </c>
      <c r="DB147" s="132" t="s">
        <v>71</v>
      </c>
      <c r="DC147" s="132" t="s">
        <v>60</v>
      </c>
      <c r="DD147" s="132" t="s">
        <v>71</v>
      </c>
      <c r="DE147" s="137" t="str">
        <f t="shared" si="50"/>
        <v>3&lt;YEARS OLD&lt;9</v>
      </c>
      <c r="DF147" s="137">
        <f t="shared" si="46"/>
        <v>0</v>
      </c>
    </row>
    <row r="148" spans="1:110" x14ac:dyDescent="0.2">
      <c r="A148" s="160"/>
      <c r="B148" s="5">
        <f t="shared" si="42"/>
        <v>146</v>
      </c>
      <c r="C148" s="131" t="str">
        <f t="shared" si="53"/>
        <v>CNS182</v>
      </c>
      <c r="D148" s="135" t="s">
        <v>280</v>
      </c>
      <c r="E148" s="131" t="str">
        <f t="shared" si="48"/>
        <v>CNS182_CONTROL</v>
      </c>
      <c r="F148" s="131"/>
      <c r="G148" s="130">
        <f t="shared" si="51"/>
        <v>182</v>
      </c>
      <c r="H148" s="131"/>
      <c r="I148" s="131"/>
      <c r="J148" s="132" t="s">
        <v>25</v>
      </c>
      <c r="K148" s="132" t="s">
        <v>177</v>
      </c>
      <c r="L148" s="132" t="s">
        <v>301</v>
      </c>
      <c r="M148" s="131" t="s">
        <v>81</v>
      </c>
      <c r="N148" s="131" t="s">
        <v>81</v>
      </c>
      <c r="O148" s="131" t="s">
        <v>81</v>
      </c>
      <c r="P148" s="131" t="s">
        <v>311</v>
      </c>
      <c r="Q148" s="131" t="s">
        <v>81</v>
      </c>
      <c r="R148" s="131" t="s">
        <v>89</v>
      </c>
      <c r="S148" s="131" t="s">
        <v>297</v>
      </c>
      <c r="T148" s="131"/>
      <c r="U148" s="132" t="s">
        <v>81</v>
      </c>
      <c r="V148" s="132" t="s">
        <v>172</v>
      </c>
      <c r="W148" s="132"/>
      <c r="X148" s="132"/>
      <c r="Y148" s="133">
        <v>0</v>
      </c>
      <c r="Z148" s="133">
        <v>20</v>
      </c>
      <c r="AA148" s="132" t="s">
        <v>71</v>
      </c>
      <c r="AB148" s="132" t="s">
        <v>60</v>
      </c>
      <c r="AC148" s="132" t="s">
        <v>60</v>
      </c>
      <c r="AD148" s="132" t="s">
        <v>71</v>
      </c>
      <c r="AE148" s="132" t="s">
        <v>71</v>
      </c>
      <c r="AF148" s="134" t="s">
        <v>68</v>
      </c>
      <c r="AG148" s="132" t="s">
        <v>81</v>
      </c>
      <c r="AH148" s="132" t="s">
        <v>71</v>
      </c>
      <c r="AI148" s="132" t="s">
        <v>60</v>
      </c>
      <c r="AJ148" s="132" t="s">
        <v>71</v>
      </c>
      <c r="AK148" s="132" t="s">
        <v>60</v>
      </c>
      <c r="AL148" s="132" t="s">
        <v>60</v>
      </c>
      <c r="AM148" s="132" t="s">
        <v>60</v>
      </c>
      <c r="AN148" s="132" t="s">
        <v>60</v>
      </c>
      <c r="AO148" s="132" t="s">
        <v>71</v>
      </c>
      <c r="AP148" s="132" t="s">
        <v>71</v>
      </c>
      <c r="AQ148" s="132" t="s">
        <v>71</v>
      </c>
      <c r="AR148" s="132" t="s">
        <v>71</v>
      </c>
      <c r="AS148" s="132" t="s">
        <v>71</v>
      </c>
      <c r="AT148" s="132" t="s">
        <v>71</v>
      </c>
      <c r="AU148" s="132" t="s">
        <v>71</v>
      </c>
      <c r="AV148" s="132" t="s">
        <v>71</v>
      </c>
      <c r="AW148" s="132" t="s">
        <v>71</v>
      </c>
      <c r="AX148" s="132" t="s">
        <v>71</v>
      </c>
      <c r="AY148" s="132" t="s">
        <v>71</v>
      </c>
      <c r="AZ148" s="132" t="s">
        <v>71</v>
      </c>
      <c r="BA148" s="132" t="s">
        <v>71</v>
      </c>
      <c r="BB148" s="132" t="s">
        <v>71</v>
      </c>
      <c r="BC148" s="132" t="s">
        <v>71</v>
      </c>
      <c r="BD148" s="132" t="s">
        <v>71</v>
      </c>
      <c r="BE148" s="132" t="s">
        <v>71</v>
      </c>
      <c r="BF148" s="132" t="s">
        <v>71</v>
      </c>
      <c r="BG148" s="132" t="s">
        <v>71</v>
      </c>
      <c r="BH148" s="132" t="s">
        <v>71</v>
      </c>
      <c r="BI148" s="132" t="s">
        <v>71</v>
      </c>
      <c r="BJ148" s="132" t="s">
        <v>71</v>
      </c>
      <c r="BK148" s="132" t="s">
        <v>71</v>
      </c>
      <c r="BL148" s="132" t="s">
        <v>71</v>
      </c>
      <c r="BM148" s="132" t="s">
        <v>71</v>
      </c>
      <c r="BN148" s="132" t="s">
        <v>71</v>
      </c>
      <c r="BO148" s="132" t="s">
        <v>71</v>
      </c>
      <c r="BP148" s="132" t="s">
        <v>71</v>
      </c>
      <c r="BQ148" s="132" t="s">
        <v>71</v>
      </c>
      <c r="BR148" s="132" t="s">
        <v>71</v>
      </c>
      <c r="BS148" s="132" t="s">
        <v>71</v>
      </c>
      <c r="BT148" s="132" t="s">
        <v>71</v>
      </c>
      <c r="BU148" s="132" t="s">
        <v>60</v>
      </c>
      <c r="BV148" s="132" t="s">
        <v>71</v>
      </c>
      <c r="BW148" s="132" t="s">
        <v>60</v>
      </c>
      <c r="BX148" s="132" t="s">
        <v>71</v>
      </c>
      <c r="BY148" s="132" t="s">
        <v>60</v>
      </c>
      <c r="BZ148" s="132" t="s">
        <v>71</v>
      </c>
      <c r="CA148" s="132" t="s">
        <v>60</v>
      </c>
      <c r="CB148" s="132" t="s">
        <v>71</v>
      </c>
      <c r="CC148" s="132" t="s">
        <v>60</v>
      </c>
      <c r="CD148" s="132" t="s">
        <v>71</v>
      </c>
      <c r="CE148" s="132" t="s">
        <v>60</v>
      </c>
      <c r="CF148" s="132" t="s">
        <v>71</v>
      </c>
      <c r="CG148" s="132" t="s">
        <v>60</v>
      </c>
      <c r="CH148" s="132" t="s">
        <v>71</v>
      </c>
      <c r="CI148" s="132" t="s">
        <v>60</v>
      </c>
      <c r="CJ148" s="132" t="s">
        <v>71</v>
      </c>
      <c r="CK148" s="132" t="s">
        <v>60</v>
      </c>
      <c r="CL148" s="132" t="s">
        <v>71</v>
      </c>
      <c r="CM148" s="132" t="s">
        <v>60</v>
      </c>
      <c r="CN148" s="132" t="s">
        <v>71</v>
      </c>
      <c r="CO148" s="132" t="s">
        <v>60</v>
      </c>
      <c r="CP148" s="132" t="s">
        <v>71</v>
      </c>
      <c r="CQ148" s="132" t="s">
        <v>60</v>
      </c>
      <c r="CR148" s="132" t="s">
        <v>71</v>
      </c>
      <c r="CS148" s="132" t="s">
        <v>60</v>
      </c>
      <c r="CT148" s="132" t="s">
        <v>71</v>
      </c>
      <c r="CU148" s="132" t="s">
        <v>60</v>
      </c>
      <c r="CV148" s="132" t="s">
        <v>71</v>
      </c>
      <c r="CW148" s="132" t="s">
        <v>60</v>
      </c>
      <c r="CX148" s="132" t="s">
        <v>71</v>
      </c>
      <c r="CY148" s="132" t="s">
        <v>60</v>
      </c>
      <c r="CZ148" s="132" t="s">
        <v>71</v>
      </c>
      <c r="DA148" s="132" t="s">
        <v>60</v>
      </c>
      <c r="DB148" s="132" t="s">
        <v>71</v>
      </c>
      <c r="DC148" s="132" t="s">
        <v>60</v>
      </c>
      <c r="DD148" s="132" t="s">
        <v>71</v>
      </c>
      <c r="DE148" s="137" t="str">
        <f t="shared" si="50"/>
        <v>FETAL</v>
      </c>
      <c r="DF148" s="137">
        <f t="shared" si="46"/>
        <v>0</v>
      </c>
    </row>
    <row r="149" spans="1:110" x14ac:dyDescent="0.2">
      <c r="A149" s="160"/>
      <c r="B149" s="5">
        <f t="shared" si="42"/>
        <v>147</v>
      </c>
      <c r="C149" s="131" t="str">
        <f t="shared" si="53"/>
        <v>CNS183</v>
      </c>
      <c r="D149" s="135" t="s">
        <v>281</v>
      </c>
      <c r="E149" s="131" t="str">
        <f t="shared" si="48"/>
        <v>CNS183_CONTROL</v>
      </c>
      <c r="F149" s="131"/>
      <c r="G149" s="130">
        <f t="shared" si="51"/>
        <v>183</v>
      </c>
      <c r="H149" s="131"/>
      <c r="I149" s="131"/>
      <c r="J149" s="132" t="s">
        <v>25</v>
      </c>
      <c r="K149" s="132" t="s">
        <v>177</v>
      </c>
      <c r="L149" s="132" t="s">
        <v>301</v>
      </c>
      <c r="M149" s="131" t="s">
        <v>81</v>
      </c>
      <c r="N149" s="131" t="s">
        <v>81</v>
      </c>
      <c r="O149" s="131" t="s">
        <v>81</v>
      </c>
      <c r="P149" s="131" t="s">
        <v>311</v>
      </c>
      <c r="Q149" s="131" t="s">
        <v>81</v>
      </c>
      <c r="R149" s="131" t="s">
        <v>89</v>
      </c>
      <c r="S149" s="131" t="s">
        <v>297</v>
      </c>
      <c r="T149" s="131"/>
      <c r="U149" s="132" t="s">
        <v>81</v>
      </c>
      <c r="V149" s="132" t="s">
        <v>172</v>
      </c>
      <c r="W149" s="132"/>
      <c r="X149" s="132"/>
      <c r="Y149" s="133">
        <v>0</v>
      </c>
      <c r="Z149" s="133">
        <v>14</v>
      </c>
      <c r="AA149" s="132" t="s">
        <v>71</v>
      </c>
      <c r="AB149" s="132" t="s">
        <v>60</v>
      </c>
      <c r="AC149" s="132" t="s">
        <v>60</v>
      </c>
      <c r="AD149" s="132" t="s">
        <v>71</v>
      </c>
      <c r="AE149" s="132" t="s">
        <v>71</v>
      </c>
      <c r="AF149" s="134" t="s">
        <v>68</v>
      </c>
      <c r="AG149" s="132" t="s">
        <v>81</v>
      </c>
      <c r="AH149" s="132" t="s">
        <v>71</v>
      </c>
      <c r="AI149" s="132" t="s">
        <v>60</v>
      </c>
      <c r="AJ149" s="132" t="s">
        <v>71</v>
      </c>
      <c r="AK149" s="132" t="s">
        <v>60</v>
      </c>
      <c r="AL149" s="132" t="s">
        <v>60</v>
      </c>
      <c r="AM149" s="132" t="s">
        <v>60</v>
      </c>
      <c r="AN149" s="132" t="s">
        <v>60</v>
      </c>
      <c r="AO149" s="132" t="s">
        <v>71</v>
      </c>
      <c r="AP149" s="132" t="s">
        <v>71</v>
      </c>
      <c r="AQ149" s="132" t="s">
        <v>71</v>
      </c>
      <c r="AR149" s="132" t="s">
        <v>71</v>
      </c>
      <c r="AS149" s="132" t="s">
        <v>71</v>
      </c>
      <c r="AT149" s="132" t="s">
        <v>71</v>
      </c>
      <c r="AU149" s="132" t="s">
        <v>71</v>
      </c>
      <c r="AV149" s="132" t="s">
        <v>71</v>
      </c>
      <c r="AW149" s="132" t="s">
        <v>71</v>
      </c>
      <c r="AX149" s="132" t="s">
        <v>71</v>
      </c>
      <c r="AY149" s="132" t="s">
        <v>71</v>
      </c>
      <c r="AZ149" s="132" t="s">
        <v>71</v>
      </c>
      <c r="BA149" s="132" t="s">
        <v>71</v>
      </c>
      <c r="BB149" s="132" t="s">
        <v>71</v>
      </c>
      <c r="BC149" s="132" t="s">
        <v>71</v>
      </c>
      <c r="BD149" s="132" t="s">
        <v>71</v>
      </c>
      <c r="BE149" s="132" t="s">
        <v>71</v>
      </c>
      <c r="BF149" s="132" t="s">
        <v>71</v>
      </c>
      <c r="BG149" s="132" t="s">
        <v>71</v>
      </c>
      <c r="BH149" s="132" t="s">
        <v>71</v>
      </c>
      <c r="BI149" s="132" t="s">
        <v>71</v>
      </c>
      <c r="BJ149" s="132" t="s">
        <v>71</v>
      </c>
      <c r="BK149" s="132" t="s">
        <v>71</v>
      </c>
      <c r="BL149" s="132" t="s">
        <v>71</v>
      </c>
      <c r="BM149" s="132" t="s">
        <v>71</v>
      </c>
      <c r="BN149" s="132" t="s">
        <v>71</v>
      </c>
      <c r="BO149" s="132" t="s">
        <v>71</v>
      </c>
      <c r="BP149" s="132" t="s">
        <v>71</v>
      </c>
      <c r="BQ149" s="132" t="s">
        <v>71</v>
      </c>
      <c r="BR149" s="132" t="s">
        <v>71</v>
      </c>
      <c r="BS149" s="132" t="s">
        <v>71</v>
      </c>
      <c r="BT149" s="132" t="s">
        <v>71</v>
      </c>
      <c r="BU149" s="132" t="s">
        <v>60</v>
      </c>
      <c r="BV149" s="132" t="s">
        <v>71</v>
      </c>
      <c r="BW149" s="132" t="s">
        <v>60</v>
      </c>
      <c r="BX149" s="132" t="s">
        <v>71</v>
      </c>
      <c r="BY149" s="132" t="s">
        <v>60</v>
      </c>
      <c r="BZ149" s="132" t="s">
        <v>71</v>
      </c>
      <c r="CA149" s="132" t="s">
        <v>60</v>
      </c>
      <c r="CB149" s="132" t="s">
        <v>71</v>
      </c>
      <c r="CC149" s="132" t="s">
        <v>60</v>
      </c>
      <c r="CD149" s="132" t="s">
        <v>71</v>
      </c>
      <c r="CE149" s="132" t="s">
        <v>60</v>
      </c>
      <c r="CF149" s="132" t="s">
        <v>71</v>
      </c>
      <c r="CG149" s="132" t="s">
        <v>60</v>
      </c>
      <c r="CH149" s="132" t="s">
        <v>71</v>
      </c>
      <c r="CI149" s="132" t="s">
        <v>60</v>
      </c>
      <c r="CJ149" s="132" t="s">
        <v>71</v>
      </c>
      <c r="CK149" s="132" t="s">
        <v>60</v>
      </c>
      <c r="CL149" s="132" t="s">
        <v>71</v>
      </c>
      <c r="CM149" s="132" t="s">
        <v>60</v>
      </c>
      <c r="CN149" s="132" t="s">
        <v>71</v>
      </c>
      <c r="CO149" s="132" t="s">
        <v>60</v>
      </c>
      <c r="CP149" s="132" t="s">
        <v>71</v>
      </c>
      <c r="CQ149" s="132" t="s">
        <v>60</v>
      </c>
      <c r="CR149" s="132" t="s">
        <v>71</v>
      </c>
      <c r="CS149" s="132" t="s">
        <v>60</v>
      </c>
      <c r="CT149" s="132" t="s">
        <v>71</v>
      </c>
      <c r="CU149" s="132" t="s">
        <v>60</v>
      </c>
      <c r="CV149" s="132" t="s">
        <v>71</v>
      </c>
      <c r="CW149" s="132" t="s">
        <v>60</v>
      </c>
      <c r="CX149" s="132" t="s">
        <v>71</v>
      </c>
      <c r="CY149" s="132" t="s">
        <v>60</v>
      </c>
      <c r="CZ149" s="132" t="s">
        <v>71</v>
      </c>
      <c r="DA149" s="132" t="s">
        <v>60</v>
      </c>
      <c r="DB149" s="132" t="s">
        <v>71</v>
      </c>
      <c r="DC149" s="132" t="s">
        <v>60</v>
      </c>
      <c r="DD149" s="132" t="s">
        <v>71</v>
      </c>
      <c r="DE149" s="137" t="str">
        <f t="shared" si="50"/>
        <v>FETAL</v>
      </c>
      <c r="DF149" s="137">
        <f t="shared" ref="DF149:DF162" si="55">IF(M149="CONTROL",0,1)</f>
        <v>0</v>
      </c>
    </row>
    <row r="150" spans="1:110" x14ac:dyDescent="0.2">
      <c r="A150" s="160"/>
      <c r="B150" s="5">
        <f t="shared" si="42"/>
        <v>148</v>
      </c>
      <c r="C150" s="131" t="str">
        <f t="shared" si="53"/>
        <v>CNS184</v>
      </c>
      <c r="D150" s="135" t="s">
        <v>282</v>
      </c>
      <c r="E150" s="131" t="str">
        <f t="shared" si="48"/>
        <v>CNS184_CONTROL</v>
      </c>
      <c r="F150" s="131"/>
      <c r="G150" s="130">
        <f t="shared" si="51"/>
        <v>184</v>
      </c>
      <c r="H150" s="131"/>
      <c r="I150" s="131"/>
      <c r="J150" s="132" t="s">
        <v>25</v>
      </c>
      <c r="K150" s="132" t="s">
        <v>177</v>
      </c>
      <c r="L150" s="132" t="s">
        <v>301</v>
      </c>
      <c r="M150" s="131" t="s">
        <v>81</v>
      </c>
      <c r="N150" s="131" t="s">
        <v>81</v>
      </c>
      <c r="O150" s="131" t="s">
        <v>81</v>
      </c>
      <c r="P150" s="131" t="s">
        <v>311</v>
      </c>
      <c r="Q150" s="131" t="s">
        <v>81</v>
      </c>
      <c r="R150" s="131" t="s">
        <v>89</v>
      </c>
      <c r="S150" s="131" t="s">
        <v>297</v>
      </c>
      <c r="T150" s="131"/>
      <c r="U150" s="132" t="s">
        <v>81</v>
      </c>
      <c r="V150" s="132" t="s">
        <v>172</v>
      </c>
      <c r="W150" s="132"/>
      <c r="X150" s="132"/>
      <c r="Y150" s="133">
        <v>0</v>
      </c>
      <c r="Z150" s="133">
        <v>14</v>
      </c>
      <c r="AA150" s="132" t="s">
        <v>71</v>
      </c>
      <c r="AB150" s="132" t="s">
        <v>60</v>
      </c>
      <c r="AC150" s="132" t="s">
        <v>60</v>
      </c>
      <c r="AD150" s="132" t="s">
        <v>71</v>
      </c>
      <c r="AE150" s="132" t="s">
        <v>71</v>
      </c>
      <c r="AF150" s="134" t="s">
        <v>68</v>
      </c>
      <c r="AG150" s="132" t="s">
        <v>81</v>
      </c>
      <c r="AH150" s="132" t="s">
        <v>71</v>
      </c>
      <c r="AI150" s="132" t="s">
        <v>60</v>
      </c>
      <c r="AJ150" s="132" t="s">
        <v>71</v>
      </c>
      <c r="AK150" s="132" t="s">
        <v>60</v>
      </c>
      <c r="AL150" s="132" t="s">
        <v>60</v>
      </c>
      <c r="AM150" s="132" t="s">
        <v>60</v>
      </c>
      <c r="AN150" s="132" t="s">
        <v>60</v>
      </c>
      <c r="AO150" s="132" t="s">
        <v>71</v>
      </c>
      <c r="AP150" s="132" t="s">
        <v>71</v>
      </c>
      <c r="AQ150" s="132" t="s">
        <v>71</v>
      </c>
      <c r="AR150" s="132" t="s">
        <v>71</v>
      </c>
      <c r="AS150" s="132" t="s">
        <v>71</v>
      </c>
      <c r="AT150" s="132" t="s">
        <v>71</v>
      </c>
      <c r="AU150" s="132" t="s">
        <v>71</v>
      </c>
      <c r="AV150" s="132" t="s">
        <v>71</v>
      </c>
      <c r="AW150" s="132" t="s">
        <v>71</v>
      </c>
      <c r="AX150" s="132" t="s">
        <v>71</v>
      </c>
      <c r="AY150" s="132" t="s">
        <v>71</v>
      </c>
      <c r="AZ150" s="132" t="s">
        <v>71</v>
      </c>
      <c r="BA150" s="132" t="s">
        <v>71</v>
      </c>
      <c r="BB150" s="132" t="s">
        <v>71</v>
      </c>
      <c r="BC150" s="132" t="s">
        <v>71</v>
      </c>
      <c r="BD150" s="132" t="s">
        <v>71</v>
      </c>
      <c r="BE150" s="132" t="s">
        <v>71</v>
      </c>
      <c r="BF150" s="132" t="s">
        <v>71</v>
      </c>
      <c r="BG150" s="132" t="s">
        <v>71</v>
      </c>
      <c r="BH150" s="132" t="s">
        <v>71</v>
      </c>
      <c r="BI150" s="132" t="s">
        <v>71</v>
      </c>
      <c r="BJ150" s="132" t="s">
        <v>71</v>
      </c>
      <c r="BK150" s="132" t="s">
        <v>71</v>
      </c>
      <c r="BL150" s="132" t="s">
        <v>71</v>
      </c>
      <c r="BM150" s="132" t="s">
        <v>71</v>
      </c>
      <c r="BN150" s="132" t="s">
        <v>71</v>
      </c>
      <c r="BO150" s="132" t="s">
        <v>71</v>
      </c>
      <c r="BP150" s="132" t="s">
        <v>71</v>
      </c>
      <c r="BQ150" s="132" t="s">
        <v>71</v>
      </c>
      <c r="BR150" s="132" t="s">
        <v>71</v>
      </c>
      <c r="BS150" s="132" t="s">
        <v>71</v>
      </c>
      <c r="BT150" s="132" t="s">
        <v>71</v>
      </c>
      <c r="BU150" s="132" t="s">
        <v>60</v>
      </c>
      <c r="BV150" s="132" t="s">
        <v>71</v>
      </c>
      <c r="BW150" s="132" t="s">
        <v>60</v>
      </c>
      <c r="BX150" s="132" t="s">
        <v>71</v>
      </c>
      <c r="BY150" s="132" t="s">
        <v>60</v>
      </c>
      <c r="BZ150" s="132" t="s">
        <v>71</v>
      </c>
      <c r="CA150" s="132" t="s">
        <v>60</v>
      </c>
      <c r="CB150" s="132" t="s">
        <v>71</v>
      </c>
      <c r="CC150" s="132" t="s">
        <v>60</v>
      </c>
      <c r="CD150" s="132" t="s">
        <v>71</v>
      </c>
      <c r="CE150" s="132" t="s">
        <v>60</v>
      </c>
      <c r="CF150" s="132" t="s">
        <v>71</v>
      </c>
      <c r="CG150" s="132" t="s">
        <v>60</v>
      </c>
      <c r="CH150" s="132" t="s">
        <v>71</v>
      </c>
      <c r="CI150" s="132" t="s">
        <v>60</v>
      </c>
      <c r="CJ150" s="132" t="s">
        <v>71</v>
      </c>
      <c r="CK150" s="132" t="s">
        <v>60</v>
      </c>
      <c r="CL150" s="132" t="s">
        <v>71</v>
      </c>
      <c r="CM150" s="132" t="s">
        <v>60</v>
      </c>
      <c r="CN150" s="132" t="s">
        <v>71</v>
      </c>
      <c r="CO150" s="132" t="s">
        <v>60</v>
      </c>
      <c r="CP150" s="132" t="s">
        <v>71</v>
      </c>
      <c r="CQ150" s="132" t="s">
        <v>60</v>
      </c>
      <c r="CR150" s="132" t="s">
        <v>71</v>
      </c>
      <c r="CS150" s="132" t="s">
        <v>60</v>
      </c>
      <c r="CT150" s="132" t="s">
        <v>71</v>
      </c>
      <c r="CU150" s="132" t="s">
        <v>60</v>
      </c>
      <c r="CV150" s="132" t="s">
        <v>71</v>
      </c>
      <c r="CW150" s="132" t="s">
        <v>60</v>
      </c>
      <c r="CX150" s="132" t="s">
        <v>71</v>
      </c>
      <c r="CY150" s="132" t="s">
        <v>60</v>
      </c>
      <c r="CZ150" s="132" t="s">
        <v>71</v>
      </c>
      <c r="DA150" s="132" t="s">
        <v>60</v>
      </c>
      <c r="DB150" s="132" t="s">
        <v>71</v>
      </c>
      <c r="DC150" s="132" t="s">
        <v>60</v>
      </c>
      <c r="DD150" s="132" t="s">
        <v>71</v>
      </c>
      <c r="DE150" s="137" t="str">
        <f t="shared" si="50"/>
        <v>FETAL</v>
      </c>
      <c r="DF150" s="137">
        <f t="shared" si="55"/>
        <v>0</v>
      </c>
    </row>
    <row r="151" spans="1:110" x14ac:dyDescent="0.2">
      <c r="A151" s="160"/>
      <c r="B151" s="5">
        <f t="shared" si="42"/>
        <v>149</v>
      </c>
      <c r="C151" s="131" t="str">
        <f t="shared" si="53"/>
        <v>CNS185</v>
      </c>
      <c r="D151" s="135" t="s">
        <v>283</v>
      </c>
      <c r="E151" s="131" t="str">
        <f t="shared" si="48"/>
        <v>CNS185_CONTROL</v>
      </c>
      <c r="F151" s="131"/>
      <c r="G151" s="130">
        <f t="shared" si="51"/>
        <v>185</v>
      </c>
      <c r="H151" s="131"/>
      <c r="I151" s="131"/>
      <c r="J151" s="132" t="s">
        <v>25</v>
      </c>
      <c r="K151" s="132" t="s">
        <v>177</v>
      </c>
      <c r="L151" s="132" t="s">
        <v>301</v>
      </c>
      <c r="M151" s="131" t="s">
        <v>81</v>
      </c>
      <c r="N151" s="131" t="s">
        <v>81</v>
      </c>
      <c r="O151" s="131" t="s">
        <v>81</v>
      </c>
      <c r="P151" s="131" t="s">
        <v>311</v>
      </c>
      <c r="Q151" s="131" t="s">
        <v>81</v>
      </c>
      <c r="R151" s="131" t="s">
        <v>89</v>
      </c>
      <c r="S151" s="131" t="s">
        <v>297</v>
      </c>
      <c r="T151" s="131"/>
      <c r="U151" s="132" t="s">
        <v>81</v>
      </c>
      <c r="V151" s="132" t="s">
        <v>172</v>
      </c>
      <c r="W151" s="132"/>
      <c r="X151" s="132"/>
      <c r="Y151" s="133">
        <v>0</v>
      </c>
      <c r="Z151" s="133">
        <v>18</v>
      </c>
      <c r="AA151" s="132" t="s">
        <v>71</v>
      </c>
      <c r="AB151" s="132" t="s">
        <v>60</v>
      </c>
      <c r="AC151" s="132" t="s">
        <v>60</v>
      </c>
      <c r="AD151" s="132" t="s">
        <v>71</v>
      </c>
      <c r="AE151" s="132" t="s">
        <v>71</v>
      </c>
      <c r="AF151" s="134" t="s">
        <v>68</v>
      </c>
      <c r="AG151" s="132" t="s">
        <v>81</v>
      </c>
      <c r="AH151" s="132" t="s">
        <v>71</v>
      </c>
      <c r="AI151" s="132" t="s">
        <v>60</v>
      </c>
      <c r="AJ151" s="132" t="s">
        <v>71</v>
      </c>
      <c r="AK151" s="132" t="s">
        <v>60</v>
      </c>
      <c r="AL151" s="132" t="s">
        <v>60</v>
      </c>
      <c r="AM151" s="132" t="s">
        <v>60</v>
      </c>
      <c r="AN151" s="132" t="s">
        <v>60</v>
      </c>
      <c r="AO151" s="132" t="s">
        <v>71</v>
      </c>
      <c r="AP151" s="132" t="s">
        <v>71</v>
      </c>
      <c r="AQ151" s="132" t="s">
        <v>71</v>
      </c>
      <c r="AR151" s="132" t="s">
        <v>71</v>
      </c>
      <c r="AS151" s="132" t="s">
        <v>71</v>
      </c>
      <c r="AT151" s="132" t="s">
        <v>71</v>
      </c>
      <c r="AU151" s="132" t="s">
        <v>71</v>
      </c>
      <c r="AV151" s="132" t="s">
        <v>71</v>
      </c>
      <c r="AW151" s="132" t="s">
        <v>71</v>
      </c>
      <c r="AX151" s="132" t="s">
        <v>71</v>
      </c>
      <c r="AY151" s="132" t="s">
        <v>71</v>
      </c>
      <c r="AZ151" s="132" t="s">
        <v>71</v>
      </c>
      <c r="BA151" s="132" t="s">
        <v>71</v>
      </c>
      <c r="BB151" s="132" t="s">
        <v>71</v>
      </c>
      <c r="BC151" s="132" t="s">
        <v>71</v>
      </c>
      <c r="BD151" s="132" t="s">
        <v>71</v>
      </c>
      <c r="BE151" s="132" t="s">
        <v>71</v>
      </c>
      <c r="BF151" s="132" t="s">
        <v>71</v>
      </c>
      <c r="BG151" s="132" t="s">
        <v>71</v>
      </c>
      <c r="BH151" s="132" t="s">
        <v>71</v>
      </c>
      <c r="BI151" s="132" t="s">
        <v>71</v>
      </c>
      <c r="BJ151" s="132" t="s">
        <v>71</v>
      </c>
      <c r="BK151" s="132" t="s">
        <v>71</v>
      </c>
      <c r="BL151" s="132" t="s">
        <v>71</v>
      </c>
      <c r="BM151" s="132" t="s">
        <v>71</v>
      </c>
      <c r="BN151" s="132" t="s">
        <v>71</v>
      </c>
      <c r="BO151" s="132" t="s">
        <v>71</v>
      </c>
      <c r="BP151" s="132" t="s">
        <v>71</v>
      </c>
      <c r="BQ151" s="132" t="s">
        <v>71</v>
      </c>
      <c r="BR151" s="132" t="s">
        <v>71</v>
      </c>
      <c r="BS151" s="132" t="s">
        <v>71</v>
      </c>
      <c r="BT151" s="132" t="s">
        <v>71</v>
      </c>
      <c r="BU151" s="132" t="s">
        <v>60</v>
      </c>
      <c r="BV151" s="132" t="s">
        <v>71</v>
      </c>
      <c r="BW151" s="132" t="s">
        <v>60</v>
      </c>
      <c r="BX151" s="132" t="s">
        <v>71</v>
      </c>
      <c r="BY151" s="132" t="s">
        <v>60</v>
      </c>
      <c r="BZ151" s="132" t="s">
        <v>71</v>
      </c>
      <c r="CA151" s="132" t="s">
        <v>60</v>
      </c>
      <c r="CB151" s="132" t="s">
        <v>71</v>
      </c>
      <c r="CC151" s="132" t="s">
        <v>60</v>
      </c>
      <c r="CD151" s="132" t="s">
        <v>71</v>
      </c>
      <c r="CE151" s="132" t="s">
        <v>60</v>
      </c>
      <c r="CF151" s="132" t="s">
        <v>71</v>
      </c>
      <c r="CG151" s="132" t="s">
        <v>60</v>
      </c>
      <c r="CH151" s="132" t="s">
        <v>71</v>
      </c>
      <c r="CI151" s="132" t="s">
        <v>60</v>
      </c>
      <c r="CJ151" s="132" t="s">
        <v>71</v>
      </c>
      <c r="CK151" s="132" t="s">
        <v>60</v>
      </c>
      <c r="CL151" s="132" t="s">
        <v>71</v>
      </c>
      <c r="CM151" s="132" t="s">
        <v>60</v>
      </c>
      <c r="CN151" s="132" t="s">
        <v>71</v>
      </c>
      <c r="CO151" s="132" t="s">
        <v>60</v>
      </c>
      <c r="CP151" s="132" t="s">
        <v>71</v>
      </c>
      <c r="CQ151" s="132" t="s">
        <v>60</v>
      </c>
      <c r="CR151" s="132" t="s">
        <v>71</v>
      </c>
      <c r="CS151" s="132" t="s">
        <v>60</v>
      </c>
      <c r="CT151" s="132" t="s">
        <v>71</v>
      </c>
      <c r="CU151" s="132" t="s">
        <v>60</v>
      </c>
      <c r="CV151" s="132" t="s">
        <v>71</v>
      </c>
      <c r="CW151" s="132" t="s">
        <v>60</v>
      </c>
      <c r="CX151" s="132" t="s">
        <v>71</v>
      </c>
      <c r="CY151" s="132" t="s">
        <v>60</v>
      </c>
      <c r="CZ151" s="132" t="s">
        <v>71</v>
      </c>
      <c r="DA151" s="132" t="s">
        <v>60</v>
      </c>
      <c r="DB151" s="132" t="s">
        <v>71</v>
      </c>
      <c r="DC151" s="132" t="s">
        <v>60</v>
      </c>
      <c r="DD151" s="132" t="s">
        <v>71</v>
      </c>
      <c r="DE151" s="137" t="str">
        <f t="shared" si="50"/>
        <v>FETAL</v>
      </c>
      <c r="DF151" s="137">
        <f t="shared" si="55"/>
        <v>0</v>
      </c>
    </row>
    <row r="152" spans="1:110" x14ac:dyDescent="0.2">
      <c r="A152" s="160"/>
      <c r="B152" s="5">
        <f t="shared" si="42"/>
        <v>150</v>
      </c>
      <c r="C152" s="131" t="str">
        <f t="shared" si="53"/>
        <v>CNS186</v>
      </c>
      <c r="D152" s="135" t="s">
        <v>284</v>
      </c>
      <c r="E152" s="131" t="str">
        <f t="shared" si="48"/>
        <v>CNS186_CONTROL</v>
      </c>
      <c r="F152" s="131"/>
      <c r="G152" s="130">
        <f t="shared" si="51"/>
        <v>186</v>
      </c>
      <c r="H152" s="131"/>
      <c r="I152" s="131"/>
      <c r="J152" s="132" t="s">
        <v>25</v>
      </c>
      <c r="K152" s="132" t="s">
        <v>177</v>
      </c>
      <c r="L152" s="132" t="s">
        <v>301</v>
      </c>
      <c r="M152" s="131" t="s">
        <v>81</v>
      </c>
      <c r="N152" s="131" t="s">
        <v>81</v>
      </c>
      <c r="O152" s="131" t="s">
        <v>81</v>
      </c>
      <c r="P152" s="131" t="s">
        <v>311</v>
      </c>
      <c r="Q152" s="131" t="s">
        <v>81</v>
      </c>
      <c r="R152" s="131" t="s">
        <v>89</v>
      </c>
      <c r="S152" s="131" t="s">
        <v>297</v>
      </c>
      <c r="T152" s="131"/>
      <c r="U152" s="132" t="s">
        <v>81</v>
      </c>
      <c r="V152" s="132" t="s">
        <v>172</v>
      </c>
      <c r="W152" s="132"/>
      <c r="X152" s="132"/>
      <c r="Y152" s="133">
        <v>0</v>
      </c>
      <c r="Z152" s="133">
        <v>18</v>
      </c>
      <c r="AA152" s="132" t="s">
        <v>71</v>
      </c>
      <c r="AB152" s="132" t="s">
        <v>60</v>
      </c>
      <c r="AC152" s="132" t="s">
        <v>60</v>
      </c>
      <c r="AD152" s="132" t="s">
        <v>71</v>
      </c>
      <c r="AE152" s="132" t="s">
        <v>71</v>
      </c>
      <c r="AF152" s="134" t="s">
        <v>68</v>
      </c>
      <c r="AG152" s="132" t="s">
        <v>81</v>
      </c>
      <c r="AH152" s="132" t="s">
        <v>71</v>
      </c>
      <c r="AI152" s="132" t="s">
        <v>60</v>
      </c>
      <c r="AJ152" s="132" t="s">
        <v>71</v>
      </c>
      <c r="AK152" s="132" t="s">
        <v>60</v>
      </c>
      <c r="AL152" s="132" t="s">
        <v>60</v>
      </c>
      <c r="AM152" s="132" t="s">
        <v>60</v>
      </c>
      <c r="AN152" s="132" t="s">
        <v>60</v>
      </c>
      <c r="AO152" s="132" t="s">
        <v>71</v>
      </c>
      <c r="AP152" s="132" t="s">
        <v>71</v>
      </c>
      <c r="AQ152" s="132" t="s">
        <v>71</v>
      </c>
      <c r="AR152" s="132" t="s">
        <v>71</v>
      </c>
      <c r="AS152" s="132" t="s">
        <v>71</v>
      </c>
      <c r="AT152" s="132" t="s">
        <v>71</v>
      </c>
      <c r="AU152" s="132" t="s">
        <v>71</v>
      </c>
      <c r="AV152" s="132" t="s">
        <v>71</v>
      </c>
      <c r="AW152" s="132" t="s">
        <v>71</v>
      </c>
      <c r="AX152" s="132" t="s">
        <v>71</v>
      </c>
      <c r="AY152" s="132" t="s">
        <v>71</v>
      </c>
      <c r="AZ152" s="132" t="s">
        <v>71</v>
      </c>
      <c r="BA152" s="132" t="s">
        <v>71</v>
      </c>
      <c r="BB152" s="132" t="s">
        <v>71</v>
      </c>
      <c r="BC152" s="132" t="s">
        <v>71</v>
      </c>
      <c r="BD152" s="132" t="s">
        <v>71</v>
      </c>
      <c r="BE152" s="132" t="s">
        <v>71</v>
      </c>
      <c r="BF152" s="132" t="s">
        <v>71</v>
      </c>
      <c r="BG152" s="132" t="s">
        <v>71</v>
      </c>
      <c r="BH152" s="132" t="s">
        <v>71</v>
      </c>
      <c r="BI152" s="132" t="s">
        <v>71</v>
      </c>
      <c r="BJ152" s="132" t="s">
        <v>71</v>
      </c>
      <c r="BK152" s="132" t="s">
        <v>71</v>
      </c>
      <c r="BL152" s="132" t="s">
        <v>71</v>
      </c>
      <c r="BM152" s="132" t="s">
        <v>71</v>
      </c>
      <c r="BN152" s="132" t="s">
        <v>71</v>
      </c>
      <c r="BO152" s="132" t="s">
        <v>71</v>
      </c>
      <c r="BP152" s="132" t="s">
        <v>71</v>
      </c>
      <c r="BQ152" s="132" t="s">
        <v>71</v>
      </c>
      <c r="BR152" s="132" t="s">
        <v>71</v>
      </c>
      <c r="BS152" s="132" t="s">
        <v>71</v>
      </c>
      <c r="BT152" s="132" t="s">
        <v>71</v>
      </c>
      <c r="BU152" s="132" t="s">
        <v>60</v>
      </c>
      <c r="BV152" s="132" t="s">
        <v>71</v>
      </c>
      <c r="BW152" s="132" t="s">
        <v>60</v>
      </c>
      <c r="BX152" s="132" t="s">
        <v>71</v>
      </c>
      <c r="BY152" s="132" t="s">
        <v>60</v>
      </c>
      <c r="BZ152" s="132" t="s">
        <v>71</v>
      </c>
      <c r="CA152" s="132" t="s">
        <v>60</v>
      </c>
      <c r="CB152" s="132" t="s">
        <v>71</v>
      </c>
      <c r="CC152" s="132" t="s">
        <v>60</v>
      </c>
      <c r="CD152" s="132" t="s">
        <v>71</v>
      </c>
      <c r="CE152" s="132" t="s">
        <v>60</v>
      </c>
      <c r="CF152" s="132" t="s">
        <v>71</v>
      </c>
      <c r="CG152" s="132" t="s">
        <v>60</v>
      </c>
      <c r="CH152" s="132" t="s">
        <v>71</v>
      </c>
      <c r="CI152" s="132" t="s">
        <v>60</v>
      </c>
      <c r="CJ152" s="132" t="s">
        <v>71</v>
      </c>
      <c r="CK152" s="132" t="s">
        <v>60</v>
      </c>
      <c r="CL152" s="132" t="s">
        <v>71</v>
      </c>
      <c r="CM152" s="132" t="s">
        <v>60</v>
      </c>
      <c r="CN152" s="132" t="s">
        <v>71</v>
      </c>
      <c r="CO152" s="132" t="s">
        <v>60</v>
      </c>
      <c r="CP152" s="132" t="s">
        <v>71</v>
      </c>
      <c r="CQ152" s="132" t="s">
        <v>60</v>
      </c>
      <c r="CR152" s="132" t="s">
        <v>71</v>
      </c>
      <c r="CS152" s="132" t="s">
        <v>60</v>
      </c>
      <c r="CT152" s="132" t="s">
        <v>71</v>
      </c>
      <c r="CU152" s="132" t="s">
        <v>60</v>
      </c>
      <c r="CV152" s="132" t="s">
        <v>71</v>
      </c>
      <c r="CW152" s="132" t="s">
        <v>60</v>
      </c>
      <c r="CX152" s="132" t="s">
        <v>71</v>
      </c>
      <c r="CY152" s="132" t="s">
        <v>60</v>
      </c>
      <c r="CZ152" s="132" t="s">
        <v>71</v>
      </c>
      <c r="DA152" s="132" t="s">
        <v>60</v>
      </c>
      <c r="DB152" s="132" t="s">
        <v>71</v>
      </c>
      <c r="DC152" s="132" t="s">
        <v>60</v>
      </c>
      <c r="DD152" s="132" t="s">
        <v>71</v>
      </c>
      <c r="DE152" s="137" t="str">
        <f t="shared" si="50"/>
        <v>FETAL</v>
      </c>
      <c r="DF152" s="137">
        <f t="shared" si="55"/>
        <v>0</v>
      </c>
    </row>
    <row r="153" spans="1:110" x14ac:dyDescent="0.2">
      <c r="A153" s="160"/>
      <c r="B153" s="5">
        <f t="shared" si="42"/>
        <v>151</v>
      </c>
      <c r="C153" s="131" t="str">
        <f t="shared" si="53"/>
        <v>CNS187</v>
      </c>
      <c r="D153" s="135" t="s">
        <v>285</v>
      </c>
      <c r="E153" s="131" t="str">
        <f t="shared" si="48"/>
        <v>CNS187_CONTROL</v>
      </c>
      <c r="F153" s="131"/>
      <c r="G153" s="130">
        <f t="shared" si="51"/>
        <v>187</v>
      </c>
      <c r="H153" s="131"/>
      <c r="I153" s="131"/>
      <c r="J153" s="132" t="s">
        <v>25</v>
      </c>
      <c r="K153" s="132" t="s">
        <v>177</v>
      </c>
      <c r="L153" s="132" t="s">
        <v>301</v>
      </c>
      <c r="M153" s="131" t="s">
        <v>81</v>
      </c>
      <c r="N153" s="131" t="s">
        <v>81</v>
      </c>
      <c r="O153" s="131" t="s">
        <v>81</v>
      </c>
      <c r="P153" s="131" t="s">
        <v>311</v>
      </c>
      <c r="Q153" s="131" t="s">
        <v>81</v>
      </c>
      <c r="R153" s="131" t="s">
        <v>89</v>
      </c>
      <c r="S153" s="131" t="s">
        <v>297</v>
      </c>
      <c r="T153" s="131"/>
      <c r="U153" s="132" t="s">
        <v>81</v>
      </c>
      <c r="V153" s="132" t="s">
        <v>172</v>
      </c>
      <c r="W153" s="132"/>
      <c r="X153" s="132"/>
      <c r="Y153" s="133">
        <v>0</v>
      </c>
      <c r="Z153" s="133">
        <v>19</v>
      </c>
      <c r="AA153" s="132" t="s">
        <v>71</v>
      </c>
      <c r="AB153" s="132" t="s">
        <v>60</v>
      </c>
      <c r="AC153" s="132" t="s">
        <v>60</v>
      </c>
      <c r="AD153" s="132" t="s">
        <v>71</v>
      </c>
      <c r="AE153" s="132" t="s">
        <v>71</v>
      </c>
      <c r="AF153" s="134" t="s">
        <v>68</v>
      </c>
      <c r="AG153" s="132" t="s">
        <v>81</v>
      </c>
      <c r="AH153" s="132" t="s">
        <v>71</v>
      </c>
      <c r="AI153" s="132" t="s">
        <v>60</v>
      </c>
      <c r="AJ153" s="132" t="s">
        <v>71</v>
      </c>
      <c r="AK153" s="132" t="s">
        <v>60</v>
      </c>
      <c r="AL153" s="132" t="s">
        <v>60</v>
      </c>
      <c r="AM153" s="132" t="s">
        <v>60</v>
      </c>
      <c r="AN153" s="132" t="s">
        <v>60</v>
      </c>
      <c r="AO153" s="132" t="s">
        <v>71</v>
      </c>
      <c r="AP153" s="132" t="s">
        <v>71</v>
      </c>
      <c r="AQ153" s="132" t="s">
        <v>71</v>
      </c>
      <c r="AR153" s="132" t="s">
        <v>71</v>
      </c>
      <c r="AS153" s="132" t="s">
        <v>71</v>
      </c>
      <c r="AT153" s="132" t="s">
        <v>71</v>
      </c>
      <c r="AU153" s="132" t="s">
        <v>71</v>
      </c>
      <c r="AV153" s="132" t="s">
        <v>71</v>
      </c>
      <c r="AW153" s="132" t="s">
        <v>71</v>
      </c>
      <c r="AX153" s="132" t="s">
        <v>71</v>
      </c>
      <c r="AY153" s="132" t="s">
        <v>71</v>
      </c>
      <c r="AZ153" s="132" t="s">
        <v>71</v>
      </c>
      <c r="BA153" s="132" t="s">
        <v>71</v>
      </c>
      <c r="BB153" s="132" t="s">
        <v>71</v>
      </c>
      <c r="BC153" s="132" t="s">
        <v>71</v>
      </c>
      <c r="BD153" s="132" t="s">
        <v>71</v>
      </c>
      <c r="BE153" s="132" t="s">
        <v>71</v>
      </c>
      <c r="BF153" s="132" t="s">
        <v>71</v>
      </c>
      <c r="BG153" s="132" t="s">
        <v>71</v>
      </c>
      <c r="BH153" s="132" t="s">
        <v>71</v>
      </c>
      <c r="BI153" s="132" t="s">
        <v>71</v>
      </c>
      <c r="BJ153" s="132" t="s">
        <v>71</v>
      </c>
      <c r="BK153" s="132" t="s">
        <v>71</v>
      </c>
      <c r="BL153" s="132" t="s">
        <v>71</v>
      </c>
      <c r="BM153" s="132" t="s">
        <v>71</v>
      </c>
      <c r="BN153" s="132" t="s">
        <v>71</v>
      </c>
      <c r="BO153" s="132" t="s">
        <v>71</v>
      </c>
      <c r="BP153" s="132" t="s">
        <v>71</v>
      </c>
      <c r="BQ153" s="132" t="s">
        <v>71</v>
      </c>
      <c r="BR153" s="132" t="s">
        <v>71</v>
      </c>
      <c r="BS153" s="132" t="s">
        <v>71</v>
      </c>
      <c r="BT153" s="132" t="s">
        <v>71</v>
      </c>
      <c r="BU153" s="132" t="s">
        <v>60</v>
      </c>
      <c r="BV153" s="132" t="s">
        <v>71</v>
      </c>
      <c r="BW153" s="132" t="s">
        <v>60</v>
      </c>
      <c r="BX153" s="132" t="s">
        <v>71</v>
      </c>
      <c r="BY153" s="132" t="s">
        <v>60</v>
      </c>
      <c r="BZ153" s="132" t="s">
        <v>71</v>
      </c>
      <c r="CA153" s="132" t="s">
        <v>60</v>
      </c>
      <c r="CB153" s="132" t="s">
        <v>71</v>
      </c>
      <c r="CC153" s="132" t="s">
        <v>60</v>
      </c>
      <c r="CD153" s="132" t="s">
        <v>71</v>
      </c>
      <c r="CE153" s="132" t="s">
        <v>60</v>
      </c>
      <c r="CF153" s="132" t="s">
        <v>71</v>
      </c>
      <c r="CG153" s="132" t="s">
        <v>60</v>
      </c>
      <c r="CH153" s="132" t="s">
        <v>71</v>
      </c>
      <c r="CI153" s="132" t="s">
        <v>60</v>
      </c>
      <c r="CJ153" s="132" t="s">
        <v>71</v>
      </c>
      <c r="CK153" s="132" t="s">
        <v>60</v>
      </c>
      <c r="CL153" s="132" t="s">
        <v>71</v>
      </c>
      <c r="CM153" s="132" t="s">
        <v>60</v>
      </c>
      <c r="CN153" s="132" t="s">
        <v>71</v>
      </c>
      <c r="CO153" s="132" t="s">
        <v>60</v>
      </c>
      <c r="CP153" s="132" t="s">
        <v>71</v>
      </c>
      <c r="CQ153" s="132" t="s">
        <v>60</v>
      </c>
      <c r="CR153" s="132" t="s">
        <v>71</v>
      </c>
      <c r="CS153" s="132" t="s">
        <v>60</v>
      </c>
      <c r="CT153" s="132" t="s">
        <v>71</v>
      </c>
      <c r="CU153" s="132" t="s">
        <v>60</v>
      </c>
      <c r="CV153" s="132" t="s">
        <v>71</v>
      </c>
      <c r="CW153" s="132" t="s">
        <v>60</v>
      </c>
      <c r="CX153" s="132" t="s">
        <v>71</v>
      </c>
      <c r="CY153" s="132" t="s">
        <v>60</v>
      </c>
      <c r="CZ153" s="132" t="s">
        <v>71</v>
      </c>
      <c r="DA153" s="132" t="s">
        <v>60</v>
      </c>
      <c r="DB153" s="132" t="s">
        <v>71</v>
      </c>
      <c r="DC153" s="132" t="s">
        <v>60</v>
      </c>
      <c r="DD153" s="132" t="s">
        <v>71</v>
      </c>
      <c r="DE153" s="137" t="str">
        <f t="shared" si="50"/>
        <v>FETAL</v>
      </c>
      <c r="DF153" s="137">
        <f t="shared" si="55"/>
        <v>0</v>
      </c>
    </row>
    <row r="154" spans="1:110" x14ac:dyDescent="0.2">
      <c r="A154" s="160"/>
      <c r="B154" s="5">
        <f t="shared" si="42"/>
        <v>152</v>
      </c>
      <c r="C154" s="131" t="str">
        <f t="shared" ref="C154:C162" si="56">CONCATENATE("CNS",G154)</f>
        <v>CNS188</v>
      </c>
      <c r="D154" s="135" t="s">
        <v>286</v>
      </c>
      <c r="E154" s="131" t="str">
        <f t="shared" si="48"/>
        <v>CNS188_CONTROL</v>
      </c>
      <c r="F154" s="131"/>
      <c r="G154" s="130">
        <f t="shared" si="51"/>
        <v>188</v>
      </c>
      <c r="H154" s="131"/>
      <c r="I154" s="131"/>
      <c r="J154" s="132" t="s">
        <v>24</v>
      </c>
      <c r="K154" s="132" t="s">
        <v>177</v>
      </c>
      <c r="L154" s="132" t="s">
        <v>301</v>
      </c>
      <c r="M154" s="131" t="s">
        <v>81</v>
      </c>
      <c r="N154" s="131" t="s">
        <v>81</v>
      </c>
      <c r="O154" s="131" t="s">
        <v>81</v>
      </c>
      <c r="P154" s="131" t="s">
        <v>311</v>
      </c>
      <c r="Q154" s="131" t="s">
        <v>81</v>
      </c>
      <c r="R154" s="131" t="s">
        <v>89</v>
      </c>
      <c r="S154" s="131" t="s">
        <v>297</v>
      </c>
      <c r="T154" s="131"/>
      <c r="U154" s="132" t="s">
        <v>81</v>
      </c>
      <c r="V154" s="132" t="s">
        <v>172</v>
      </c>
      <c r="W154" s="132"/>
      <c r="X154" s="132"/>
      <c r="Y154" s="133">
        <v>0</v>
      </c>
      <c r="Z154" s="133">
        <v>14</v>
      </c>
      <c r="AA154" s="132" t="s">
        <v>71</v>
      </c>
      <c r="AB154" s="132" t="s">
        <v>60</v>
      </c>
      <c r="AC154" s="132" t="s">
        <v>60</v>
      </c>
      <c r="AD154" s="132" t="s">
        <v>71</v>
      </c>
      <c r="AE154" s="132" t="s">
        <v>71</v>
      </c>
      <c r="AF154" s="134" t="s">
        <v>68</v>
      </c>
      <c r="AG154" s="132" t="s">
        <v>81</v>
      </c>
      <c r="AH154" s="132" t="s">
        <v>71</v>
      </c>
      <c r="AI154" s="132" t="s">
        <v>60</v>
      </c>
      <c r="AJ154" s="132" t="s">
        <v>71</v>
      </c>
      <c r="AK154" s="132" t="s">
        <v>60</v>
      </c>
      <c r="AL154" s="132" t="s">
        <v>60</v>
      </c>
      <c r="AM154" s="132" t="s">
        <v>60</v>
      </c>
      <c r="AN154" s="132" t="s">
        <v>60</v>
      </c>
      <c r="AO154" s="132" t="s">
        <v>71</v>
      </c>
      <c r="AP154" s="132" t="s">
        <v>71</v>
      </c>
      <c r="AQ154" s="132" t="s">
        <v>71</v>
      </c>
      <c r="AR154" s="132" t="s">
        <v>71</v>
      </c>
      <c r="AS154" s="132" t="s">
        <v>71</v>
      </c>
      <c r="AT154" s="132" t="s">
        <v>71</v>
      </c>
      <c r="AU154" s="132" t="s">
        <v>71</v>
      </c>
      <c r="AV154" s="132" t="s">
        <v>71</v>
      </c>
      <c r="AW154" s="132" t="s">
        <v>71</v>
      </c>
      <c r="AX154" s="132" t="s">
        <v>71</v>
      </c>
      <c r="AY154" s="132" t="s">
        <v>71</v>
      </c>
      <c r="AZ154" s="132" t="s">
        <v>71</v>
      </c>
      <c r="BA154" s="132" t="s">
        <v>71</v>
      </c>
      <c r="BB154" s="132" t="s">
        <v>71</v>
      </c>
      <c r="BC154" s="132" t="s">
        <v>71</v>
      </c>
      <c r="BD154" s="132" t="s">
        <v>71</v>
      </c>
      <c r="BE154" s="132" t="s">
        <v>71</v>
      </c>
      <c r="BF154" s="132" t="s">
        <v>71</v>
      </c>
      <c r="BG154" s="132" t="s">
        <v>71</v>
      </c>
      <c r="BH154" s="132" t="s">
        <v>71</v>
      </c>
      <c r="BI154" s="132" t="s">
        <v>71</v>
      </c>
      <c r="BJ154" s="132" t="s">
        <v>71</v>
      </c>
      <c r="BK154" s="132" t="s">
        <v>71</v>
      </c>
      <c r="BL154" s="132" t="s">
        <v>71</v>
      </c>
      <c r="BM154" s="132" t="s">
        <v>71</v>
      </c>
      <c r="BN154" s="132" t="s">
        <v>71</v>
      </c>
      <c r="BO154" s="132" t="s">
        <v>71</v>
      </c>
      <c r="BP154" s="132" t="s">
        <v>71</v>
      </c>
      <c r="BQ154" s="132" t="s">
        <v>71</v>
      </c>
      <c r="BR154" s="132" t="s">
        <v>71</v>
      </c>
      <c r="BS154" s="132" t="s">
        <v>71</v>
      </c>
      <c r="BT154" s="132" t="s">
        <v>71</v>
      </c>
      <c r="BU154" s="132" t="s">
        <v>60</v>
      </c>
      <c r="BV154" s="132" t="s">
        <v>71</v>
      </c>
      <c r="BW154" s="132" t="s">
        <v>60</v>
      </c>
      <c r="BX154" s="132" t="s">
        <v>71</v>
      </c>
      <c r="BY154" s="132" t="s">
        <v>60</v>
      </c>
      <c r="BZ154" s="132" t="s">
        <v>71</v>
      </c>
      <c r="CA154" s="132" t="s">
        <v>60</v>
      </c>
      <c r="CB154" s="132" t="s">
        <v>71</v>
      </c>
      <c r="CC154" s="132" t="s">
        <v>60</v>
      </c>
      <c r="CD154" s="132" t="s">
        <v>71</v>
      </c>
      <c r="CE154" s="132" t="s">
        <v>60</v>
      </c>
      <c r="CF154" s="132" t="s">
        <v>71</v>
      </c>
      <c r="CG154" s="132" t="s">
        <v>60</v>
      </c>
      <c r="CH154" s="132" t="s">
        <v>71</v>
      </c>
      <c r="CI154" s="132" t="s">
        <v>60</v>
      </c>
      <c r="CJ154" s="132" t="s">
        <v>71</v>
      </c>
      <c r="CK154" s="132" t="s">
        <v>60</v>
      </c>
      <c r="CL154" s="132" t="s">
        <v>71</v>
      </c>
      <c r="CM154" s="132" t="s">
        <v>60</v>
      </c>
      <c r="CN154" s="132" t="s">
        <v>71</v>
      </c>
      <c r="CO154" s="132" t="s">
        <v>60</v>
      </c>
      <c r="CP154" s="132" t="s">
        <v>71</v>
      </c>
      <c r="CQ154" s="132" t="s">
        <v>60</v>
      </c>
      <c r="CR154" s="132" t="s">
        <v>71</v>
      </c>
      <c r="CS154" s="132" t="s">
        <v>60</v>
      </c>
      <c r="CT154" s="132" t="s">
        <v>71</v>
      </c>
      <c r="CU154" s="132" t="s">
        <v>60</v>
      </c>
      <c r="CV154" s="132" t="s">
        <v>71</v>
      </c>
      <c r="CW154" s="132" t="s">
        <v>60</v>
      </c>
      <c r="CX154" s="132" t="s">
        <v>71</v>
      </c>
      <c r="CY154" s="132" t="s">
        <v>60</v>
      </c>
      <c r="CZ154" s="132" t="s">
        <v>71</v>
      </c>
      <c r="DA154" s="132" t="s">
        <v>60</v>
      </c>
      <c r="DB154" s="132" t="s">
        <v>71</v>
      </c>
      <c r="DC154" s="132" t="s">
        <v>60</v>
      </c>
      <c r="DD154" s="132" t="s">
        <v>71</v>
      </c>
      <c r="DE154" s="137" t="str">
        <f t="shared" si="50"/>
        <v>FETAL</v>
      </c>
      <c r="DF154" s="137">
        <f t="shared" si="55"/>
        <v>0</v>
      </c>
    </row>
    <row r="155" spans="1:110" x14ac:dyDescent="0.2">
      <c r="A155" s="160"/>
      <c r="B155" s="5">
        <f t="shared" si="42"/>
        <v>153</v>
      </c>
      <c r="C155" s="131" t="str">
        <f t="shared" si="56"/>
        <v>CNS189</v>
      </c>
      <c r="D155" s="135" t="s">
        <v>287</v>
      </c>
      <c r="E155" s="131" t="str">
        <f t="shared" si="48"/>
        <v>CNS189_CONTROL</v>
      </c>
      <c r="F155" s="131"/>
      <c r="G155" s="130">
        <f t="shared" si="51"/>
        <v>189</v>
      </c>
      <c r="H155" s="131"/>
      <c r="I155" s="131"/>
      <c r="J155" s="132" t="s">
        <v>25</v>
      </c>
      <c r="K155" s="132" t="s">
        <v>177</v>
      </c>
      <c r="L155" s="132" t="s">
        <v>301</v>
      </c>
      <c r="M155" s="131" t="s">
        <v>81</v>
      </c>
      <c r="N155" s="131" t="s">
        <v>81</v>
      </c>
      <c r="O155" s="131" t="s">
        <v>81</v>
      </c>
      <c r="P155" s="131" t="s">
        <v>311</v>
      </c>
      <c r="Q155" s="131" t="s">
        <v>81</v>
      </c>
      <c r="R155" s="131" t="s">
        <v>89</v>
      </c>
      <c r="S155" s="131" t="s">
        <v>297</v>
      </c>
      <c r="T155" s="131"/>
      <c r="U155" s="132" t="s">
        <v>81</v>
      </c>
      <c r="V155" s="132" t="s">
        <v>172</v>
      </c>
      <c r="W155" s="132"/>
      <c r="X155" s="132"/>
      <c r="Y155" s="133">
        <v>0</v>
      </c>
      <c r="Z155" s="133">
        <v>16</v>
      </c>
      <c r="AA155" s="132" t="s">
        <v>71</v>
      </c>
      <c r="AB155" s="132" t="s">
        <v>60</v>
      </c>
      <c r="AC155" s="132" t="s">
        <v>60</v>
      </c>
      <c r="AD155" s="132" t="s">
        <v>71</v>
      </c>
      <c r="AE155" s="132" t="s">
        <v>71</v>
      </c>
      <c r="AF155" s="134" t="s">
        <v>68</v>
      </c>
      <c r="AG155" s="132" t="s">
        <v>81</v>
      </c>
      <c r="AH155" s="132" t="s">
        <v>71</v>
      </c>
      <c r="AI155" s="132" t="s">
        <v>60</v>
      </c>
      <c r="AJ155" s="132" t="s">
        <v>71</v>
      </c>
      <c r="AK155" s="132" t="s">
        <v>60</v>
      </c>
      <c r="AL155" s="132" t="s">
        <v>60</v>
      </c>
      <c r="AM155" s="132" t="s">
        <v>60</v>
      </c>
      <c r="AN155" s="132" t="s">
        <v>60</v>
      </c>
      <c r="AO155" s="132" t="s">
        <v>71</v>
      </c>
      <c r="AP155" s="132" t="s">
        <v>71</v>
      </c>
      <c r="AQ155" s="132" t="s">
        <v>71</v>
      </c>
      <c r="AR155" s="132" t="s">
        <v>71</v>
      </c>
      <c r="AS155" s="132" t="s">
        <v>71</v>
      </c>
      <c r="AT155" s="132" t="s">
        <v>71</v>
      </c>
      <c r="AU155" s="132" t="s">
        <v>71</v>
      </c>
      <c r="AV155" s="132" t="s">
        <v>71</v>
      </c>
      <c r="AW155" s="132" t="s">
        <v>71</v>
      </c>
      <c r="AX155" s="132" t="s">
        <v>71</v>
      </c>
      <c r="AY155" s="132" t="s">
        <v>71</v>
      </c>
      <c r="AZ155" s="132" t="s">
        <v>71</v>
      </c>
      <c r="BA155" s="132" t="s">
        <v>71</v>
      </c>
      <c r="BB155" s="132" t="s">
        <v>71</v>
      </c>
      <c r="BC155" s="132" t="s">
        <v>71</v>
      </c>
      <c r="BD155" s="132" t="s">
        <v>71</v>
      </c>
      <c r="BE155" s="132" t="s">
        <v>71</v>
      </c>
      <c r="BF155" s="132" t="s">
        <v>71</v>
      </c>
      <c r="BG155" s="132" t="s">
        <v>71</v>
      </c>
      <c r="BH155" s="132" t="s">
        <v>71</v>
      </c>
      <c r="BI155" s="132" t="s">
        <v>71</v>
      </c>
      <c r="BJ155" s="132" t="s">
        <v>71</v>
      </c>
      <c r="BK155" s="132" t="s">
        <v>71</v>
      </c>
      <c r="BL155" s="132" t="s">
        <v>71</v>
      </c>
      <c r="BM155" s="132" t="s">
        <v>71</v>
      </c>
      <c r="BN155" s="132" t="s">
        <v>71</v>
      </c>
      <c r="BO155" s="132" t="s">
        <v>71</v>
      </c>
      <c r="BP155" s="132" t="s">
        <v>71</v>
      </c>
      <c r="BQ155" s="132" t="s">
        <v>71</v>
      </c>
      <c r="BR155" s="132" t="s">
        <v>71</v>
      </c>
      <c r="BS155" s="132" t="s">
        <v>71</v>
      </c>
      <c r="BT155" s="132" t="s">
        <v>71</v>
      </c>
      <c r="BU155" s="132" t="s">
        <v>60</v>
      </c>
      <c r="BV155" s="132" t="s">
        <v>71</v>
      </c>
      <c r="BW155" s="132" t="s">
        <v>60</v>
      </c>
      <c r="BX155" s="132" t="s">
        <v>71</v>
      </c>
      <c r="BY155" s="132" t="s">
        <v>60</v>
      </c>
      <c r="BZ155" s="132" t="s">
        <v>71</v>
      </c>
      <c r="CA155" s="132" t="s">
        <v>60</v>
      </c>
      <c r="CB155" s="132" t="s">
        <v>71</v>
      </c>
      <c r="CC155" s="132" t="s">
        <v>60</v>
      </c>
      <c r="CD155" s="132" t="s">
        <v>71</v>
      </c>
      <c r="CE155" s="132" t="s">
        <v>60</v>
      </c>
      <c r="CF155" s="132" t="s">
        <v>71</v>
      </c>
      <c r="CG155" s="132" t="s">
        <v>60</v>
      </c>
      <c r="CH155" s="132" t="s">
        <v>71</v>
      </c>
      <c r="CI155" s="132" t="s">
        <v>60</v>
      </c>
      <c r="CJ155" s="132" t="s">
        <v>71</v>
      </c>
      <c r="CK155" s="132" t="s">
        <v>60</v>
      </c>
      <c r="CL155" s="132" t="s">
        <v>71</v>
      </c>
      <c r="CM155" s="132" t="s">
        <v>60</v>
      </c>
      <c r="CN155" s="132" t="s">
        <v>71</v>
      </c>
      <c r="CO155" s="132" t="s">
        <v>60</v>
      </c>
      <c r="CP155" s="132" t="s">
        <v>71</v>
      </c>
      <c r="CQ155" s="132" t="s">
        <v>60</v>
      </c>
      <c r="CR155" s="132" t="s">
        <v>71</v>
      </c>
      <c r="CS155" s="132" t="s">
        <v>60</v>
      </c>
      <c r="CT155" s="132" t="s">
        <v>71</v>
      </c>
      <c r="CU155" s="132" t="s">
        <v>60</v>
      </c>
      <c r="CV155" s="132" t="s">
        <v>71</v>
      </c>
      <c r="CW155" s="132" t="s">
        <v>60</v>
      </c>
      <c r="CX155" s="132" t="s">
        <v>71</v>
      </c>
      <c r="CY155" s="132" t="s">
        <v>60</v>
      </c>
      <c r="CZ155" s="132" t="s">
        <v>71</v>
      </c>
      <c r="DA155" s="132" t="s">
        <v>60</v>
      </c>
      <c r="DB155" s="132" t="s">
        <v>71</v>
      </c>
      <c r="DC155" s="132" t="s">
        <v>60</v>
      </c>
      <c r="DD155" s="132" t="s">
        <v>71</v>
      </c>
      <c r="DE155" s="137" t="str">
        <f t="shared" si="50"/>
        <v>FETAL</v>
      </c>
      <c r="DF155" s="137">
        <f t="shared" si="55"/>
        <v>0</v>
      </c>
    </row>
    <row r="156" spans="1:110" x14ac:dyDescent="0.2">
      <c r="A156" s="160"/>
      <c r="B156" s="5">
        <f t="shared" si="42"/>
        <v>154</v>
      </c>
      <c r="C156" s="131" t="str">
        <f t="shared" si="56"/>
        <v>CNS190</v>
      </c>
      <c r="D156" s="135" t="s">
        <v>288</v>
      </c>
      <c r="E156" s="131" t="str">
        <f t="shared" si="48"/>
        <v>CNS190_CONTROL</v>
      </c>
      <c r="F156" s="131"/>
      <c r="G156" s="130">
        <f t="shared" si="51"/>
        <v>190</v>
      </c>
      <c r="H156" s="131"/>
      <c r="I156" s="131"/>
      <c r="J156" s="132" t="s">
        <v>24</v>
      </c>
      <c r="K156" s="132" t="s">
        <v>177</v>
      </c>
      <c r="L156" s="132" t="s">
        <v>301</v>
      </c>
      <c r="M156" s="131" t="s">
        <v>81</v>
      </c>
      <c r="N156" s="131" t="s">
        <v>81</v>
      </c>
      <c r="O156" s="131" t="s">
        <v>81</v>
      </c>
      <c r="P156" s="131" t="s">
        <v>311</v>
      </c>
      <c r="Q156" s="131" t="s">
        <v>81</v>
      </c>
      <c r="R156" s="131" t="s">
        <v>89</v>
      </c>
      <c r="S156" s="131" t="s">
        <v>297</v>
      </c>
      <c r="T156" s="131"/>
      <c r="U156" s="132" t="s">
        <v>81</v>
      </c>
      <c r="V156" s="132" t="s">
        <v>172</v>
      </c>
      <c r="W156" s="132"/>
      <c r="X156" s="132"/>
      <c r="Y156" s="133">
        <v>0</v>
      </c>
      <c r="Z156" s="133">
        <v>18</v>
      </c>
      <c r="AA156" s="132" t="s">
        <v>71</v>
      </c>
      <c r="AB156" s="132" t="s">
        <v>60</v>
      </c>
      <c r="AC156" s="132" t="s">
        <v>60</v>
      </c>
      <c r="AD156" s="132" t="s">
        <v>71</v>
      </c>
      <c r="AE156" s="132" t="s">
        <v>71</v>
      </c>
      <c r="AF156" s="134" t="s">
        <v>68</v>
      </c>
      <c r="AG156" s="132" t="s">
        <v>81</v>
      </c>
      <c r="AH156" s="132" t="s">
        <v>71</v>
      </c>
      <c r="AI156" s="132" t="s">
        <v>60</v>
      </c>
      <c r="AJ156" s="132" t="s">
        <v>71</v>
      </c>
      <c r="AK156" s="132" t="s">
        <v>60</v>
      </c>
      <c r="AL156" s="132" t="s">
        <v>60</v>
      </c>
      <c r="AM156" s="132" t="s">
        <v>60</v>
      </c>
      <c r="AN156" s="132" t="s">
        <v>60</v>
      </c>
      <c r="AO156" s="132" t="s">
        <v>71</v>
      </c>
      <c r="AP156" s="132" t="s">
        <v>71</v>
      </c>
      <c r="AQ156" s="132" t="s">
        <v>71</v>
      </c>
      <c r="AR156" s="132" t="s">
        <v>71</v>
      </c>
      <c r="AS156" s="132" t="s">
        <v>71</v>
      </c>
      <c r="AT156" s="132" t="s">
        <v>71</v>
      </c>
      <c r="AU156" s="132" t="s">
        <v>71</v>
      </c>
      <c r="AV156" s="132" t="s">
        <v>71</v>
      </c>
      <c r="AW156" s="132" t="s">
        <v>71</v>
      </c>
      <c r="AX156" s="132" t="s">
        <v>71</v>
      </c>
      <c r="AY156" s="132" t="s">
        <v>71</v>
      </c>
      <c r="AZ156" s="132" t="s">
        <v>71</v>
      </c>
      <c r="BA156" s="132" t="s">
        <v>71</v>
      </c>
      <c r="BB156" s="132" t="s">
        <v>71</v>
      </c>
      <c r="BC156" s="132" t="s">
        <v>71</v>
      </c>
      <c r="BD156" s="132" t="s">
        <v>71</v>
      </c>
      <c r="BE156" s="132" t="s">
        <v>71</v>
      </c>
      <c r="BF156" s="132" t="s">
        <v>71</v>
      </c>
      <c r="BG156" s="132" t="s">
        <v>71</v>
      </c>
      <c r="BH156" s="132" t="s">
        <v>71</v>
      </c>
      <c r="BI156" s="132" t="s">
        <v>71</v>
      </c>
      <c r="BJ156" s="132" t="s">
        <v>71</v>
      </c>
      <c r="BK156" s="132" t="s">
        <v>71</v>
      </c>
      <c r="BL156" s="132" t="s">
        <v>71</v>
      </c>
      <c r="BM156" s="132" t="s">
        <v>71</v>
      </c>
      <c r="BN156" s="132" t="s">
        <v>71</v>
      </c>
      <c r="BO156" s="132" t="s">
        <v>71</v>
      </c>
      <c r="BP156" s="132" t="s">
        <v>71</v>
      </c>
      <c r="BQ156" s="132" t="s">
        <v>71</v>
      </c>
      <c r="BR156" s="132" t="s">
        <v>71</v>
      </c>
      <c r="BS156" s="132" t="s">
        <v>71</v>
      </c>
      <c r="BT156" s="132" t="s">
        <v>71</v>
      </c>
      <c r="BU156" s="132" t="s">
        <v>60</v>
      </c>
      <c r="BV156" s="132" t="s">
        <v>71</v>
      </c>
      <c r="BW156" s="132" t="s">
        <v>60</v>
      </c>
      <c r="BX156" s="132" t="s">
        <v>71</v>
      </c>
      <c r="BY156" s="132" t="s">
        <v>60</v>
      </c>
      <c r="BZ156" s="132" t="s">
        <v>71</v>
      </c>
      <c r="CA156" s="132" t="s">
        <v>60</v>
      </c>
      <c r="CB156" s="132" t="s">
        <v>71</v>
      </c>
      <c r="CC156" s="132" t="s">
        <v>60</v>
      </c>
      <c r="CD156" s="132" t="s">
        <v>71</v>
      </c>
      <c r="CE156" s="132" t="s">
        <v>60</v>
      </c>
      <c r="CF156" s="132" t="s">
        <v>71</v>
      </c>
      <c r="CG156" s="132" t="s">
        <v>60</v>
      </c>
      <c r="CH156" s="132" t="s">
        <v>71</v>
      </c>
      <c r="CI156" s="132" t="s">
        <v>60</v>
      </c>
      <c r="CJ156" s="132" t="s">
        <v>71</v>
      </c>
      <c r="CK156" s="132" t="s">
        <v>60</v>
      </c>
      <c r="CL156" s="132" t="s">
        <v>71</v>
      </c>
      <c r="CM156" s="132" t="s">
        <v>60</v>
      </c>
      <c r="CN156" s="132" t="s">
        <v>71</v>
      </c>
      <c r="CO156" s="132" t="s">
        <v>60</v>
      </c>
      <c r="CP156" s="132" t="s">
        <v>71</v>
      </c>
      <c r="CQ156" s="132" t="s">
        <v>60</v>
      </c>
      <c r="CR156" s="132" t="s">
        <v>71</v>
      </c>
      <c r="CS156" s="132" t="s">
        <v>60</v>
      </c>
      <c r="CT156" s="132" t="s">
        <v>71</v>
      </c>
      <c r="CU156" s="132" t="s">
        <v>60</v>
      </c>
      <c r="CV156" s="132" t="s">
        <v>71</v>
      </c>
      <c r="CW156" s="132" t="s">
        <v>60</v>
      </c>
      <c r="CX156" s="132" t="s">
        <v>71</v>
      </c>
      <c r="CY156" s="132" t="s">
        <v>60</v>
      </c>
      <c r="CZ156" s="132" t="s">
        <v>71</v>
      </c>
      <c r="DA156" s="132" t="s">
        <v>60</v>
      </c>
      <c r="DB156" s="132" t="s">
        <v>71</v>
      </c>
      <c r="DC156" s="132" t="s">
        <v>60</v>
      </c>
      <c r="DD156" s="132" t="s">
        <v>71</v>
      </c>
      <c r="DE156" s="137" t="str">
        <f t="shared" si="50"/>
        <v>FETAL</v>
      </c>
      <c r="DF156" s="137">
        <f t="shared" si="55"/>
        <v>0</v>
      </c>
    </row>
    <row r="157" spans="1:110" x14ac:dyDescent="0.2">
      <c r="A157" s="160"/>
      <c r="B157" s="5">
        <f t="shared" ref="B157:B162" si="57">B156+1</f>
        <v>155</v>
      </c>
      <c r="C157" s="131" t="str">
        <f t="shared" si="56"/>
        <v>CNS191</v>
      </c>
      <c r="D157" s="135" t="s">
        <v>289</v>
      </c>
      <c r="E157" s="131" t="str">
        <f t="shared" si="48"/>
        <v>CNS191_CONTROL</v>
      </c>
      <c r="F157" s="131"/>
      <c r="G157" s="130">
        <f t="shared" si="51"/>
        <v>191</v>
      </c>
      <c r="H157" s="131"/>
      <c r="I157" s="131"/>
      <c r="J157" s="132" t="s">
        <v>25</v>
      </c>
      <c r="K157" s="132" t="s">
        <v>177</v>
      </c>
      <c r="L157" s="132" t="s">
        <v>301</v>
      </c>
      <c r="M157" s="131" t="s">
        <v>81</v>
      </c>
      <c r="N157" s="131" t="s">
        <v>81</v>
      </c>
      <c r="O157" s="131" t="s">
        <v>81</v>
      </c>
      <c r="P157" s="131" t="s">
        <v>312</v>
      </c>
      <c r="Q157" s="131" t="s">
        <v>81</v>
      </c>
      <c r="R157" s="131" t="s">
        <v>89</v>
      </c>
      <c r="S157" s="131" t="s">
        <v>297</v>
      </c>
      <c r="T157" s="131"/>
      <c r="U157" s="132" t="s">
        <v>81</v>
      </c>
      <c r="V157" s="132" t="s">
        <v>175</v>
      </c>
      <c r="W157" s="132"/>
      <c r="X157" s="132"/>
      <c r="Y157" s="133">
        <v>0.16438356164383561</v>
      </c>
      <c r="Z157" s="133">
        <f t="shared" si="54"/>
        <v>43.890410958904113</v>
      </c>
      <c r="AA157" s="132" t="s">
        <v>71</v>
      </c>
      <c r="AB157" s="132" t="s">
        <v>60</v>
      </c>
      <c r="AC157" s="132" t="s">
        <v>60</v>
      </c>
      <c r="AD157" s="132" t="s">
        <v>71</v>
      </c>
      <c r="AE157" s="132" t="s">
        <v>71</v>
      </c>
      <c r="AF157" s="134" t="s">
        <v>68</v>
      </c>
      <c r="AG157" s="132" t="s">
        <v>81</v>
      </c>
      <c r="AH157" s="132" t="s">
        <v>71</v>
      </c>
      <c r="AI157" s="132" t="s">
        <v>60</v>
      </c>
      <c r="AJ157" s="132" t="s">
        <v>71</v>
      </c>
      <c r="AK157" s="132" t="s">
        <v>60</v>
      </c>
      <c r="AL157" s="132" t="s">
        <v>60</v>
      </c>
      <c r="AM157" s="132" t="s">
        <v>60</v>
      </c>
      <c r="AN157" s="132" t="s">
        <v>60</v>
      </c>
      <c r="AO157" s="132" t="s">
        <v>71</v>
      </c>
      <c r="AP157" s="132" t="s">
        <v>71</v>
      </c>
      <c r="AQ157" s="132" t="s">
        <v>71</v>
      </c>
      <c r="AR157" s="132" t="s">
        <v>71</v>
      </c>
      <c r="AS157" s="132" t="s">
        <v>71</v>
      </c>
      <c r="AT157" s="132" t="s">
        <v>71</v>
      </c>
      <c r="AU157" s="132" t="s">
        <v>71</v>
      </c>
      <c r="AV157" s="132" t="s">
        <v>71</v>
      </c>
      <c r="AW157" s="132" t="s">
        <v>71</v>
      </c>
      <c r="AX157" s="132" t="s">
        <v>71</v>
      </c>
      <c r="AY157" s="132" t="s">
        <v>71</v>
      </c>
      <c r="AZ157" s="132" t="s">
        <v>71</v>
      </c>
      <c r="BA157" s="132" t="s">
        <v>71</v>
      </c>
      <c r="BB157" s="132" t="s">
        <v>71</v>
      </c>
      <c r="BC157" s="132" t="s">
        <v>71</v>
      </c>
      <c r="BD157" s="132" t="s">
        <v>71</v>
      </c>
      <c r="BE157" s="132" t="s">
        <v>71</v>
      </c>
      <c r="BF157" s="132" t="s">
        <v>71</v>
      </c>
      <c r="BG157" s="132" t="s">
        <v>71</v>
      </c>
      <c r="BH157" s="132" t="s">
        <v>71</v>
      </c>
      <c r="BI157" s="132" t="s">
        <v>71</v>
      </c>
      <c r="BJ157" s="132" t="s">
        <v>71</v>
      </c>
      <c r="BK157" s="132" t="s">
        <v>71</v>
      </c>
      <c r="BL157" s="132" t="s">
        <v>71</v>
      </c>
      <c r="BM157" s="132" t="s">
        <v>71</v>
      </c>
      <c r="BN157" s="132" t="s">
        <v>71</v>
      </c>
      <c r="BO157" s="132" t="s">
        <v>71</v>
      </c>
      <c r="BP157" s="132" t="s">
        <v>71</v>
      </c>
      <c r="BQ157" s="132" t="s">
        <v>71</v>
      </c>
      <c r="BR157" s="132" t="s">
        <v>71</v>
      </c>
      <c r="BS157" s="132" t="s">
        <v>71</v>
      </c>
      <c r="BT157" s="132" t="s">
        <v>71</v>
      </c>
      <c r="BU157" s="132" t="s">
        <v>60</v>
      </c>
      <c r="BV157" s="132" t="s">
        <v>71</v>
      </c>
      <c r="BW157" s="132" t="s">
        <v>60</v>
      </c>
      <c r="BX157" s="132" t="s">
        <v>71</v>
      </c>
      <c r="BY157" s="132" t="s">
        <v>60</v>
      </c>
      <c r="BZ157" s="132" t="s">
        <v>71</v>
      </c>
      <c r="CA157" s="132" t="s">
        <v>60</v>
      </c>
      <c r="CB157" s="132" t="s">
        <v>71</v>
      </c>
      <c r="CC157" s="132" t="s">
        <v>60</v>
      </c>
      <c r="CD157" s="132" t="s">
        <v>71</v>
      </c>
      <c r="CE157" s="132" t="s">
        <v>60</v>
      </c>
      <c r="CF157" s="132" t="s">
        <v>71</v>
      </c>
      <c r="CG157" s="132" t="s">
        <v>60</v>
      </c>
      <c r="CH157" s="132" t="s">
        <v>71</v>
      </c>
      <c r="CI157" s="132" t="s">
        <v>60</v>
      </c>
      <c r="CJ157" s="132" t="s">
        <v>71</v>
      </c>
      <c r="CK157" s="132" t="s">
        <v>60</v>
      </c>
      <c r="CL157" s="132" t="s">
        <v>71</v>
      </c>
      <c r="CM157" s="132" t="s">
        <v>60</v>
      </c>
      <c r="CN157" s="132" t="s">
        <v>71</v>
      </c>
      <c r="CO157" s="132" t="s">
        <v>60</v>
      </c>
      <c r="CP157" s="132" t="s">
        <v>71</v>
      </c>
      <c r="CQ157" s="132" t="s">
        <v>60</v>
      </c>
      <c r="CR157" s="132" t="s">
        <v>71</v>
      </c>
      <c r="CS157" s="132" t="s">
        <v>60</v>
      </c>
      <c r="CT157" s="132" t="s">
        <v>71</v>
      </c>
      <c r="CU157" s="132" t="s">
        <v>60</v>
      </c>
      <c r="CV157" s="132" t="s">
        <v>71</v>
      </c>
      <c r="CW157" s="132" t="s">
        <v>60</v>
      </c>
      <c r="CX157" s="132" t="s">
        <v>71</v>
      </c>
      <c r="CY157" s="132" t="s">
        <v>60</v>
      </c>
      <c r="CZ157" s="132" t="s">
        <v>71</v>
      </c>
      <c r="DA157" s="132" t="s">
        <v>60</v>
      </c>
      <c r="DB157" s="132" t="s">
        <v>71</v>
      </c>
      <c r="DC157" s="132" t="s">
        <v>60</v>
      </c>
      <c r="DD157" s="132" t="s">
        <v>71</v>
      </c>
      <c r="DE157" s="137" t="str">
        <f t="shared" si="50"/>
        <v>3&gt; YEARS OLD</v>
      </c>
      <c r="DF157" s="137">
        <f t="shared" si="55"/>
        <v>0</v>
      </c>
    </row>
    <row r="158" spans="1:110" x14ac:dyDescent="0.2">
      <c r="A158" s="160"/>
      <c r="B158" s="5">
        <f t="shared" si="57"/>
        <v>156</v>
      </c>
      <c r="C158" s="131" t="str">
        <f t="shared" si="56"/>
        <v>CNS192</v>
      </c>
      <c r="D158" s="135" t="s">
        <v>290</v>
      </c>
      <c r="E158" s="131" t="str">
        <f t="shared" si="48"/>
        <v>CNS192_CONTROL</v>
      </c>
      <c r="F158" s="131"/>
      <c r="G158" s="130">
        <f t="shared" si="51"/>
        <v>192</v>
      </c>
      <c r="H158" s="131"/>
      <c r="I158" s="131"/>
      <c r="J158" s="132" t="s">
        <v>24</v>
      </c>
      <c r="K158" s="132" t="s">
        <v>177</v>
      </c>
      <c r="L158" s="132" t="s">
        <v>301</v>
      </c>
      <c r="M158" s="131" t="s">
        <v>81</v>
      </c>
      <c r="N158" s="131" t="s">
        <v>81</v>
      </c>
      <c r="O158" s="131" t="s">
        <v>81</v>
      </c>
      <c r="P158" s="131" t="s">
        <v>311</v>
      </c>
      <c r="Q158" s="131" t="s">
        <v>81</v>
      </c>
      <c r="R158" s="131" t="s">
        <v>89</v>
      </c>
      <c r="S158" s="131" t="s">
        <v>297</v>
      </c>
      <c r="T158" s="131"/>
      <c r="U158" s="132" t="s">
        <v>81</v>
      </c>
      <c r="V158" s="132" t="s">
        <v>172</v>
      </c>
      <c r="W158" s="132"/>
      <c r="X158" s="132"/>
      <c r="Y158" s="133">
        <v>0</v>
      </c>
      <c r="Z158" s="133">
        <v>19</v>
      </c>
      <c r="AA158" s="132" t="s">
        <v>71</v>
      </c>
      <c r="AB158" s="132" t="s">
        <v>60</v>
      </c>
      <c r="AC158" s="132" t="s">
        <v>60</v>
      </c>
      <c r="AD158" s="132" t="s">
        <v>71</v>
      </c>
      <c r="AE158" s="132" t="s">
        <v>71</v>
      </c>
      <c r="AF158" s="134" t="s">
        <v>68</v>
      </c>
      <c r="AG158" s="132" t="s">
        <v>81</v>
      </c>
      <c r="AH158" s="132" t="s">
        <v>71</v>
      </c>
      <c r="AI158" s="132" t="s">
        <v>60</v>
      </c>
      <c r="AJ158" s="132" t="s">
        <v>71</v>
      </c>
      <c r="AK158" s="132" t="s">
        <v>60</v>
      </c>
      <c r="AL158" s="132" t="s">
        <v>60</v>
      </c>
      <c r="AM158" s="132" t="s">
        <v>60</v>
      </c>
      <c r="AN158" s="132" t="s">
        <v>60</v>
      </c>
      <c r="AO158" s="132" t="s">
        <v>71</v>
      </c>
      <c r="AP158" s="132" t="s">
        <v>71</v>
      </c>
      <c r="AQ158" s="132" t="s">
        <v>71</v>
      </c>
      <c r="AR158" s="132" t="s">
        <v>71</v>
      </c>
      <c r="AS158" s="132" t="s">
        <v>71</v>
      </c>
      <c r="AT158" s="132" t="s">
        <v>71</v>
      </c>
      <c r="AU158" s="132" t="s">
        <v>71</v>
      </c>
      <c r="AV158" s="132" t="s">
        <v>71</v>
      </c>
      <c r="AW158" s="132" t="s">
        <v>71</v>
      </c>
      <c r="AX158" s="132" t="s">
        <v>71</v>
      </c>
      <c r="AY158" s="132" t="s">
        <v>71</v>
      </c>
      <c r="AZ158" s="132" t="s">
        <v>71</v>
      </c>
      <c r="BA158" s="132" t="s">
        <v>71</v>
      </c>
      <c r="BB158" s="132" t="s">
        <v>71</v>
      </c>
      <c r="BC158" s="132" t="s">
        <v>71</v>
      </c>
      <c r="BD158" s="132" t="s">
        <v>71</v>
      </c>
      <c r="BE158" s="132" t="s">
        <v>71</v>
      </c>
      <c r="BF158" s="132" t="s">
        <v>71</v>
      </c>
      <c r="BG158" s="132" t="s">
        <v>71</v>
      </c>
      <c r="BH158" s="132" t="s">
        <v>71</v>
      </c>
      <c r="BI158" s="132" t="s">
        <v>71</v>
      </c>
      <c r="BJ158" s="132" t="s">
        <v>71</v>
      </c>
      <c r="BK158" s="132" t="s">
        <v>71</v>
      </c>
      <c r="BL158" s="132" t="s">
        <v>71</v>
      </c>
      <c r="BM158" s="132" t="s">
        <v>71</v>
      </c>
      <c r="BN158" s="132" t="s">
        <v>71</v>
      </c>
      <c r="BO158" s="132" t="s">
        <v>71</v>
      </c>
      <c r="BP158" s="132" t="s">
        <v>71</v>
      </c>
      <c r="BQ158" s="132" t="s">
        <v>71</v>
      </c>
      <c r="BR158" s="132" t="s">
        <v>71</v>
      </c>
      <c r="BS158" s="132" t="s">
        <v>71</v>
      </c>
      <c r="BT158" s="132" t="s">
        <v>71</v>
      </c>
      <c r="BU158" s="132" t="s">
        <v>60</v>
      </c>
      <c r="BV158" s="132" t="s">
        <v>71</v>
      </c>
      <c r="BW158" s="132" t="s">
        <v>60</v>
      </c>
      <c r="BX158" s="132" t="s">
        <v>71</v>
      </c>
      <c r="BY158" s="132" t="s">
        <v>60</v>
      </c>
      <c r="BZ158" s="132" t="s">
        <v>71</v>
      </c>
      <c r="CA158" s="132" t="s">
        <v>60</v>
      </c>
      <c r="CB158" s="132" t="s">
        <v>71</v>
      </c>
      <c r="CC158" s="132" t="s">
        <v>60</v>
      </c>
      <c r="CD158" s="132" t="s">
        <v>71</v>
      </c>
      <c r="CE158" s="132" t="s">
        <v>60</v>
      </c>
      <c r="CF158" s="132" t="s">
        <v>71</v>
      </c>
      <c r="CG158" s="132" t="s">
        <v>60</v>
      </c>
      <c r="CH158" s="132" t="s">
        <v>71</v>
      </c>
      <c r="CI158" s="132" t="s">
        <v>60</v>
      </c>
      <c r="CJ158" s="132" t="s">
        <v>71</v>
      </c>
      <c r="CK158" s="132" t="s">
        <v>60</v>
      </c>
      <c r="CL158" s="132" t="s">
        <v>71</v>
      </c>
      <c r="CM158" s="132" t="s">
        <v>60</v>
      </c>
      <c r="CN158" s="132" t="s">
        <v>71</v>
      </c>
      <c r="CO158" s="132" t="s">
        <v>60</v>
      </c>
      <c r="CP158" s="132" t="s">
        <v>71</v>
      </c>
      <c r="CQ158" s="132" t="s">
        <v>60</v>
      </c>
      <c r="CR158" s="132" t="s">
        <v>71</v>
      </c>
      <c r="CS158" s="132" t="s">
        <v>60</v>
      </c>
      <c r="CT158" s="132" t="s">
        <v>71</v>
      </c>
      <c r="CU158" s="132" t="s">
        <v>60</v>
      </c>
      <c r="CV158" s="132" t="s">
        <v>71</v>
      </c>
      <c r="CW158" s="132" t="s">
        <v>60</v>
      </c>
      <c r="CX158" s="132" t="s">
        <v>71</v>
      </c>
      <c r="CY158" s="132" t="s">
        <v>60</v>
      </c>
      <c r="CZ158" s="132" t="s">
        <v>71</v>
      </c>
      <c r="DA158" s="132" t="s">
        <v>60</v>
      </c>
      <c r="DB158" s="132" t="s">
        <v>71</v>
      </c>
      <c r="DC158" s="132" t="s">
        <v>60</v>
      </c>
      <c r="DD158" s="132" t="s">
        <v>71</v>
      </c>
      <c r="DE158" s="137" t="str">
        <f t="shared" si="50"/>
        <v>FETAL</v>
      </c>
      <c r="DF158" s="137">
        <f t="shared" si="55"/>
        <v>0</v>
      </c>
    </row>
    <row r="159" spans="1:110" x14ac:dyDescent="0.2">
      <c r="A159" s="160"/>
      <c r="B159" s="5">
        <f t="shared" si="57"/>
        <v>157</v>
      </c>
      <c r="C159" s="131" t="str">
        <f t="shared" si="56"/>
        <v>CNS193</v>
      </c>
      <c r="D159" s="135" t="s">
        <v>291</v>
      </c>
      <c r="E159" s="131" t="str">
        <f t="shared" si="48"/>
        <v>CNS193_CONTROL</v>
      </c>
      <c r="F159" s="131"/>
      <c r="G159" s="130">
        <f t="shared" si="51"/>
        <v>193</v>
      </c>
      <c r="H159" s="131"/>
      <c r="I159" s="131"/>
      <c r="J159" s="132" t="s">
        <v>25</v>
      </c>
      <c r="K159" s="132" t="s">
        <v>177</v>
      </c>
      <c r="L159" s="132" t="s">
        <v>301</v>
      </c>
      <c r="M159" s="131" t="s">
        <v>81</v>
      </c>
      <c r="N159" s="131" t="s">
        <v>81</v>
      </c>
      <c r="O159" s="131" t="s">
        <v>81</v>
      </c>
      <c r="P159" s="131" t="s">
        <v>312</v>
      </c>
      <c r="Q159" s="131" t="s">
        <v>81</v>
      </c>
      <c r="R159" s="131" t="s">
        <v>89</v>
      </c>
      <c r="S159" s="131" t="s">
        <v>297</v>
      </c>
      <c r="T159" s="131"/>
      <c r="U159" s="132" t="s">
        <v>81</v>
      </c>
      <c r="V159" s="132" t="s">
        <v>175</v>
      </c>
      <c r="W159" s="132"/>
      <c r="X159" s="132"/>
      <c r="Y159" s="133">
        <v>1.3698630136986301E-2</v>
      </c>
      <c r="Z159" s="133">
        <f t="shared" si="54"/>
        <v>36.657534246575345</v>
      </c>
      <c r="AA159" s="132" t="s">
        <v>71</v>
      </c>
      <c r="AB159" s="132" t="s">
        <v>60</v>
      </c>
      <c r="AC159" s="132" t="s">
        <v>60</v>
      </c>
      <c r="AD159" s="132" t="s">
        <v>71</v>
      </c>
      <c r="AE159" s="132" t="s">
        <v>71</v>
      </c>
      <c r="AF159" s="134" t="s">
        <v>68</v>
      </c>
      <c r="AG159" s="132" t="s">
        <v>81</v>
      </c>
      <c r="AH159" s="132" t="s">
        <v>71</v>
      </c>
      <c r="AI159" s="132" t="s">
        <v>60</v>
      </c>
      <c r="AJ159" s="132" t="s">
        <v>71</v>
      </c>
      <c r="AK159" s="132" t="s">
        <v>60</v>
      </c>
      <c r="AL159" s="132" t="s">
        <v>60</v>
      </c>
      <c r="AM159" s="132" t="s">
        <v>60</v>
      </c>
      <c r="AN159" s="132" t="s">
        <v>60</v>
      </c>
      <c r="AO159" s="132" t="s">
        <v>71</v>
      </c>
      <c r="AP159" s="132" t="s">
        <v>71</v>
      </c>
      <c r="AQ159" s="132" t="s">
        <v>71</v>
      </c>
      <c r="AR159" s="132" t="s">
        <v>71</v>
      </c>
      <c r="AS159" s="132" t="s">
        <v>71</v>
      </c>
      <c r="AT159" s="132" t="s">
        <v>71</v>
      </c>
      <c r="AU159" s="132" t="s">
        <v>71</v>
      </c>
      <c r="AV159" s="132" t="s">
        <v>71</v>
      </c>
      <c r="AW159" s="132" t="s">
        <v>71</v>
      </c>
      <c r="AX159" s="132" t="s">
        <v>71</v>
      </c>
      <c r="AY159" s="132" t="s">
        <v>71</v>
      </c>
      <c r="AZ159" s="132" t="s">
        <v>71</v>
      </c>
      <c r="BA159" s="132" t="s">
        <v>71</v>
      </c>
      <c r="BB159" s="132" t="s">
        <v>71</v>
      </c>
      <c r="BC159" s="132" t="s">
        <v>71</v>
      </c>
      <c r="BD159" s="132" t="s">
        <v>71</v>
      </c>
      <c r="BE159" s="132" t="s">
        <v>71</v>
      </c>
      <c r="BF159" s="132" t="s">
        <v>71</v>
      </c>
      <c r="BG159" s="132" t="s">
        <v>71</v>
      </c>
      <c r="BH159" s="132" t="s">
        <v>71</v>
      </c>
      <c r="BI159" s="132" t="s">
        <v>71</v>
      </c>
      <c r="BJ159" s="132" t="s">
        <v>71</v>
      </c>
      <c r="BK159" s="132" t="s">
        <v>71</v>
      </c>
      <c r="BL159" s="132" t="s">
        <v>71</v>
      </c>
      <c r="BM159" s="132" t="s">
        <v>71</v>
      </c>
      <c r="BN159" s="132" t="s">
        <v>71</v>
      </c>
      <c r="BO159" s="132" t="s">
        <v>71</v>
      </c>
      <c r="BP159" s="132" t="s">
        <v>71</v>
      </c>
      <c r="BQ159" s="132" t="s">
        <v>71</v>
      </c>
      <c r="BR159" s="132" t="s">
        <v>71</v>
      </c>
      <c r="BS159" s="132" t="s">
        <v>71</v>
      </c>
      <c r="BT159" s="132" t="s">
        <v>71</v>
      </c>
      <c r="BU159" s="132" t="s">
        <v>60</v>
      </c>
      <c r="BV159" s="132" t="s">
        <v>71</v>
      </c>
      <c r="BW159" s="132" t="s">
        <v>60</v>
      </c>
      <c r="BX159" s="132" t="s">
        <v>71</v>
      </c>
      <c r="BY159" s="132" t="s">
        <v>60</v>
      </c>
      <c r="BZ159" s="132" t="s">
        <v>71</v>
      </c>
      <c r="CA159" s="132" t="s">
        <v>60</v>
      </c>
      <c r="CB159" s="132" t="s">
        <v>71</v>
      </c>
      <c r="CC159" s="132" t="s">
        <v>60</v>
      </c>
      <c r="CD159" s="132" t="s">
        <v>71</v>
      </c>
      <c r="CE159" s="132" t="s">
        <v>60</v>
      </c>
      <c r="CF159" s="132" t="s">
        <v>71</v>
      </c>
      <c r="CG159" s="132" t="s">
        <v>60</v>
      </c>
      <c r="CH159" s="132" t="s">
        <v>71</v>
      </c>
      <c r="CI159" s="132" t="s">
        <v>60</v>
      </c>
      <c r="CJ159" s="132" t="s">
        <v>71</v>
      </c>
      <c r="CK159" s="132" t="s">
        <v>60</v>
      </c>
      <c r="CL159" s="132" t="s">
        <v>71</v>
      </c>
      <c r="CM159" s="132" t="s">
        <v>60</v>
      </c>
      <c r="CN159" s="132" t="s">
        <v>71</v>
      </c>
      <c r="CO159" s="132" t="s">
        <v>60</v>
      </c>
      <c r="CP159" s="132" t="s">
        <v>71</v>
      </c>
      <c r="CQ159" s="132" t="s">
        <v>60</v>
      </c>
      <c r="CR159" s="132" t="s">
        <v>71</v>
      </c>
      <c r="CS159" s="132" t="s">
        <v>60</v>
      </c>
      <c r="CT159" s="132" t="s">
        <v>71</v>
      </c>
      <c r="CU159" s="132" t="s">
        <v>60</v>
      </c>
      <c r="CV159" s="132" t="s">
        <v>71</v>
      </c>
      <c r="CW159" s="132" t="s">
        <v>60</v>
      </c>
      <c r="CX159" s="132" t="s">
        <v>71</v>
      </c>
      <c r="CY159" s="132" t="s">
        <v>60</v>
      </c>
      <c r="CZ159" s="132" t="s">
        <v>71</v>
      </c>
      <c r="DA159" s="132" t="s">
        <v>60</v>
      </c>
      <c r="DB159" s="132" t="s">
        <v>71</v>
      </c>
      <c r="DC159" s="132" t="s">
        <v>60</v>
      </c>
      <c r="DD159" s="132" t="s">
        <v>71</v>
      </c>
      <c r="DE159" s="137" t="str">
        <f t="shared" si="50"/>
        <v>3&gt; YEARS OLD</v>
      </c>
      <c r="DF159" s="137">
        <f t="shared" si="55"/>
        <v>0</v>
      </c>
    </row>
    <row r="160" spans="1:110" x14ac:dyDescent="0.2">
      <c r="A160" s="160"/>
      <c r="B160" s="5">
        <f t="shared" si="57"/>
        <v>158</v>
      </c>
      <c r="C160" s="131" t="str">
        <f t="shared" si="56"/>
        <v>CNS194</v>
      </c>
      <c r="D160" s="135" t="s">
        <v>292</v>
      </c>
      <c r="E160" s="131" t="str">
        <f t="shared" si="48"/>
        <v>CNS194_CONTROL</v>
      </c>
      <c r="F160" s="131"/>
      <c r="G160" s="130">
        <f t="shared" si="51"/>
        <v>194</v>
      </c>
      <c r="H160" s="131"/>
      <c r="I160" s="131"/>
      <c r="J160" s="132" t="s">
        <v>24</v>
      </c>
      <c r="K160" s="132" t="s">
        <v>177</v>
      </c>
      <c r="L160" s="132" t="s">
        <v>301</v>
      </c>
      <c r="M160" s="131" t="s">
        <v>81</v>
      </c>
      <c r="N160" s="131" t="s">
        <v>81</v>
      </c>
      <c r="O160" s="131" t="s">
        <v>81</v>
      </c>
      <c r="P160" s="131" t="s">
        <v>311</v>
      </c>
      <c r="Q160" s="131" t="s">
        <v>81</v>
      </c>
      <c r="R160" s="131" t="s">
        <v>89</v>
      </c>
      <c r="S160" s="131" t="s">
        <v>297</v>
      </c>
      <c r="T160" s="131"/>
      <c r="U160" s="132" t="s">
        <v>81</v>
      </c>
      <c r="V160" s="132" t="s">
        <v>172</v>
      </c>
      <c r="W160" s="132"/>
      <c r="X160" s="132"/>
      <c r="Y160" s="133">
        <v>0</v>
      </c>
      <c r="Z160" s="133">
        <v>19</v>
      </c>
      <c r="AA160" s="132" t="s">
        <v>71</v>
      </c>
      <c r="AB160" s="132" t="s">
        <v>60</v>
      </c>
      <c r="AC160" s="132" t="s">
        <v>60</v>
      </c>
      <c r="AD160" s="132" t="s">
        <v>71</v>
      </c>
      <c r="AE160" s="132" t="s">
        <v>71</v>
      </c>
      <c r="AF160" s="134" t="s">
        <v>68</v>
      </c>
      <c r="AG160" s="132" t="s">
        <v>81</v>
      </c>
      <c r="AH160" s="132" t="s">
        <v>71</v>
      </c>
      <c r="AI160" s="132" t="s">
        <v>60</v>
      </c>
      <c r="AJ160" s="132" t="s">
        <v>71</v>
      </c>
      <c r="AK160" s="132" t="s">
        <v>60</v>
      </c>
      <c r="AL160" s="132" t="s">
        <v>60</v>
      </c>
      <c r="AM160" s="132" t="s">
        <v>60</v>
      </c>
      <c r="AN160" s="132" t="s">
        <v>60</v>
      </c>
      <c r="AO160" s="132" t="s">
        <v>71</v>
      </c>
      <c r="AP160" s="132" t="s">
        <v>71</v>
      </c>
      <c r="AQ160" s="132" t="s">
        <v>71</v>
      </c>
      <c r="AR160" s="132" t="s">
        <v>71</v>
      </c>
      <c r="AS160" s="132" t="s">
        <v>71</v>
      </c>
      <c r="AT160" s="132" t="s">
        <v>71</v>
      </c>
      <c r="AU160" s="132" t="s">
        <v>71</v>
      </c>
      <c r="AV160" s="132" t="s">
        <v>71</v>
      </c>
      <c r="AW160" s="132" t="s">
        <v>71</v>
      </c>
      <c r="AX160" s="132" t="s">
        <v>71</v>
      </c>
      <c r="AY160" s="132" t="s">
        <v>71</v>
      </c>
      <c r="AZ160" s="132" t="s">
        <v>71</v>
      </c>
      <c r="BA160" s="132" t="s">
        <v>71</v>
      </c>
      <c r="BB160" s="132" t="s">
        <v>71</v>
      </c>
      <c r="BC160" s="132" t="s">
        <v>71</v>
      </c>
      <c r="BD160" s="132" t="s">
        <v>71</v>
      </c>
      <c r="BE160" s="132" t="s">
        <v>71</v>
      </c>
      <c r="BF160" s="132" t="s">
        <v>71</v>
      </c>
      <c r="BG160" s="132" t="s">
        <v>71</v>
      </c>
      <c r="BH160" s="132" t="s">
        <v>71</v>
      </c>
      <c r="BI160" s="132" t="s">
        <v>71</v>
      </c>
      <c r="BJ160" s="132" t="s">
        <v>71</v>
      </c>
      <c r="BK160" s="132" t="s">
        <v>71</v>
      </c>
      <c r="BL160" s="132" t="s">
        <v>71</v>
      </c>
      <c r="BM160" s="132" t="s">
        <v>71</v>
      </c>
      <c r="BN160" s="132" t="s">
        <v>71</v>
      </c>
      <c r="BO160" s="132" t="s">
        <v>71</v>
      </c>
      <c r="BP160" s="132" t="s">
        <v>71</v>
      </c>
      <c r="BQ160" s="132" t="s">
        <v>71</v>
      </c>
      <c r="BR160" s="132" t="s">
        <v>71</v>
      </c>
      <c r="BS160" s="132" t="s">
        <v>71</v>
      </c>
      <c r="BT160" s="132" t="s">
        <v>71</v>
      </c>
      <c r="BU160" s="132" t="s">
        <v>60</v>
      </c>
      <c r="BV160" s="132" t="s">
        <v>71</v>
      </c>
      <c r="BW160" s="132" t="s">
        <v>60</v>
      </c>
      <c r="BX160" s="132" t="s">
        <v>71</v>
      </c>
      <c r="BY160" s="132" t="s">
        <v>60</v>
      </c>
      <c r="BZ160" s="132" t="s">
        <v>71</v>
      </c>
      <c r="CA160" s="132" t="s">
        <v>60</v>
      </c>
      <c r="CB160" s="132" t="s">
        <v>71</v>
      </c>
      <c r="CC160" s="132" t="s">
        <v>60</v>
      </c>
      <c r="CD160" s="132" t="s">
        <v>71</v>
      </c>
      <c r="CE160" s="132" t="s">
        <v>60</v>
      </c>
      <c r="CF160" s="132" t="s">
        <v>71</v>
      </c>
      <c r="CG160" s="132" t="s">
        <v>60</v>
      </c>
      <c r="CH160" s="132" t="s">
        <v>71</v>
      </c>
      <c r="CI160" s="132" t="s">
        <v>60</v>
      </c>
      <c r="CJ160" s="132" t="s">
        <v>71</v>
      </c>
      <c r="CK160" s="132" t="s">
        <v>60</v>
      </c>
      <c r="CL160" s="132" t="s">
        <v>71</v>
      </c>
      <c r="CM160" s="132" t="s">
        <v>60</v>
      </c>
      <c r="CN160" s="132" t="s">
        <v>71</v>
      </c>
      <c r="CO160" s="132" t="s">
        <v>60</v>
      </c>
      <c r="CP160" s="132" t="s">
        <v>71</v>
      </c>
      <c r="CQ160" s="132" t="s">
        <v>60</v>
      </c>
      <c r="CR160" s="132" t="s">
        <v>71</v>
      </c>
      <c r="CS160" s="132" t="s">
        <v>60</v>
      </c>
      <c r="CT160" s="132" t="s">
        <v>71</v>
      </c>
      <c r="CU160" s="132" t="s">
        <v>60</v>
      </c>
      <c r="CV160" s="132" t="s">
        <v>71</v>
      </c>
      <c r="CW160" s="132" t="s">
        <v>60</v>
      </c>
      <c r="CX160" s="132" t="s">
        <v>71</v>
      </c>
      <c r="CY160" s="132" t="s">
        <v>60</v>
      </c>
      <c r="CZ160" s="132" t="s">
        <v>71</v>
      </c>
      <c r="DA160" s="132" t="s">
        <v>60</v>
      </c>
      <c r="DB160" s="132" t="s">
        <v>71</v>
      </c>
      <c r="DC160" s="132" t="s">
        <v>60</v>
      </c>
      <c r="DD160" s="132" t="s">
        <v>71</v>
      </c>
      <c r="DE160" s="137" t="str">
        <f t="shared" si="50"/>
        <v>FETAL</v>
      </c>
      <c r="DF160" s="137">
        <f t="shared" si="55"/>
        <v>0</v>
      </c>
    </row>
    <row r="161" spans="1:113" x14ac:dyDescent="0.2">
      <c r="A161" s="160"/>
      <c r="B161" s="5">
        <f t="shared" si="57"/>
        <v>159</v>
      </c>
      <c r="C161" s="131" t="str">
        <f t="shared" si="56"/>
        <v>CNS195</v>
      </c>
      <c r="D161" s="135" t="s">
        <v>293</v>
      </c>
      <c r="E161" s="131" t="str">
        <f t="shared" si="48"/>
        <v>CNS195_CONTROL</v>
      </c>
      <c r="F161" s="131"/>
      <c r="G161" s="130">
        <f t="shared" si="51"/>
        <v>195</v>
      </c>
      <c r="H161" s="131"/>
      <c r="I161" s="131"/>
      <c r="J161" s="132" t="s">
        <v>25</v>
      </c>
      <c r="K161" s="132" t="s">
        <v>177</v>
      </c>
      <c r="L161" s="132" t="s">
        <v>301</v>
      </c>
      <c r="M161" s="131" t="s">
        <v>81</v>
      </c>
      <c r="N161" s="131" t="s">
        <v>81</v>
      </c>
      <c r="O161" s="131" t="s">
        <v>81</v>
      </c>
      <c r="P161" s="131" t="s">
        <v>310</v>
      </c>
      <c r="Q161" s="131" t="s">
        <v>295</v>
      </c>
      <c r="R161" s="131" t="s">
        <v>168</v>
      </c>
      <c r="S161" s="131" t="s">
        <v>169</v>
      </c>
      <c r="T161" s="131"/>
      <c r="U161" s="132" t="s">
        <v>81</v>
      </c>
      <c r="V161" s="132" t="s">
        <v>171</v>
      </c>
      <c r="W161" s="132"/>
      <c r="X161" s="132"/>
      <c r="Y161" s="133">
        <v>81</v>
      </c>
      <c r="Z161" s="133">
        <f t="shared" si="54"/>
        <v>3924</v>
      </c>
      <c r="AA161" s="132" t="s">
        <v>71</v>
      </c>
      <c r="AB161" s="132" t="s">
        <v>60</v>
      </c>
      <c r="AC161" s="132" t="s">
        <v>60</v>
      </c>
      <c r="AD161" s="132" t="s">
        <v>71</v>
      </c>
      <c r="AE161" s="132" t="s">
        <v>71</v>
      </c>
      <c r="AF161" s="134" t="s">
        <v>68</v>
      </c>
      <c r="AG161" s="132" t="s">
        <v>81</v>
      </c>
      <c r="AH161" s="132" t="s">
        <v>71</v>
      </c>
      <c r="AI161" s="132" t="s">
        <v>60</v>
      </c>
      <c r="AJ161" s="132" t="s">
        <v>71</v>
      </c>
      <c r="AK161" s="132" t="s">
        <v>60</v>
      </c>
      <c r="AL161" s="132" t="s">
        <v>60</v>
      </c>
      <c r="AM161" s="132" t="s">
        <v>60</v>
      </c>
      <c r="AN161" s="132" t="s">
        <v>60</v>
      </c>
      <c r="AO161" s="132" t="s">
        <v>71</v>
      </c>
      <c r="AP161" s="132" t="s">
        <v>71</v>
      </c>
      <c r="AQ161" s="132" t="s">
        <v>71</v>
      </c>
      <c r="AR161" s="132" t="s">
        <v>71</v>
      </c>
      <c r="AS161" s="132" t="s">
        <v>71</v>
      </c>
      <c r="AT161" s="132" t="s">
        <v>71</v>
      </c>
      <c r="AU161" s="132" t="s">
        <v>71</v>
      </c>
      <c r="AV161" s="132" t="s">
        <v>71</v>
      </c>
      <c r="AW161" s="132" t="s">
        <v>71</v>
      </c>
      <c r="AX161" s="132" t="s">
        <v>71</v>
      </c>
      <c r="AY161" s="132" t="s">
        <v>71</v>
      </c>
      <c r="AZ161" s="132" t="s">
        <v>71</v>
      </c>
      <c r="BA161" s="132" t="s">
        <v>71</v>
      </c>
      <c r="BB161" s="132" t="s">
        <v>71</v>
      </c>
      <c r="BC161" s="132" t="s">
        <v>71</v>
      </c>
      <c r="BD161" s="132" t="s">
        <v>71</v>
      </c>
      <c r="BE161" s="132" t="s">
        <v>71</v>
      </c>
      <c r="BF161" s="132" t="s">
        <v>71</v>
      </c>
      <c r="BG161" s="132" t="s">
        <v>71</v>
      </c>
      <c r="BH161" s="132" t="s">
        <v>71</v>
      </c>
      <c r="BI161" s="132" t="s">
        <v>71</v>
      </c>
      <c r="BJ161" s="132" t="s">
        <v>71</v>
      </c>
      <c r="BK161" s="132" t="s">
        <v>71</v>
      </c>
      <c r="BL161" s="132" t="s">
        <v>71</v>
      </c>
      <c r="BM161" s="132" t="s">
        <v>71</v>
      </c>
      <c r="BN161" s="132" t="s">
        <v>71</v>
      </c>
      <c r="BO161" s="132" t="s">
        <v>71</v>
      </c>
      <c r="BP161" s="132" t="s">
        <v>71</v>
      </c>
      <c r="BQ161" s="132" t="s">
        <v>71</v>
      </c>
      <c r="BR161" s="132" t="s">
        <v>71</v>
      </c>
      <c r="BS161" s="132" t="s">
        <v>71</v>
      </c>
      <c r="BT161" s="132" t="s">
        <v>71</v>
      </c>
      <c r="BU161" s="132" t="s">
        <v>60</v>
      </c>
      <c r="BV161" s="132" t="s">
        <v>71</v>
      </c>
      <c r="BW161" s="132" t="s">
        <v>60</v>
      </c>
      <c r="BX161" s="132" t="s">
        <v>71</v>
      </c>
      <c r="BY161" s="132" t="s">
        <v>60</v>
      </c>
      <c r="BZ161" s="132" t="s">
        <v>71</v>
      </c>
      <c r="CA161" s="132" t="s">
        <v>60</v>
      </c>
      <c r="CB161" s="132" t="s">
        <v>71</v>
      </c>
      <c r="CC161" s="132" t="s">
        <v>60</v>
      </c>
      <c r="CD161" s="132" t="s">
        <v>71</v>
      </c>
      <c r="CE161" s="132" t="s">
        <v>60</v>
      </c>
      <c r="CF161" s="132" t="s">
        <v>71</v>
      </c>
      <c r="CG161" s="132" t="s">
        <v>60</v>
      </c>
      <c r="CH161" s="132" t="s">
        <v>71</v>
      </c>
      <c r="CI161" s="132" t="s">
        <v>60</v>
      </c>
      <c r="CJ161" s="132" t="s">
        <v>71</v>
      </c>
      <c r="CK161" s="132" t="s">
        <v>60</v>
      </c>
      <c r="CL161" s="132" t="s">
        <v>71</v>
      </c>
      <c r="CM161" s="132" t="s">
        <v>60</v>
      </c>
      <c r="CN161" s="132" t="s">
        <v>71</v>
      </c>
      <c r="CO161" s="132" t="s">
        <v>60</v>
      </c>
      <c r="CP161" s="132" t="s">
        <v>71</v>
      </c>
      <c r="CQ161" s="132" t="s">
        <v>60</v>
      </c>
      <c r="CR161" s="132" t="s">
        <v>71</v>
      </c>
      <c r="CS161" s="132" t="s">
        <v>60</v>
      </c>
      <c r="CT161" s="132" t="s">
        <v>71</v>
      </c>
      <c r="CU161" s="132" t="s">
        <v>60</v>
      </c>
      <c r="CV161" s="132" t="s">
        <v>71</v>
      </c>
      <c r="CW161" s="132" t="s">
        <v>60</v>
      </c>
      <c r="CX161" s="132" t="s">
        <v>71</v>
      </c>
      <c r="CY161" s="132" t="s">
        <v>60</v>
      </c>
      <c r="CZ161" s="132" t="s">
        <v>71</v>
      </c>
      <c r="DA161" s="132" t="s">
        <v>60</v>
      </c>
      <c r="DB161" s="132" t="s">
        <v>71</v>
      </c>
      <c r="DC161" s="132" t="s">
        <v>60</v>
      </c>
      <c r="DD161" s="132" t="s">
        <v>71</v>
      </c>
      <c r="DE161" s="137" t="str">
        <f t="shared" si="50"/>
        <v>9&lt; YEARS OLD</v>
      </c>
      <c r="DF161" s="137">
        <f t="shared" si="55"/>
        <v>0</v>
      </c>
    </row>
    <row r="162" spans="1:113" x14ac:dyDescent="0.2">
      <c r="A162" s="160"/>
      <c r="B162" s="5">
        <f t="shared" si="57"/>
        <v>160</v>
      </c>
      <c r="C162" s="131" t="str">
        <f t="shared" si="56"/>
        <v>CNS196</v>
      </c>
      <c r="D162" s="135" t="s">
        <v>294</v>
      </c>
      <c r="E162" s="131" t="str">
        <f t="shared" si="48"/>
        <v>CNS196_CONTROL</v>
      </c>
      <c r="F162" s="131"/>
      <c r="G162" s="130">
        <f t="shared" si="51"/>
        <v>196</v>
      </c>
      <c r="H162" s="131"/>
      <c r="I162" s="131"/>
      <c r="J162" s="132" t="s">
        <v>60</v>
      </c>
      <c r="K162" s="132" t="s">
        <v>177</v>
      </c>
      <c r="L162" s="132" t="s">
        <v>301</v>
      </c>
      <c r="M162" s="131" t="s">
        <v>81</v>
      </c>
      <c r="N162" s="131" t="s">
        <v>81</v>
      </c>
      <c r="O162" s="131" t="s">
        <v>81</v>
      </c>
      <c r="P162" s="131" t="s">
        <v>310</v>
      </c>
      <c r="Q162" s="131" t="s">
        <v>296</v>
      </c>
      <c r="R162" s="131" t="s">
        <v>168</v>
      </c>
      <c r="S162" s="131" t="s">
        <v>169</v>
      </c>
      <c r="T162" s="131"/>
      <c r="U162" s="132" t="s">
        <v>81</v>
      </c>
      <c r="V162" s="132" t="s">
        <v>171</v>
      </c>
      <c r="W162" s="132"/>
      <c r="X162" s="132"/>
      <c r="Y162" s="133">
        <v>0.38922570681177121</v>
      </c>
      <c r="Z162" s="133">
        <f t="shared" si="54"/>
        <v>54.682833926965017</v>
      </c>
      <c r="AA162" s="132">
        <v>10</v>
      </c>
      <c r="AB162" s="132" t="s">
        <v>60</v>
      </c>
      <c r="AC162" s="132" t="s">
        <v>60</v>
      </c>
      <c r="AD162" s="132">
        <v>1</v>
      </c>
      <c r="AE162" s="132">
        <v>1</v>
      </c>
      <c r="AF162" s="134" t="s">
        <v>68</v>
      </c>
      <c r="AG162" s="132" t="s">
        <v>81</v>
      </c>
      <c r="AH162" s="132">
        <v>1</v>
      </c>
      <c r="AI162" s="132" t="s">
        <v>60</v>
      </c>
      <c r="AJ162" s="132">
        <v>1</v>
      </c>
      <c r="AK162" s="132" t="s">
        <v>60</v>
      </c>
      <c r="AL162" s="132" t="s">
        <v>60</v>
      </c>
      <c r="AM162" s="132" t="s">
        <v>60</v>
      </c>
      <c r="AN162" s="132" t="s">
        <v>60</v>
      </c>
      <c r="AO162" s="132" t="s">
        <v>71</v>
      </c>
      <c r="AP162" s="132" t="s">
        <v>71</v>
      </c>
      <c r="AQ162" s="132" t="s">
        <v>71</v>
      </c>
      <c r="AR162" s="132" t="s">
        <v>71</v>
      </c>
      <c r="AS162" s="132" t="s">
        <v>71</v>
      </c>
      <c r="AT162" s="132" t="s">
        <v>71</v>
      </c>
      <c r="AU162" s="132" t="s">
        <v>71</v>
      </c>
      <c r="AV162" s="132" t="s">
        <v>71</v>
      </c>
      <c r="AW162" s="132" t="s">
        <v>71</v>
      </c>
      <c r="AX162" s="132" t="s">
        <v>71</v>
      </c>
      <c r="AY162" s="132" t="s">
        <v>71</v>
      </c>
      <c r="AZ162" s="132" t="s">
        <v>71</v>
      </c>
      <c r="BA162" s="132" t="s">
        <v>71</v>
      </c>
      <c r="BB162" s="132" t="s">
        <v>71</v>
      </c>
      <c r="BC162" s="132" t="s">
        <v>71</v>
      </c>
      <c r="BD162" s="132" t="s">
        <v>71</v>
      </c>
      <c r="BE162" s="132" t="s">
        <v>71</v>
      </c>
      <c r="BF162" s="132" t="s">
        <v>71</v>
      </c>
      <c r="BG162" s="132" t="s">
        <v>71</v>
      </c>
      <c r="BH162" s="132" t="s">
        <v>71</v>
      </c>
      <c r="BI162" s="132" t="s">
        <v>71</v>
      </c>
      <c r="BJ162" s="132" t="s">
        <v>71</v>
      </c>
      <c r="BK162" s="132" t="s">
        <v>71</v>
      </c>
      <c r="BL162" s="132" t="s">
        <v>71</v>
      </c>
      <c r="BM162" s="132" t="s">
        <v>71</v>
      </c>
      <c r="BN162" s="132" t="s">
        <v>71</v>
      </c>
      <c r="BO162" s="132" t="s">
        <v>71</v>
      </c>
      <c r="BP162" s="132" t="s">
        <v>71</v>
      </c>
      <c r="BQ162" s="132" t="s">
        <v>71</v>
      </c>
      <c r="BR162" s="132" t="s">
        <v>71</v>
      </c>
      <c r="BS162" s="132" t="s">
        <v>71</v>
      </c>
      <c r="BT162" s="132" t="s">
        <v>71</v>
      </c>
      <c r="BU162" s="132" t="s">
        <v>60</v>
      </c>
      <c r="BV162" s="132">
        <v>0</v>
      </c>
      <c r="BW162" s="132" t="s">
        <v>60</v>
      </c>
      <c r="BX162" s="132">
        <v>0</v>
      </c>
      <c r="BY162" s="132" t="s">
        <v>60</v>
      </c>
      <c r="BZ162" s="132">
        <v>0</v>
      </c>
      <c r="CA162" s="132" t="s">
        <v>60</v>
      </c>
      <c r="CB162" s="132">
        <v>0</v>
      </c>
      <c r="CC162" s="132" t="s">
        <v>60</v>
      </c>
      <c r="CD162" s="132">
        <v>0</v>
      </c>
      <c r="CE162" s="132" t="s">
        <v>60</v>
      </c>
      <c r="CF162" s="132">
        <v>0</v>
      </c>
      <c r="CG162" s="132" t="s">
        <v>60</v>
      </c>
      <c r="CH162" s="132">
        <v>0</v>
      </c>
      <c r="CI162" s="132" t="s">
        <v>60</v>
      </c>
      <c r="CJ162" s="132">
        <v>0</v>
      </c>
      <c r="CK162" s="132" t="s">
        <v>60</v>
      </c>
      <c r="CL162" s="132">
        <v>0</v>
      </c>
      <c r="CM162" s="132" t="s">
        <v>60</v>
      </c>
      <c r="CN162" s="132">
        <v>0</v>
      </c>
      <c r="CO162" s="132" t="s">
        <v>60</v>
      </c>
      <c r="CP162" s="132">
        <v>0</v>
      </c>
      <c r="CQ162" s="132" t="s">
        <v>60</v>
      </c>
      <c r="CR162" s="132">
        <v>0</v>
      </c>
      <c r="CS162" s="132" t="s">
        <v>60</v>
      </c>
      <c r="CT162" s="132">
        <v>0</v>
      </c>
      <c r="CU162" s="132" t="s">
        <v>60</v>
      </c>
      <c r="CV162" s="132">
        <v>0</v>
      </c>
      <c r="CW162" s="132" t="s">
        <v>60</v>
      </c>
      <c r="CX162" s="132">
        <v>0</v>
      </c>
      <c r="CY162" s="132" t="s">
        <v>60</v>
      </c>
      <c r="CZ162" s="132">
        <v>0</v>
      </c>
      <c r="DA162" s="132" t="s">
        <v>60</v>
      </c>
      <c r="DB162" s="132">
        <v>0</v>
      </c>
      <c r="DC162" s="132" t="s">
        <v>60</v>
      </c>
      <c r="DD162" s="132">
        <v>0</v>
      </c>
      <c r="DE162" s="137" t="str">
        <f>IF(ISERROR(IF(Y162&lt;3,"3&gt; YEARS OLD",IF(AND(Y162&gt;3,Y162&lt;9),"3&lt;YEARS OLD&lt;9",IF(Y162&gt;9,"9&lt; YEARS OLD","N/A")))),"N/A",(IF(Y162&lt;3,"3&gt; YEARS OLD",IF(AND(Y162&gt;3,Y162&lt;9),"3&lt;YEARS OLD&lt;9",IF(Y162&gt;9,"9&lt; YEARS OLD","N/A")))))</f>
        <v>3&gt; YEARS OLD</v>
      </c>
      <c r="DF162" s="137">
        <f t="shared" si="55"/>
        <v>0</v>
      </c>
    </row>
    <row r="163" spans="1:113" s="3" customFormat="1" x14ac:dyDescent="0.2">
      <c r="A163" s="144"/>
      <c r="B163" s="145"/>
      <c r="C163" s="146"/>
      <c r="D163" s="147"/>
      <c r="E163" s="146"/>
      <c r="F163" s="146"/>
      <c r="G163" s="145"/>
      <c r="H163" s="146"/>
      <c r="I163" s="146"/>
      <c r="J163" s="2"/>
      <c r="K163" s="2"/>
      <c r="L163" s="2"/>
      <c r="M163" s="146"/>
      <c r="N163" s="146"/>
      <c r="O163" s="146"/>
      <c r="P163" s="146"/>
      <c r="Q163" s="146"/>
      <c r="R163" s="146"/>
      <c r="S163" s="146"/>
      <c r="T163" s="146"/>
      <c r="U163" s="2"/>
      <c r="V163" s="2"/>
      <c r="W163" s="2"/>
      <c r="X163" s="2"/>
      <c r="Y163" s="148"/>
      <c r="Z163" s="148"/>
      <c r="AA163" s="2"/>
      <c r="AB163" s="2"/>
      <c r="AC163" s="2"/>
      <c r="AD163" s="2"/>
      <c r="AE163" s="2"/>
      <c r="AF163" s="149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150"/>
      <c r="DF163" s="150"/>
      <c r="DG163" s="2"/>
      <c r="DH163" s="2"/>
      <c r="DI163" s="2"/>
    </row>
    <row r="164" spans="1:113" s="3" customFormat="1" x14ac:dyDescent="0.2">
      <c r="A164" s="144"/>
      <c r="B164" s="145"/>
      <c r="C164" s="146"/>
      <c r="D164" s="147"/>
      <c r="E164" s="146"/>
      <c r="F164" s="146"/>
      <c r="G164" s="145"/>
      <c r="H164" s="146"/>
      <c r="I164" s="146"/>
      <c r="J164" s="2"/>
      <c r="K164" s="2"/>
      <c r="L164" s="2"/>
      <c r="M164" s="146"/>
      <c r="N164" s="146"/>
      <c r="O164" s="146"/>
      <c r="P164" s="146"/>
      <c r="Q164" s="146"/>
      <c r="R164" s="146"/>
      <c r="S164" s="146"/>
      <c r="T164" s="146"/>
      <c r="U164" s="2"/>
      <c r="V164" s="2"/>
      <c r="W164" s="2"/>
      <c r="X164" s="2"/>
      <c r="Y164" s="148"/>
      <c r="Z164" s="148"/>
      <c r="AA164" s="2"/>
      <c r="AB164" s="2"/>
      <c r="AC164" s="2"/>
      <c r="AD164" s="2"/>
      <c r="AE164" s="2"/>
      <c r="AF164" s="149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150"/>
      <c r="DF164" s="150"/>
      <c r="DG164" s="2"/>
      <c r="DH164" s="2"/>
      <c r="DI164" s="2"/>
    </row>
    <row r="166" spans="1:113" x14ac:dyDescent="0.2">
      <c r="D166" s="158" t="s">
        <v>333</v>
      </c>
      <c r="E166" s="5" t="s">
        <v>321</v>
      </c>
      <c r="F166" s="139" t="s">
        <v>326</v>
      </c>
      <c r="G166" s="139" t="s">
        <v>322</v>
      </c>
      <c r="H166" s="5" t="s">
        <v>323</v>
      </c>
      <c r="I166" s="5" t="s">
        <v>329</v>
      </c>
      <c r="J166" s="5" t="s">
        <v>147</v>
      </c>
      <c r="K166" s="5" t="s">
        <v>178</v>
      </c>
      <c r="L166" s="5" t="s">
        <v>181</v>
      </c>
      <c r="M166" s="5" t="s">
        <v>324</v>
      </c>
      <c r="N166" s="5" t="s">
        <v>172</v>
      </c>
      <c r="O166" s="5" t="s">
        <v>175</v>
      </c>
      <c r="P166" s="5" t="s">
        <v>174</v>
      </c>
      <c r="Q166" s="5" t="s">
        <v>327</v>
      </c>
      <c r="R166" s="5" t="s">
        <v>171</v>
      </c>
      <c r="S166" s="5" t="s">
        <v>330</v>
      </c>
      <c r="T166" s="5" t="s">
        <v>331</v>
      </c>
      <c r="U166" s="5" t="s">
        <v>332</v>
      </c>
      <c r="V166" s="5" t="s">
        <v>331</v>
      </c>
      <c r="W166" s="5"/>
      <c r="AA166" s="5"/>
    </row>
    <row r="167" spans="1:113" x14ac:dyDescent="0.2">
      <c r="D167" s="158"/>
      <c r="E167" s="142" t="s">
        <v>326</v>
      </c>
      <c r="F167" s="2">
        <v>161</v>
      </c>
      <c r="G167" s="116"/>
      <c r="H167" s="116"/>
      <c r="I167" s="116"/>
      <c r="J167" s="116"/>
      <c r="K167" s="116"/>
      <c r="L167" s="116"/>
      <c r="M167" s="116"/>
      <c r="N167" s="116"/>
      <c r="O167" s="116"/>
      <c r="P167" s="116"/>
      <c r="Q167" s="116"/>
      <c r="R167" s="116"/>
      <c r="S167" s="141">
        <f>AVERAGE($Y$3:$Y$162)</f>
        <v>4.1545681396450842</v>
      </c>
      <c r="T167" s="141">
        <f>STDEVP($Y$3:$Y$162)</f>
        <v>11.909817967026544</v>
      </c>
      <c r="U167" s="141">
        <f>AVERAGE($Z$3:$Z$162)</f>
        <v>226.31722988663762</v>
      </c>
      <c r="V167" s="141">
        <f>STDEVP($Z$3:$Z$162)</f>
        <v>574.91014489892063</v>
      </c>
      <c r="Y167" s="141"/>
      <c r="Z167" s="141"/>
    </row>
    <row r="168" spans="1:113" x14ac:dyDescent="0.2">
      <c r="D168" s="158"/>
      <c r="E168" s="142" t="s">
        <v>322</v>
      </c>
      <c r="F168" s="9">
        <f>COUNTIF($J$3:$J$162,"M")</f>
        <v>82</v>
      </c>
      <c r="G168" s="116"/>
      <c r="H168" s="116"/>
      <c r="I168" s="116"/>
      <c r="J168" s="116"/>
      <c r="K168" s="116"/>
      <c r="L168" s="116"/>
      <c r="M168" s="116"/>
      <c r="N168" s="116"/>
      <c r="O168" s="116"/>
      <c r="P168" s="116"/>
      <c r="Q168" s="116"/>
      <c r="R168" s="116"/>
      <c r="S168" s="141">
        <f t="array" ref="S168">AVERAGE(IF($J$3:$J$162="M",$Y$3:$Y$162,""))</f>
        <v>3.8526106809608889</v>
      </c>
      <c r="T168" s="141">
        <f t="array" ref="T168">STDEVP(IF($J$3:$J$162="M",$Y$3:$Y$162,""))</f>
        <v>13.7559490945389</v>
      </c>
      <c r="U168" s="141">
        <f t="array" ref="U168">AVERAGE(IF($J$3:$J$162="M",$Z$3:$Z$162,""))</f>
        <v>210.25864601945597</v>
      </c>
      <c r="V168" s="141">
        <f t="array" ref="V168">STDEVP(IF($J$3:$J$162="M",$Z$3:$Z$162,""))</f>
        <v>663.32960645859237</v>
      </c>
    </row>
    <row r="169" spans="1:113" x14ac:dyDescent="0.2">
      <c r="D169" s="158"/>
      <c r="E169" s="143" t="s">
        <v>323</v>
      </c>
      <c r="F169" s="9">
        <f>COUNTIF($J$3:$J$162,"F")</f>
        <v>46</v>
      </c>
      <c r="G169" s="116"/>
      <c r="H169" s="116"/>
      <c r="I169" s="116"/>
      <c r="J169" s="116"/>
      <c r="K169" s="116"/>
      <c r="L169" s="116"/>
      <c r="M169" s="116"/>
      <c r="N169" s="116"/>
      <c r="O169" s="116"/>
      <c r="P169" s="116"/>
      <c r="Q169" s="116"/>
      <c r="R169" s="116"/>
      <c r="S169" s="141">
        <f t="array" ref="S169">AVERAGE(IF($J$3:$J$162="F",$Y$3:$Y$162,""))</f>
        <v>1.0948462636500573</v>
      </c>
      <c r="T169" s="141">
        <f t="array" ref="T169">STDEVP(IF($J$3:$J$162="F",$Y$3:$Y$162,""))</f>
        <v>2.4301499905176551</v>
      </c>
      <c r="U169" s="141">
        <f t="array" ref="U169">AVERAGE(IF($J$3:$J$162="F",$Z$3:$Z$162,""))</f>
        <v>76.161316307376651</v>
      </c>
      <c r="V169" s="141">
        <f t="array" ref="V169">STDEVP(IF($J$3:$J$162="F",$Z$3:$Z$162,""))</f>
        <v>122.38775918338769</v>
      </c>
    </row>
    <row r="170" spans="1:113" x14ac:dyDescent="0.2">
      <c r="D170" s="158"/>
      <c r="E170" s="5" t="s">
        <v>329</v>
      </c>
      <c r="F170" s="9">
        <f>COUNTIF($J$3:$J$162,"n/a")</f>
        <v>32</v>
      </c>
      <c r="G170" s="116"/>
      <c r="H170" s="114"/>
      <c r="I170" s="116"/>
      <c r="J170" s="116"/>
      <c r="K170" s="116"/>
      <c r="L170" s="116"/>
      <c r="M170" s="116"/>
      <c r="N170" s="116"/>
      <c r="O170" s="116"/>
      <c r="P170" s="116"/>
      <c r="Q170" s="116"/>
      <c r="R170" s="116"/>
      <c r="S170" s="141">
        <f t="array" ref="S170">AVERAGE(IF($J$3:$J$162="N/A",$Y$3:$Y$162,""))</f>
        <v>9.2040141066757375</v>
      </c>
      <c r="T170" s="141">
        <f t="array" ref="T170">STDEVP(IF($J$3:$J$162="N/A",$Y$3:$Y$162,""))</f>
        <v>13.997691184255775</v>
      </c>
      <c r="U170" s="141">
        <f t="array" ref="U170">AVERAGE(IF($J$3:$J$162="N/A",$Z$3:$Z$162,""))</f>
        <v>476.79267712043537</v>
      </c>
      <c r="V170" s="141">
        <f t="array" ref="V170">STDEVP(IF($J$3:$J$162="N/A",$Z$3:$Z$162,""))</f>
        <v>672.55754498386318</v>
      </c>
    </row>
    <row r="171" spans="1:113" x14ac:dyDescent="0.2">
      <c r="D171" s="158"/>
      <c r="E171" s="143" t="s">
        <v>147</v>
      </c>
      <c r="F171" s="9">
        <f>COUNTIF($O$3:$O$162,"MEDULLOBLASTOMA")</f>
        <v>19</v>
      </c>
      <c r="G171" s="9">
        <f>COUNTIFS($J$3:$J$162,"M",$O$3:$O$162,"MEDULLOBLASTOMA")</f>
        <v>8</v>
      </c>
      <c r="H171" s="9">
        <f>COUNTIFS($J$3:$J$162,"F",$O$3:$O$162,"MEDULLOBLASTOMA")</f>
        <v>7</v>
      </c>
      <c r="I171" s="9">
        <f>COUNTIFS($J$3:$J$162,"N/A",$O$3:$O$162,"MEDULLOBLASTOMA")</f>
        <v>4</v>
      </c>
      <c r="J171" s="121"/>
      <c r="K171" s="116"/>
      <c r="L171" s="116"/>
      <c r="M171" s="116"/>
      <c r="N171" s="116"/>
      <c r="O171" s="116"/>
      <c r="P171" s="116"/>
      <c r="Q171" s="116"/>
      <c r="R171" s="116"/>
      <c r="S171" s="141">
        <f t="array" ref="S171">AVERAGE(IF($O$3:$O$162="MEDULLOBLASTOMA",$Y$3:$Y$162,""))</f>
        <v>6.8948810382119694</v>
      </c>
      <c r="T171" s="141">
        <f t="array" ref="T171">STDEVP(IF($O$3:$O$162="MEDULLOBLASTOMA",$Y$3:$Y$162,""))</f>
        <v>4.1338724235553039</v>
      </c>
      <c r="U171" s="141">
        <f t="array" ref="U171">AVERAGE(IF($O$3:$O$162="MEDULLOBLASTOMA",$Z$3:$Z$162,""))</f>
        <v>366.95428983417446</v>
      </c>
      <c r="V171" s="141">
        <f t="array" ref="V171">STDEVP(IF($O$3:$O$162="MEDULLOBLASTOMA",$Z$3:$Z$162,""))</f>
        <v>198.42587633065477</v>
      </c>
    </row>
    <row r="172" spans="1:113" x14ac:dyDescent="0.2">
      <c r="D172" s="158"/>
      <c r="E172" s="143" t="s">
        <v>178</v>
      </c>
      <c r="F172" s="9">
        <f>COUNTIF($O$3:$O$162,"ATRT")</f>
        <v>8</v>
      </c>
      <c r="G172" s="9">
        <f>COUNTIFS($J$3:$J$162,"M",$O$3:$O$162,"ATRT")</f>
        <v>1</v>
      </c>
      <c r="H172" s="9">
        <f>COUNTIFS($J$3:$J$162,"F",$O$3:$O$162,"ATRT")</f>
        <v>3</v>
      </c>
      <c r="I172" s="9">
        <f>COUNTIFS($J$3:$J$162,"N/A",$O$3:$O$162,"ATRT")</f>
        <v>4</v>
      </c>
      <c r="J172" s="116"/>
      <c r="K172" s="116"/>
      <c r="L172" s="116"/>
      <c r="M172" s="116"/>
      <c r="N172" s="116"/>
      <c r="O172" s="116"/>
      <c r="P172" s="116"/>
      <c r="Q172" s="116"/>
      <c r="R172" s="116"/>
      <c r="S172" s="141">
        <f t="array" ref="S172">AVERAGE(IF($O$3:$O$162="ATRT",$Y$3:$Y$162,""))</f>
        <v>2.228082191780822</v>
      </c>
      <c r="T172" s="141">
        <f t="array" ref="T172">STDEVP(IF($O$3:$O$162="ATRT",$Y$3:$Y$162,""))</f>
        <v>2.1768148074534461</v>
      </c>
      <c r="U172" s="141">
        <f t="array" ref="U172">AVERAGE(IF($O$3:$O$162="ATRT",$Z$3:$Z$162,""))</f>
        <v>142.94794520547947</v>
      </c>
      <c r="V172" s="141">
        <f t="array" ref="V172">STDEVP(IF($O$3:$O$162="ATRT",$Z$3:$Z$162,""))</f>
        <v>104.48711075776539</v>
      </c>
    </row>
    <row r="173" spans="1:113" x14ac:dyDescent="0.2">
      <c r="D173" s="158"/>
      <c r="E173" s="143" t="s">
        <v>181</v>
      </c>
      <c r="F173" s="9">
        <f>COUNTIF($O$3:$O$162,"GERMINOMA")</f>
        <v>12</v>
      </c>
      <c r="G173" s="9">
        <f>COUNTIFS($J$3:$J$162,"M",$O$3:$O$162,"GERMINOMA")</f>
        <v>0</v>
      </c>
      <c r="H173" s="9">
        <f>COUNTIFS($J$3:$J$162,"F",$O$3:$O$162,"GERMINOMA")</f>
        <v>0</v>
      </c>
      <c r="I173" s="9">
        <f>COUNTIFS($J$3:$J$162,"N/A",$O$3:$O$162,"GERMINOMA")</f>
        <v>12</v>
      </c>
      <c r="J173" s="121"/>
      <c r="K173" s="116"/>
      <c r="L173" s="116"/>
      <c r="M173" s="116"/>
      <c r="N173" s="116"/>
      <c r="O173" s="116"/>
      <c r="P173" s="116"/>
      <c r="Q173" s="116"/>
      <c r="R173" s="116"/>
      <c r="S173" s="141">
        <f t="array" ref="S173">AVERAGE(IF($O$3:$O$162="GERMINOMA",$Y$3:$Y$162,""))</f>
        <v>11.145833333333334</v>
      </c>
      <c r="T173" s="141">
        <f t="array" ref="T173">STDEVP(IF($O$3:$O$162="GERMINOMA",$Y$3:$Y$162,""))</f>
        <v>3.0783828501702337</v>
      </c>
      <c r="U173" s="141">
        <f t="array" ref="U173">AVERAGE(IF($O$3:$O$162="GERMINOMA",$Z$3:$Z$162,""))</f>
        <v>571</v>
      </c>
      <c r="V173" s="141">
        <f t="array" ref="V173">STDEVP(IF($O$3:$O$162="GERMINOMA",$Z$3:$Z$162,""))</f>
        <v>147.76237680817113</v>
      </c>
    </row>
    <row r="174" spans="1:113" x14ac:dyDescent="0.2">
      <c r="D174" s="158"/>
      <c r="E174" s="143" t="s">
        <v>324</v>
      </c>
      <c r="F174" s="9">
        <f>COUNTIF($O$3:$O$162,"CONTROL")</f>
        <v>121</v>
      </c>
      <c r="G174" s="9">
        <f>COUNTIFS($J$3:$J$162,"M",$O$3:$O$162,"CONTROL")</f>
        <v>73</v>
      </c>
      <c r="H174" s="9">
        <f>COUNTIFS($J$3:$J$162,"F",$O$3:$O$162,"CONTROL")</f>
        <v>36</v>
      </c>
      <c r="I174" s="9">
        <f>COUNTIFS($J$3:$J$162,"N/A",$O$3:$O$162,"CONTROL")</f>
        <v>12</v>
      </c>
      <c r="J174" s="119"/>
      <c r="K174" s="116"/>
      <c r="L174" s="116"/>
      <c r="M174" s="116"/>
      <c r="N174" s="116"/>
      <c r="O174" s="116"/>
      <c r="P174" s="116"/>
      <c r="Q174" s="116"/>
      <c r="R174" s="116"/>
      <c r="S174" s="141">
        <f t="array" ref="S174">AVERAGE(IF($O$3:$O$162="CONTROL",$Y$3:$Y$162,""))</f>
        <v>3.03837147469957</v>
      </c>
      <c r="T174" s="141">
        <f t="array" ref="T174">STDEVP(IF($O$3:$O$162="CONTROL",$Y$3:$Y$162,""))</f>
        <v>13.430638280620897</v>
      </c>
      <c r="U174" s="141">
        <f t="array" ref="U174">AVERAGE(IF($O$3:$O$162="CONTROL",$Z$3:$Z$162,""))</f>
        <v>169.45294189669042</v>
      </c>
      <c r="V174" s="141">
        <f t="array" ref="V174">STDEVP(IF($O$3:$O$162="CONTROL",$Z$3:$Z$162,""))</f>
        <v>647.52348258538711</v>
      </c>
    </row>
    <row r="175" spans="1:113" x14ac:dyDescent="0.2">
      <c r="D175" s="158"/>
      <c r="E175" s="143" t="s">
        <v>172</v>
      </c>
      <c r="F175" s="9">
        <f>COUNTIF($V$3:$V$162,"FETAL")</f>
        <v>76</v>
      </c>
      <c r="G175" s="9">
        <f>COUNTIFS($J$3:$J$162,"M",$V$3:$V$162,"FETAL")</f>
        <v>40</v>
      </c>
      <c r="H175" s="9">
        <f>COUNTIFS($J$3:$J$162,"F",$V$3:$V$162,"FETAL")</f>
        <v>32</v>
      </c>
      <c r="I175" s="9">
        <f>COUNTIFS($J$3:$J$162,"N/A",$V$3:$V$162,"FETAL")</f>
        <v>4</v>
      </c>
      <c r="J175" s="9">
        <f>COUNTIFS($O$3:$O$162,"MEDULLOBLASTOMA",$V$3:$V$162,"FETAL")</f>
        <v>0</v>
      </c>
      <c r="K175" s="9">
        <f>COUNTIFS($O$3:$O$162,"ATRT",$V$3:$V$162,"FETAL")</f>
        <v>0</v>
      </c>
      <c r="L175" s="9">
        <f>COUNTIFS($O$3:$O$162,"GERMINOMA",$V$3:$V$162,"FETAL")</f>
        <v>0</v>
      </c>
      <c r="M175" s="9">
        <f>COUNTIFS($O$3:$O$162,"CONTROL",$V$3:$V$162,"FETAL")</f>
        <v>76</v>
      </c>
      <c r="N175" s="116"/>
      <c r="O175" s="116"/>
      <c r="P175" s="116"/>
      <c r="Q175" s="116"/>
      <c r="R175" s="116"/>
      <c r="S175" s="141">
        <f t="array" ref="S175">AVERAGE(IF($V$3:$V$162="FETAL",$Y$3:$Y$162,""))</f>
        <v>0</v>
      </c>
      <c r="T175" s="141">
        <f t="array" ref="T175">STDEVP(IF($V$3:$V$162="FETAL",$Y$3:$Y$162,""))</f>
        <v>0</v>
      </c>
      <c r="U175" s="141">
        <f t="array" ref="U175">AVERAGE(IF($V$3:$V$162="FETAL",$Z$3:$Z$162,""))</f>
        <v>18.394736842105264</v>
      </c>
      <c r="V175" s="141">
        <f t="array" ref="V175">STDEVP(IF($V$3:$V$162="FETAL",$Z$3:$Z$162,""))</f>
        <v>3.4069547575836117</v>
      </c>
    </row>
    <row r="176" spans="1:113" x14ac:dyDescent="0.2">
      <c r="D176" s="158"/>
      <c r="E176" s="143" t="s">
        <v>175</v>
      </c>
      <c r="F176" s="9">
        <f>COUNTIF($V$3:$V$162,"INFANT")</f>
        <v>19</v>
      </c>
      <c r="G176" s="9">
        <f>COUNTIFS($J$3:$J$162,"M",$V$3:$V$162,"INFANT")</f>
        <v>15</v>
      </c>
      <c r="H176" s="9">
        <f>COUNTIFS($J$3:$J$162,"F",$V$3:$V$162,"INFANT")</f>
        <v>4</v>
      </c>
      <c r="I176" s="9">
        <f>COUNTIFS($J$3:$J$162,"N/A",$V$3:$V$162,"INFANT")</f>
        <v>0</v>
      </c>
      <c r="J176" s="9">
        <f>COUNTIFS($O$3:$O$162,"MEDULLOBLASTOMA",$V$3:$V$162,"INFANT")</f>
        <v>1</v>
      </c>
      <c r="K176" s="9">
        <f>COUNTIFS($O$3:$O$162,"ATRT",$V$3:$V$162,"INFANT")</f>
        <v>2</v>
      </c>
      <c r="L176" s="9">
        <f>COUNTIFS($O$3:$O$162,"GERMINOMA",$V$3:$V$162,"INFANT")</f>
        <v>0</v>
      </c>
      <c r="M176" s="9">
        <f>COUNTIFS($O$3:$O$162,"CONTROL",$V$3:$V$162,"INFANT")</f>
        <v>16</v>
      </c>
      <c r="N176" s="116"/>
      <c r="O176" s="116"/>
      <c r="P176" s="116"/>
      <c r="Q176" s="116"/>
      <c r="R176" s="116"/>
      <c r="S176" s="141">
        <f t="array" ref="S176">AVERAGE(IF($V$3:$V$162="INFANT",$Y$3:$Y$162,""))</f>
        <v>0.55565519346567604</v>
      </c>
      <c r="T176" s="141">
        <f t="array" ref="T176">STDEVP(IF($V$3:$V$162="INFANT",$Y$3:$Y$162,""))</f>
        <v>0.53566486052922002</v>
      </c>
      <c r="U176" s="141">
        <f t="array" ref="U176">AVERAGE(IF($V$3:$V$162="INFANT",$Z$3:$Z$162,""))</f>
        <v>62.671449286352441</v>
      </c>
      <c r="V176" s="141">
        <f t="array" ref="V176">STDEVP(IF($V$3:$V$162="INFANT",$Z$3:$Z$162,""))</f>
        <v>25.711913305402593</v>
      </c>
    </row>
    <row r="177" spans="2:22" x14ac:dyDescent="0.2">
      <c r="D177" s="158"/>
      <c r="E177" s="143" t="s">
        <v>174</v>
      </c>
      <c r="F177" s="9">
        <f>COUNTIF($V$3:$V$162,"CHILD")</f>
        <v>40</v>
      </c>
      <c r="G177" s="9">
        <f>COUNTIFS($J$3:$J$162,"M",$V$3:$V$162,"CHILD")</f>
        <v>9</v>
      </c>
      <c r="H177" s="9">
        <f>COUNTIFS($J$3:$J$162,"F",$V$3:$V$162,"CHILD")</f>
        <v>10</v>
      </c>
      <c r="I177" s="9">
        <f>COUNTIFS($J$3:$J$162,"N/A",$V$3:$V$162,"CHILD")</f>
        <v>21</v>
      </c>
      <c r="J177" s="9">
        <f>COUNTIFS($O$3:$O$162,"MEDULLOBLASTOMA",$V$3:$V$162,"CHILD")</f>
        <v>15</v>
      </c>
      <c r="K177" s="9">
        <f>COUNTIFS($O$3:$O$162,"ATRT",$V$3:$V$162,"CHILD")</f>
        <v>6</v>
      </c>
      <c r="L177" s="9">
        <f>COUNTIFS($O$3:$O$162,"GERMINOMA",$V$3:$V$162,"CHILD")</f>
        <v>9</v>
      </c>
      <c r="M177" s="9">
        <f>COUNTIFS($O$3:$O$162,"CONTROL",$V$3:$V$162,"CHILD")</f>
        <v>10</v>
      </c>
      <c r="N177" s="116"/>
      <c r="O177" s="116"/>
      <c r="P177" s="116"/>
      <c r="Q177" s="116"/>
      <c r="R177" s="116"/>
      <c r="S177" s="141">
        <f t="array" ref="S177">AVERAGE(IF($V$3:$V$162="CHILD",$Y$3:$Y$162,""))</f>
        <v>5.823578767123287</v>
      </c>
      <c r="T177" s="141">
        <f t="array" ref="T177">STDEVP(IF($V$3:$V$162="CHILD",$Y$3:$Y$162,""))</f>
        <v>3.5175695615534512</v>
      </c>
      <c r="U177" s="141">
        <f t="array" ref="U177">AVERAGE(IF($V$3:$V$162="CHILD",$Z$3:$Z$162,""))</f>
        <v>315.53178082191778</v>
      </c>
      <c r="V177" s="141">
        <f t="array" ref="V177">STDEVP(IF($V$3:$V$162="CHILD",$Z$3:$Z$162,""))</f>
        <v>168.84333895456558</v>
      </c>
    </row>
    <row r="178" spans="2:22" x14ac:dyDescent="0.2">
      <c r="D178" s="158"/>
      <c r="E178" s="143" t="s">
        <v>327</v>
      </c>
      <c r="F178" s="9">
        <f>COUNTIF($V$3:$V$162,"ADOLESCENCE")</f>
        <v>6</v>
      </c>
      <c r="G178" s="9">
        <f>COUNTIFS($J$3:$J$162,"M",$V$3:$V$162,"ADOLESCENCE")</f>
        <v>3</v>
      </c>
      <c r="H178" s="9">
        <f>COUNTIFS($J$3:$J$162,"F",$V$3:$V$162,"ADOLESCENCE")</f>
        <v>0</v>
      </c>
      <c r="I178" s="9">
        <f>COUNTIFS($J$3:$J$162,"N/A",$V$3:$V$162,"ADOLESCENCE")</f>
        <v>3</v>
      </c>
      <c r="J178" s="9">
        <f>COUNTIFS($O$3:$O$162,"MEDULLOBLASTOMA",$V$3:$V$162,"ADOLESCENCE")</f>
        <v>3</v>
      </c>
      <c r="K178" s="9">
        <f>COUNTIFS($O$3:$O$162,"ATRT",$V$3:$V$162,"ADOLESCENCE")</f>
        <v>0</v>
      </c>
      <c r="L178" s="9">
        <f>COUNTIFS($O$3:$O$162,"GERMINOMA",$V$3:$V$162,"ADOLESCENCE")</f>
        <v>3</v>
      </c>
      <c r="M178" s="9">
        <f>COUNTIFS($O$3:$O$162,"CONTROL",$V$3:$V$162,"ADOLESCENCE")</f>
        <v>0</v>
      </c>
      <c r="N178" s="116"/>
      <c r="O178" s="116"/>
      <c r="P178" s="116"/>
      <c r="Q178" s="116"/>
      <c r="R178" s="116"/>
      <c r="S178" s="141">
        <f t="array" ref="S178">AVERAGE(IF($V$3:$V$162="ADOLESCENCE",$Y$3:$Y$162,""))</f>
        <v>14.073744292237443</v>
      </c>
      <c r="T178" s="141">
        <f t="array" ref="T178">STDEVP(IF($V$3:$V$162="ADOLESCENCE",$Y$3:$Y$162,""))</f>
        <v>1.5695056484928547</v>
      </c>
      <c r="U178" s="141">
        <f t="array" ref="U178">AVERAGE(IF($V$3:$V$162="ADOLESCENCE",$Z$3:$Z$162,""))</f>
        <v>711.53972602739725</v>
      </c>
      <c r="V178" s="141">
        <f t="array" ref="V178">STDEVP(IF($V$3:$V$162="ADOLESCENCE",$Z$3:$Z$162,""))</f>
        <v>75.336271127655905</v>
      </c>
    </row>
    <row r="179" spans="2:22" x14ac:dyDescent="0.2">
      <c r="D179" s="158"/>
      <c r="E179" s="143" t="s">
        <v>171</v>
      </c>
      <c r="F179" s="9">
        <f>COUNTIF($V$3:$V$162,"ADULT")</f>
        <v>5</v>
      </c>
      <c r="G179" s="9">
        <f>COUNTIFS($J$3:$J$162,"M",$V$3:$V$162,"ADULT")</f>
        <v>2</v>
      </c>
      <c r="H179" s="9">
        <f>COUNTIFS($J$3:$J$162,"F",$V$3:$V$162,"ADULT")</f>
        <v>0</v>
      </c>
      <c r="I179" s="9">
        <f>COUNTIFS($J$3:$J$162,"N/A",$V$3:$V$162,"ADULT")</f>
        <v>3</v>
      </c>
      <c r="J179" s="9">
        <f>COUNTIFS($O$3:$O$162,"MEDULLOBLASTOMA",$V$3:$V$162,"ADULT")</f>
        <v>0</v>
      </c>
      <c r="K179" s="9">
        <f>COUNTIFS($O$3:$O$162,"ATRT",$V$3:$V$162,"ADULT")</f>
        <v>0</v>
      </c>
      <c r="L179" s="9">
        <f>COUNTIFS($O$3:$O$162,"GERMINOMA",$V$3:$V$162,"ADULT")</f>
        <v>0</v>
      </c>
      <c r="M179" s="9">
        <f>COUNTIFS($O$3:$O$162,"CONTROL",$V$3:$V$162,"ADULT")</f>
        <v>5</v>
      </c>
      <c r="N179" s="116"/>
      <c r="O179" s="116"/>
      <c r="P179" s="116"/>
      <c r="Q179" s="116"/>
      <c r="R179" s="116"/>
      <c r="S179" s="141">
        <f t="array" ref="S179">AVERAGE(IF($V$3:$V$162="ADULT",$Y$3:$Y$162,""))</f>
        <v>56.477845141362351</v>
      </c>
      <c r="T179" s="141">
        <f t="array" ref="T179">STDEVP(IF($V$3:$V$162="ADULT",$Y$3:$Y$162,""))</f>
        <v>29.575045351080384</v>
      </c>
      <c r="U179" s="141">
        <f t="array" ref="U179">AVERAGE(IF($V$3:$V$162="ADULT",$Z$3:$Z$162,""))</f>
        <v>2746.9365667853931</v>
      </c>
      <c r="V179" s="141">
        <f t="array" ref="V179">STDEVP(IF($V$3:$V$162="ADULT",$Z$3:$Z$162,""))</f>
        <v>1419.6021768518583</v>
      </c>
    </row>
    <row r="180" spans="2:22" x14ac:dyDescent="0.2">
      <c r="B180"/>
      <c r="C180"/>
      <c r="D180" s="158"/>
    </row>
    <row r="181" spans="2:22" x14ac:dyDescent="0.2">
      <c r="B181"/>
      <c r="C181"/>
      <c r="D181" s="158"/>
      <c r="E181" s="5" t="s">
        <v>328</v>
      </c>
      <c r="F181" s="139" t="s">
        <v>326</v>
      </c>
      <c r="G181" s="139" t="s">
        <v>322</v>
      </c>
      <c r="H181" s="5" t="s">
        <v>323</v>
      </c>
      <c r="I181" s="5" t="s">
        <v>329</v>
      </c>
      <c r="J181" s="5" t="s">
        <v>147</v>
      </c>
      <c r="K181" s="5" t="s">
        <v>178</v>
      </c>
      <c r="L181" s="5" t="s">
        <v>181</v>
      </c>
      <c r="M181" s="5" t="s">
        <v>324</v>
      </c>
      <c r="N181" s="5" t="s">
        <v>172</v>
      </c>
      <c r="O181" s="5" t="s">
        <v>175</v>
      </c>
      <c r="P181" s="5" t="s">
        <v>174</v>
      </c>
      <c r="Q181" s="5" t="s">
        <v>327</v>
      </c>
      <c r="R181" s="5" t="s">
        <v>171</v>
      </c>
      <c r="S181" s="141">
        <f>MEDIAN(Y6,Y16,Y20,Y27)</f>
        <v>1.0945205479452054</v>
      </c>
    </row>
    <row r="182" spans="2:22" x14ac:dyDescent="0.2">
      <c r="B182" s="135"/>
      <c r="C182" s="135"/>
      <c r="D182" s="158"/>
      <c r="E182" s="142" t="s">
        <v>326</v>
      </c>
      <c r="F182" s="151">
        <f>F167/$F$167</f>
        <v>1</v>
      </c>
      <c r="G182" s="121"/>
      <c r="H182" s="121"/>
      <c r="I182" s="121"/>
      <c r="J182" s="121"/>
      <c r="K182" s="121"/>
      <c r="L182" s="121"/>
      <c r="M182" s="121"/>
      <c r="N182" s="116"/>
      <c r="O182" s="116"/>
      <c r="P182" s="116"/>
      <c r="Q182" s="116"/>
      <c r="R182" s="116"/>
    </row>
    <row r="183" spans="2:22" x14ac:dyDescent="0.2">
      <c r="B183" s="135"/>
      <c r="C183" s="135"/>
      <c r="D183" s="158"/>
      <c r="E183" s="142" t="s">
        <v>322</v>
      </c>
      <c r="F183" s="151">
        <f>F168/$F$167</f>
        <v>0.50931677018633537</v>
      </c>
      <c r="G183" s="121"/>
      <c r="H183" s="121"/>
      <c r="I183" s="121"/>
      <c r="J183" s="121"/>
      <c r="K183" s="121"/>
      <c r="L183" s="121"/>
      <c r="M183" s="121"/>
      <c r="N183" s="116"/>
      <c r="O183" s="116"/>
      <c r="P183" s="116"/>
      <c r="Q183" s="116"/>
      <c r="R183" s="116"/>
    </row>
    <row r="184" spans="2:22" x14ac:dyDescent="0.2">
      <c r="D184" s="158"/>
      <c r="E184" s="143" t="s">
        <v>323</v>
      </c>
      <c r="F184" s="151">
        <f t="shared" ref="F184:M194" si="58">F169/$F$167</f>
        <v>0.2857142857142857</v>
      </c>
      <c r="G184" s="121"/>
      <c r="H184" s="121"/>
      <c r="I184" s="121"/>
      <c r="J184" s="121"/>
      <c r="K184" s="121"/>
      <c r="L184" s="121"/>
      <c r="M184" s="121"/>
      <c r="N184" s="116"/>
      <c r="O184" s="116"/>
      <c r="P184" s="116"/>
      <c r="Q184" s="116"/>
      <c r="R184" s="116"/>
    </row>
    <row r="185" spans="2:22" x14ac:dyDescent="0.2">
      <c r="D185" s="158"/>
      <c r="E185" s="5" t="s">
        <v>329</v>
      </c>
      <c r="F185" s="151">
        <f t="shared" si="58"/>
        <v>0.19875776397515527</v>
      </c>
      <c r="G185" s="121"/>
      <c r="H185" s="152"/>
      <c r="I185" s="121"/>
      <c r="J185" s="121"/>
      <c r="K185" s="121"/>
      <c r="L185" s="121"/>
      <c r="M185" s="121"/>
      <c r="N185" s="116"/>
      <c r="O185" s="116"/>
      <c r="P185" s="116"/>
      <c r="Q185" s="116"/>
      <c r="R185" s="116"/>
    </row>
    <row r="186" spans="2:22" x14ac:dyDescent="0.2">
      <c r="D186" s="158"/>
      <c r="E186" s="143" t="s">
        <v>147</v>
      </c>
      <c r="F186" s="151">
        <f t="shared" si="58"/>
        <v>0.11801242236024845</v>
      </c>
      <c r="G186" s="151">
        <f>G171/$F$167</f>
        <v>4.9689440993788817E-2</v>
      </c>
      <c r="H186" s="151">
        <f>H171/$F$167</f>
        <v>4.3478260869565216E-2</v>
      </c>
      <c r="I186" s="151">
        <f>I171/$F$167</f>
        <v>2.4844720496894408E-2</v>
      </c>
      <c r="J186" s="121"/>
      <c r="K186" s="121"/>
      <c r="L186" s="121"/>
      <c r="M186" s="121"/>
      <c r="N186" s="116"/>
      <c r="O186" s="116"/>
      <c r="P186" s="116"/>
      <c r="Q186" s="116"/>
      <c r="R186" s="116"/>
    </row>
    <row r="187" spans="2:22" x14ac:dyDescent="0.2">
      <c r="D187" s="158"/>
      <c r="E187" s="143" t="s">
        <v>178</v>
      </c>
      <c r="F187" s="151">
        <f t="shared" si="58"/>
        <v>4.9689440993788817E-2</v>
      </c>
      <c r="G187" s="151">
        <f t="shared" si="58"/>
        <v>6.2111801242236021E-3</v>
      </c>
      <c r="H187" s="151">
        <f t="shared" si="58"/>
        <v>1.8633540372670808E-2</v>
      </c>
      <c r="I187" s="151">
        <f t="shared" si="58"/>
        <v>2.4844720496894408E-2</v>
      </c>
      <c r="J187" s="121"/>
      <c r="K187" s="121"/>
      <c r="L187" s="121"/>
      <c r="M187" s="121"/>
      <c r="N187" s="116"/>
      <c r="O187" s="116"/>
      <c r="P187" s="116"/>
      <c r="Q187" s="116"/>
      <c r="R187" s="116"/>
    </row>
    <row r="188" spans="2:22" x14ac:dyDescent="0.2">
      <c r="D188" s="158"/>
      <c r="E188" s="143" t="s">
        <v>181</v>
      </c>
      <c r="F188" s="151">
        <f t="shared" si="58"/>
        <v>7.4534161490683232E-2</v>
      </c>
      <c r="G188" s="151">
        <f t="shared" si="58"/>
        <v>0</v>
      </c>
      <c r="H188" s="151">
        <f t="shared" si="58"/>
        <v>0</v>
      </c>
      <c r="I188" s="151">
        <f t="shared" si="58"/>
        <v>7.4534161490683232E-2</v>
      </c>
      <c r="J188" s="121"/>
      <c r="K188" s="121"/>
      <c r="L188" s="121"/>
      <c r="M188" s="121"/>
      <c r="N188" s="116"/>
      <c r="O188" s="116"/>
      <c r="P188" s="116"/>
      <c r="Q188" s="116"/>
      <c r="R188" s="116"/>
    </row>
    <row r="189" spans="2:22" x14ac:dyDescent="0.2">
      <c r="D189" s="158"/>
      <c r="E189" s="143" t="s">
        <v>324</v>
      </c>
      <c r="F189" s="151">
        <f t="shared" si="58"/>
        <v>0.75155279503105588</v>
      </c>
      <c r="G189" s="151">
        <f t="shared" si="58"/>
        <v>0.453416149068323</v>
      </c>
      <c r="H189" s="151">
        <f t="shared" si="58"/>
        <v>0.2236024844720497</v>
      </c>
      <c r="I189" s="151">
        <f t="shared" si="58"/>
        <v>7.4534161490683232E-2</v>
      </c>
      <c r="J189" s="121"/>
      <c r="K189" s="121"/>
      <c r="L189" s="121"/>
      <c r="M189" s="121"/>
      <c r="N189" s="116"/>
      <c r="O189" s="116"/>
      <c r="P189" s="116"/>
      <c r="Q189" s="116"/>
      <c r="R189" s="116"/>
    </row>
    <row r="190" spans="2:22" x14ac:dyDescent="0.2">
      <c r="D190" s="158"/>
      <c r="E190" s="143" t="s">
        <v>172</v>
      </c>
      <c r="F190" s="151">
        <f t="shared" si="58"/>
        <v>0.47204968944099379</v>
      </c>
      <c r="G190" s="151">
        <f t="shared" si="58"/>
        <v>0.2484472049689441</v>
      </c>
      <c r="H190" s="151">
        <f t="shared" si="58"/>
        <v>0.19875776397515527</v>
      </c>
      <c r="I190" s="151">
        <f t="shared" si="58"/>
        <v>2.4844720496894408E-2</v>
      </c>
      <c r="J190" s="151">
        <f>J175/$F$167</f>
        <v>0</v>
      </c>
      <c r="K190" s="151">
        <f>K175/$F$167</f>
        <v>0</v>
      </c>
      <c r="L190" s="151">
        <f>L175/$F$167</f>
        <v>0</v>
      </c>
      <c r="M190" s="151">
        <f>M175/$F$167</f>
        <v>0.47204968944099379</v>
      </c>
      <c r="N190" s="116"/>
      <c r="O190" s="116"/>
      <c r="P190" s="116"/>
      <c r="Q190" s="116"/>
      <c r="R190" s="116"/>
    </row>
    <row r="191" spans="2:22" x14ac:dyDescent="0.2">
      <c r="D191" s="158"/>
      <c r="E191" s="143" t="s">
        <v>175</v>
      </c>
      <c r="F191" s="151">
        <f t="shared" si="58"/>
        <v>0.11801242236024845</v>
      </c>
      <c r="G191" s="151">
        <f t="shared" si="58"/>
        <v>9.3167701863354033E-2</v>
      </c>
      <c r="H191" s="151">
        <f t="shared" si="58"/>
        <v>2.4844720496894408E-2</v>
      </c>
      <c r="I191" s="151">
        <f t="shared" si="58"/>
        <v>0</v>
      </c>
      <c r="J191" s="151">
        <f t="shared" si="58"/>
        <v>6.2111801242236021E-3</v>
      </c>
      <c r="K191" s="151">
        <f t="shared" si="58"/>
        <v>1.2422360248447204E-2</v>
      </c>
      <c r="L191" s="151">
        <f t="shared" si="58"/>
        <v>0</v>
      </c>
      <c r="M191" s="151">
        <f t="shared" si="58"/>
        <v>9.9378881987577633E-2</v>
      </c>
      <c r="N191" s="116"/>
      <c r="O191" s="116"/>
      <c r="P191" s="116"/>
      <c r="Q191" s="116"/>
      <c r="R191" s="116"/>
    </row>
    <row r="192" spans="2:22" x14ac:dyDescent="0.2">
      <c r="D192" s="158"/>
      <c r="E192" s="143" t="s">
        <v>174</v>
      </c>
      <c r="F192" s="151">
        <f t="shared" si="58"/>
        <v>0.2484472049689441</v>
      </c>
      <c r="G192" s="151">
        <f t="shared" si="58"/>
        <v>5.5900621118012424E-2</v>
      </c>
      <c r="H192" s="151">
        <f t="shared" si="58"/>
        <v>6.2111801242236024E-2</v>
      </c>
      <c r="I192" s="151">
        <f t="shared" si="58"/>
        <v>0.13043478260869565</v>
      </c>
      <c r="J192" s="151">
        <f t="shared" si="58"/>
        <v>9.3167701863354033E-2</v>
      </c>
      <c r="K192" s="151">
        <f t="shared" si="58"/>
        <v>3.7267080745341616E-2</v>
      </c>
      <c r="L192" s="151">
        <f t="shared" si="58"/>
        <v>5.5900621118012424E-2</v>
      </c>
      <c r="M192" s="151">
        <f t="shared" si="58"/>
        <v>6.2111801242236024E-2</v>
      </c>
      <c r="N192" s="116"/>
      <c r="O192" s="116"/>
      <c r="P192" s="116"/>
      <c r="Q192" s="116"/>
      <c r="R192" s="116"/>
    </row>
    <row r="193" spans="4:22" x14ac:dyDescent="0.2">
      <c r="D193" s="158"/>
      <c r="E193" s="143" t="s">
        <v>327</v>
      </c>
      <c r="F193" s="151">
        <f t="shared" si="58"/>
        <v>3.7267080745341616E-2</v>
      </c>
      <c r="G193" s="151">
        <f t="shared" si="58"/>
        <v>1.8633540372670808E-2</v>
      </c>
      <c r="H193" s="151">
        <f t="shared" si="58"/>
        <v>0</v>
      </c>
      <c r="I193" s="151">
        <f t="shared" si="58"/>
        <v>1.8633540372670808E-2</v>
      </c>
      <c r="J193" s="151">
        <f t="shared" si="58"/>
        <v>1.8633540372670808E-2</v>
      </c>
      <c r="K193" s="151">
        <f t="shared" si="58"/>
        <v>0</v>
      </c>
      <c r="L193" s="151">
        <f t="shared" si="58"/>
        <v>1.8633540372670808E-2</v>
      </c>
      <c r="M193" s="151">
        <f t="shared" si="58"/>
        <v>0</v>
      </c>
      <c r="N193" s="116"/>
      <c r="O193" s="116"/>
      <c r="P193" s="116"/>
      <c r="Q193" s="116"/>
      <c r="R193" s="116"/>
    </row>
    <row r="194" spans="4:22" x14ac:dyDescent="0.2">
      <c r="D194" s="158"/>
      <c r="E194" s="143" t="s">
        <v>171</v>
      </c>
      <c r="F194" s="151">
        <f t="shared" si="58"/>
        <v>3.1055900621118012E-2</v>
      </c>
      <c r="G194" s="151">
        <f t="shared" si="58"/>
        <v>1.2422360248447204E-2</v>
      </c>
      <c r="H194" s="151">
        <f t="shared" si="58"/>
        <v>0</v>
      </c>
      <c r="I194" s="151">
        <f t="shared" si="58"/>
        <v>1.8633540372670808E-2</v>
      </c>
      <c r="J194" s="151">
        <f t="shared" si="58"/>
        <v>0</v>
      </c>
      <c r="K194" s="151">
        <f t="shared" si="58"/>
        <v>0</v>
      </c>
      <c r="L194" s="151">
        <f t="shared" si="58"/>
        <v>0</v>
      </c>
      <c r="M194" s="151">
        <f t="shared" si="58"/>
        <v>3.1055900621118012E-2</v>
      </c>
      <c r="N194" s="116"/>
      <c r="O194" s="116"/>
      <c r="P194" s="116"/>
      <c r="Q194" s="116"/>
      <c r="R194" s="116"/>
    </row>
    <row r="195" spans="4:22" x14ac:dyDescent="0.2">
      <c r="D195" s="140"/>
    </row>
    <row r="196" spans="4:22" x14ac:dyDescent="0.2">
      <c r="D196" s="140"/>
    </row>
    <row r="197" spans="4:22" ht="12.75" customHeight="1" x14ac:dyDescent="0.2">
      <c r="D197" s="158" t="s">
        <v>334</v>
      </c>
      <c r="E197" s="5" t="s">
        <v>321</v>
      </c>
      <c r="F197" s="139" t="s">
        <v>326</v>
      </c>
      <c r="G197" s="139" t="s">
        <v>322</v>
      </c>
      <c r="H197" s="5" t="s">
        <v>323</v>
      </c>
      <c r="I197" s="5" t="s">
        <v>329</v>
      </c>
      <c r="J197" s="5" t="s">
        <v>147</v>
      </c>
      <c r="K197" s="5" t="s">
        <v>178</v>
      </c>
      <c r="L197" s="5" t="s">
        <v>181</v>
      </c>
      <c r="M197" s="5" t="s">
        <v>324</v>
      </c>
      <c r="N197" s="5" t="s">
        <v>172</v>
      </c>
      <c r="O197" s="5" t="s">
        <v>175</v>
      </c>
      <c r="P197" s="5" t="s">
        <v>174</v>
      </c>
      <c r="Q197" s="5" t="s">
        <v>327</v>
      </c>
      <c r="R197" s="5" t="s">
        <v>171</v>
      </c>
      <c r="S197" s="5" t="s">
        <v>330</v>
      </c>
      <c r="T197" s="5" t="s">
        <v>331</v>
      </c>
      <c r="U197" s="5" t="s">
        <v>332</v>
      </c>
      <c r="V197" s="5" t="s">
        <v>331</v>
      </c>
    </row>
    <row r="198" spans="4:22" x14ac:dyDescent="0.2">
      <c r="D198" s="158"/>
      <c r="E198" s="142" t="s">
        <v>326</v>
      </c>
      <c r="F198" s="2">
        <f>COUNT($G$3:$G$34)</f>
        <v>32</v>
      </c>
      <c r="G198" s="116"/>
      <c r="H198" s="116"/>
      <c r="I198" s="116"/>
      <c r="J198" s="116"/>
      <c r="K198" s="116"/>
      <c r="L198" s="116"/>
      <c r="M198" s="116"/>
      <c r="N198" s="116"/>
      <c r="O198" s="116"/>
      <c r="P198" s="116"/>
      <c r="Q198" s="116"/>
      <c r="R198" s="116"/>
      <c r="S198" s="141">
        <f>AVERAGE($Y$3:$Y$34)</f>
        <v>6.1488103821196836</v>
      </c>
      <c r="T198" s="141">
        <f>STDEVP($Y$3:$Y$34)</f>
        <v>4.7418123319955452</v>
      </c>
      <c r="U198" s="141">
        <f>AVERAGE($Z$3:$Z$34)</f>
        <v>331.14289834174474</v>
      </c>
      <c r="V198" s="141">
        <f>STDEVP($Z$3:$Z$34)</f>
        <v>227.60699193578617</v>
      </c>
    </row>
    <row r="199" spans="4:22" x14ac:dyDescent="0.2">
      <c r="D199" s="158"/>
      <c r="E199" s="142" t="s">
        <v>322</v>
      </c>
      <c r="F199" s="9">
        <f>COUNTIF($J$3:$J$34,"M")</f>
        <v>22</v>
      </c>
      <c r="G199" s="116"/>
      <c r="H199" s="116"/>
      <c r="I199" s="116"/>
      <c r="J199" s="116"/>
      <c r="K199" s="116"/>
      <c r="L199" s="116"/>
      <c r="M199" s="116"/>
      <c r="N199" s="116"/>
      <c r="O199" s="116"/>
      <c r="P199" s="116"/>
      <c r="Q199" s="116"/>
      <c r="R199" s="116"/>
      <c r="S199" s="141">
        <f t="array" ref="S199">AVERAGE(IF($J$3:$J$34="M",$Y$3:$Y$34,""))</f>
        <v>8.4054794520547951</v>
      </c>
      <c r="T199" s="141">
        <f t="array" ref="T199">STDEVP(IF($J$3:$J$34="M",$Y$3:$Y$34,""))</f>
        <v>4.9759254447607546</v>
      </c>
      <c r="U199" s="141">
        <f t="array" ref="U199">AVERAGE(IF($J$3:$J$34="M",$Z$3:$Z$34,""))</f>
        <v>439.46301369863005</v>
      </c>
      <c r="V199" s="141">
        <f t="array" ref="V199">STDEVP(IF($J$3:$J$34="M",$Z$3:$Z$34,""))</f>
        <v>238.84442134851633</v>
      </c>
    </row>
    <row r="200" spans="4:22" x14ac:dyDescent="0.2">
      <c r="D200" s="158"/>
      <c r="E200" s="143" t="s">
        <v>323</v>
      </c>
      <c r="F200" s="9">
        <f>COUNTIF($J$3:$J$34,"F")</f>
        <v>10</v>
      </c>
      <c r="G200" s="116"/>
      <c r="H200" s="116"/>
      <c r="I200" s="116"/>
      <c r="J200" s="116"/>
      <c r="K200" s="116"/>
      <c r="L200" s="116"/>
      <c r="M200" s="116"/>
      <c r="N200" s="116"/>
      <c r="O200" s="116"/>
      <c r="P200" s="116"/>
      <c r="Q200" s="116"/>
      <c r="R200" s="116"/>
      <c r="S200" s="141">
        <f t="array" ref="S200">AVERAGE(IF($J$3:$J$34="F",$Y$3:$Y$34,""))</f>
        <v>4.117808219178082</v>
      </c>
      <c r="T200" s="141">
        <f t="array" ref="T200">STDEVP(IF($J$3:$J$34="F",$Y$3:$Y$34,""))</f>
        <v>3.4247583546803289</v>
      </c>
      <c r="U200" s="141">
        <f t="array" ref="U200">AVERAGE(IF($J$3:$J$34="F",$Z$3:$Z$34,""))</f>
        <v>233.65479452054791</v>
      </c>
      <c r="V200" s="141">
        <f t="array" ref="V200">STDEVP(IF($J$3:$J$34="F",$Z$3:$Z$34,""))</f>
        <v>164.38840102465579</v>
      </c>
    </row>
    <row r="201" spans="4:22" x14ac:dyDescent="0.2">
      <c r="D201" s="158"/>
      <c r="E201" s="5" t="s">
        <v>329</v>
      </c>
      <c r="F201" s="9">
        <f>COUNTIF($J$3:$J$34,"n/a")</f>
        <v>0</v>
      </c>
      <c r="G201" s="116"/>
      <c r="H201" s="114"/>
      <c r="I201" s="116"/>
      <c r="J201" s="116"/>
      <c r="K201" s="116"/>
      <c r="L201" s="116"/>
      <c r="M201" s="116"/>
      <c r="N201" s="116"/>
      <c r="O201" s="116"/>
      <c r="P201" s="116"/>
      <c r="Q201" s="116"/>
      <c r="R201" s="116"/>
      <c r="S201" s="141" t="s">
        <v>71</v>
      </c>
      <c r="T201" s="141" t="s">
        <v>71</v>
      </c>
      <c r="U201" s="141" t="s">
        <v>71</v>
      </c>
      <c r="V201" s="141" t="s">
        <v>71</v>
      </c>
    </row>
    <row r="202" spans="4:22" x14ac:dyDescent="0.2">
      <c r="D202" s="158"/>
      <c r="E202" s="143" t="s">
        <v>147</v>
      </c>
      <c r="F202" s="9">
        <f>COUNTIF($O$3:$O$34,"MEDULLOBLASTOMA")</f>
        <v>15</v>
      </c>
      <c r="G202" s="9">
        <f>COUNTIFS($J$3:$J$34,"M",$O$3:$O$34,"MEDULLOBLASTOMA")</f>
        <v>8</v>
      </c>
      <c r="H202" s="9">
        <f>COUNTIFS($J$3:$J$34,"F",$O$3:$O$34,"MEDULLOBLASTOMA")</f>
        <v>7</v>
      </c>
      <c r="I202" s="116"/>
      <c r="J202" s="121"/>
      <c r="K202" s="116"/>
      <c r="L202" s="116"/>
      <c r="M202" s="116"/>
      <c r="N202" s="116"/>
      <c r="O202" s="116"/>
      <c r="P202" s="116"/>
      <c r="Q202" s="116"/>
      <c r="R202" s="116"/>
      <c r="S202" s="141">
        <f t="array" ref="S202">AVERAGE(IF($O$3:$O$34="MEDULLOBLASTOMA",$Y$3:$Y$34,""))</f>
        <v>7.1335159817351599</v>
      </c>
      <c r="T202" s="141">
        <f t="array" ref="T202">STDEVP(IF($O$3:$O$34="MEDULLOBLASTOMA",$Y$3:$Y$34,""))</f>
        <v>4.6233586293669626</v>
      </c>
      <c r="U202" s="141">
        <f t="array" ref="U202">AVERAGE(IF($O$3:$O$34="MEDULLOBLASTOMA",$Z$3:$Z$34,""))</f>
        <v>378.40876712328765</v>
      </c>
      <c r="V202" s="141">
        <f t="array" ref="V202">STDEVP(IF($O$3:$O$34="MEDULLOBLASTOMA",$Z$3:$Z$34,""))</f>
        <v>221.92121420961419</v>
      </c>
    </row>
    <row r="203" spans="4:22" x14ac:dyDescent="0.2">
      <c r="D203" s="158"/>
      <c r="E203" s="143" t="s">
        <v>178</v>
      </c>
      <c r="F203" s="9">
        <f>COUNTIF($O$3:$O$34,"ATRT")</f>
        <v>4</v>
      </c>
      <c r="G203" s="9">
        <f>COUNTIFS($J$3:$J$34,"M",$O$3:$O$34,"ATRT")</f>
        <v>1</v>
      </c>
      <c r="H203" s="9">
        <f>COUNTIFS($J$3:$J$34,"F",$O$3:$O$34,"ATRT")</f>
        <v>3</v>
      </c>
      <c r="I203" s="116"/>
      <c r="J203" s="116"/>
      <c r="K203" s="116"/>
      <c r="L203" s="116"/>
      <c r="M203" s="116"/>
      <c r="N203" s="116"/>
      <c r="O203" s="116"/>
      <c r="P203" s="116"/>
      <c r="Q203" s="116"/>
      <c r="R203" s="116"/>
      <c r="S203" s="141">
        <f t="array" ref="S203">AVERAGE(IF($O$3:$O$34="ATRT",$Y$3:$Y$34,""))</f>
        <v>2.456164383561644</v>
      </c>
      <c r="T203" s="141">
        <f t="array" ref="T203">STDEVP(IF($O$3:$O$34="ATRT",$Y$3:$Y$34,""))</f>
        <v>3.061535960834378</v>
      </c>
      <c r="U203" s="141">
        <f t="array" ref="U203">AVERAGE(IF($O$3:$O$34="ATRT",$Z$3:$Z$34,""))</f>
        <v>153.89589041095891</v>
      </c>
      <c r="V203" s="141">
        <f t="array" ref="V203">STDEVP(IF($O$3:$O$34="ATRT",$Z$3:$Z$34,""))</f>
        <v>146.95372612005016</v>
      </c>
    </row>
    <row r="204" spans="4:22" x14ac:dyDescent="0.2">
      <c r="D204" s="158"/>
      <c r="E204" s="143" t="s">
        <v>181</v>
      </c>
      <c r="F204" s="9">
        <f>COUNTIF($O$3:$O$34,"GERMINOMA")</f>
        <v>0</v>
      </c>
      <c r="G204" s="9">
        <f>COUNTIFS($J$3:$J$34,"M",$O$3:$O$34,"GERMINOMA")</f>
        <v>0</v>
      </c>
      <c r="H204" s="9">
        <f>COUNTIFS($J$3:$J$34,"F",$O$3:$O$34,"GERMINOMA")</f>
        <v>0</v>
      </c>
      <c r="I204" s="116"/>
      <c r="J204" s="121"/>
      <c r="K204" s="116"/>
      <c r="L204" s="116"/>
      <c r="M204" s="116"/>
      <c r="N204" s="116"/>
      <c r="O204" s="116"/>
      <c r="P204" s="116"/>
      <c r="Q204" s="116"/>
      <c r="R204" s="116"/>
      <c r="S204" s="141" t="s">
        <v>71</v>
      </c>
      <c r="T204" s="141" t="s">
        <v>71</v>
      </c>
      <c r="U204" s="141" t="s">
        <v>71</v>
      </c>
      <c r="V204" s="141" t="s">
        <v>71</v>
      </c>
    </row>
    <row r="205" spans="4:22" x14ac:dyDescent="0.2">
      <c r="D205" s="158"/>
      <c r="E205" s="143" t="s">
        <v>324</v>
      </c>
      <c r="F205" s="9">
        <f>COUNTIF($O$3:$O$34,"CONTROL")</f>
        <v>13</v>
      </c>
      <c r="G205" s="9">
        <f>COUNTIFS($J$3:$J$34,"M",$O$3:$O$34,"CONTROL")</f>
        <v>13</v>
      </c>
      <c r="H205" s="9">
        <f>COUNTIFS($J$3:$J$34,"F",$O$3:$O$34,"CONTROL")</f>
        <v>0</v>
      </c>
      <c r="I205" s="116"/>
      <c r="J205" s="119"/>
      <c r="K205" s="116"/>
      <c r="L205" s="116"/>
      <c r="M205" s="116"/>
      <c r="N205" s="116"/>
      <c r="O205" s="116"/>
      <c r="P205" s="116"/>
      <c r="Q205" s="116"/>
      <c r="R205" s="116"/>
      <c r="S205" s="141" t="s">
        <v>71</v>
      </c>
      <c r="T205" s="141" t="s">
        <v>71</v>
      </c>
      <c r="U205" s="141" t="s">
        <v>71</v>
      </c>
      <c r="V205" s="141" t="s">
        <v>71</v>
      </c>
    </row>
    <row r="206" spans="4:22" x14ac:dyDescent="0.2">
      <c r="D206" s="158"/>
      <c r="E206" s="143" t="s">
        <v>172</v>
      </c>
      <c r="F206" s="9">
        <f>COUNTIF($V$3:$V$34,"FETAL")</f>
        <v>0</v>
      </c>
      <c r="G206" s="9">
        <f>COUNTIFS($J$3:$J$34,"M",$V$3:$V$34,"FETAL")</f>
        <v>0</v>
      </c>
      <c r="H206" s="9">
        <f>COUNTIFS($J$3:$J$34,"F",$V$3:$V$34,"FETAL")</f>
        <v>0</v>
      </c>
      <c r="I206" s="116"/>
      <c r="J206" s="9">
        <f>COUNTIFS($O$3:$O$34,"MEDULLOBLASTOMA",$V$3:$V$34,"FETAL")</f>
        <v>0</v>
      </c>
      <c r="K206" s="9">
        <f>COUNTIFS($O$3:$O$34,"ATRT",$V$3:$V$34,"FETAL")</f>
        <v>0</v>
      </c>
      <c r="L206" s="9">
        <f>COUNTIFS($O$3:$O$34,"GERMINOMA",$V$3:$V$34,"FETAL")</f>
        <v>0</v>
      </c>
      <c r="M206" s="9">
        <f>COUNTIFS($O$3:$O$34,"CONTROL",$V$3:$V$34,"FETAL")</f>
        <v>0</v>
      </c>
      <c r="N206" s="116"/>
      <c r="O206" s="116"/>
      <c r="P206" s="116"/>
      <c r="Q206" s="116"/>
      <c r="R206" s="116"/>
      <c r="S206" s="141" t="s">
        <v>71</v>
      </c>
      <c r="T206" s="141" t="s">
        <v>71</v>
      </c>
      <c r="U206" s="141" t="s">
        <v>71</v>
      </c>
      <c r="V206" s="141" t="s">
        <v>71</v>
      </c>
    </row>
    <row r="207" spans="4:22" x14ac:dyDescent="0.2">
      <c r="D207" s="158"/>
      <c r="E207" s="143" t="s">
        <v>175</v>
      </c>
      <c r="F207" s="9">
        <f>COUNTIF($V$3:$V$34,"INFANT")</f>
        <v>3</v>
      </c>
      <c r="G207" s="9">
        <f>COUNTIFS($J$3:$J$34,"M",$V$3:$V$34,"INFANT")</f>
        <v>1</v>
      </c>
      <c r="H207" s="9">
        <f>COUNTIFS($J$3:$J$34,"F",$V$3:$V$34,"INFANT")</f>
        <v>2</v>
      </c>
      <c r="I207" s="116"/>
      <c r="J207" s="9">
        <f>COUNTIFS($O$3:$O$34,"MEDULLOBLASTOMA",$V$3:$V$34,"INFANT")</f>
        <v>1</v>
      </c>
      <c r="K207" s="9">
        <f>COUNTIFS($O$3:$O$34,"ATRT",$V$3:$V$34,"INFANT")</f>
        <v>2</v>
      </c>
      <c r="L207" s="9">
        <f>COUNTIFS($O$3:$O$34,"GERMINOMA",$V$3:$V$34,"INFANT")</f>
        <v>0</v>
      </c>
      <c r="M207" s="9">
        <f>COUNTIFS($O$3:$O$34,"CONTROL",$V$3:$V$34,"INFANT")</f>
        <v>0</v>
      </c>
      <c r="N207" s="116"/>
      <c r="O207" s="116"/>
      <c r="P207" s="116"/>
      <c r="Q207" s="116"/>
      <c r="R207" s="116"/>
      <c r="S207" s="141">
        <f t="array" ref="S207">AVERAGE(IF($V$3:$V$34="INFANT",$Y$3:$Y$34,""))</f>
        <v>0.34429223744292231</v>
      </c>
      <c r="T207" s="141">
        <f t="array" ref="T207">STDEVP(IF($V$3:$V$34="INFANT",$Y$3:$Y$34,""))</f>
        <v>0.29533461526941768</v>
      </c>
      <c r="U207" s="141">
        <f t="array" ref="U207">AVERAGE(IF($V$3:$V$34="INFANT",$Z$3:$Z$34,""))</f>
        <v>52.526027397260272</v>
      </c>
      <c r="V207" s="141">
        <f t="array" ref="V207">STDEVP(IF($V$3:$V$34="INFANT",$Z$3:$Z$34,""))</f>
        <v>14.176061532932058</v>
      </c>
    </row>
    <row r="208" spans="4:22" x14ac:dyDescent="0.2">
      <c r="D208" s="158"/>
      <c r="E208" s="143" t="s">
        <v>174</v>
      </c>
      <c r="F208" s="9">
        <f>COUNTIF($V$3:$V$34,"CHILD")</f>
        <v>13</v>
      </c>
      <c r="G208" s="9">
        <f>COUNTIFS($J$3:$J$34,"M",$V$3:$V$34,"CHILD")</f>
        <v>5</v>
      </c>
      <c r="H208" s="9">
        <f>COUNTIFS($J$3:$J$34,"F",$V$3:$V$34,"CHILD")</f>
        <v>8</v>
      </c>
      <c r="I208" s="116"/>
      <c r="J208" s="9">
        <f>COUNTIFS($O$3:$O$34,"MEDULLOBLASTOMA",$V$3:$V$34,"CHILD")</f>
        <v>11</v>
      </c>
      <c r="K208" s="9">
        <f>COUNTIFS($O$3:$O$34,"ATRT",$V$3:$V$34,"CHILD")</f>
        <v>2</v>
      </c>
      <c r="L208" s="9">
        <f>COUNTIFS($O$3:$O$34,"GERMINOMA",$V$3:$V$34,"CHILD")</f>
        <v>0</v>
      </c>
      <c r="M208" s="9">
        <f>COUNTIFS($O$3:$O$34,"CONTROL",$V$3:$V$34,"CHILD")</f>
        <v>0</v>
      </c>
      <c r="N208" s="116"/>
      <c r="O208" s="116"/>
      <c r="P208" s="116"/>
      <c r="Q208" s="116"/>
      <c r="R208" s="116"/>
      <c r="S208" s="141">
        <f t="array" ref="S208">AVERAGE(IF($V$3:$V$34="CHILD",$Y$3:$Y$34,""))</f>
        <v>5.8040042149631192</v>
      </c>
      <c r="T208" s="141">
        <f t="array" ref="T208">STDEVP(IF($V$3:$V$34="CHILD",$Y$3:$Y$34,""))</f>
        <v>3.4448102709567934</v>
      </c>
      <c r="U208" s="141">
        <f t="array" ref="U208">AVERAGE(IF($V$3:$V$34="CHILD",$Z$3:$Z$34,""))</f>
        <v>314.59220231822968</v>
      </c>
      <c r="V208" s="141">
        <f t="array" ref="V208">STDEVP(IF($V$3:$V$34="CHILD",$Z$3:$Z$34,""))</f>
        <v>165.35089300592605</v>
      </c>
    </row>
    <row r="209" spans="4:22" x14ac:dyDescent="0.2">
      <c r="D209" s="158"/>
      <c r="E209" s="143" t="s">
        <v>327</v>
      </c>
      <c r="F209" s="9">
        <f>COUNTIF($V$3:$V$34,"ADOLESCENCE")</f>
        <v>3</v>
      </c>
      <c r="G209" s="9">
        <f>COUNTIFS($J$3:$J$34,"M",$V$3:$V$34,"ADOLESCENCE")</f>
        <v>3</v>
      </c>
      <c r="H209" s="9">
        <f>COUNTIFS($J$3:$J$34,"F",$V$3:$V$34,"ADOLESCENCE")</f>
        <v>0</v>
      </c>
      <c r="I209" s="116"/>
      <c r="J209" s="9">
        <f>COUNTIFS($O$3:$O$34,"MEDULLOBLASTOMA",$V$3:$V$34,"ADOLESCENCE")</f>
        <v>3</v>
      </c>
      <c r="K209" s="9">
        <f>COUNTIFS($O$3:$O$34,"ATRT",$V$3:$V$34,"ADOLESCENCE")</f>
        <v>0</v>
      </c>
      <c r="L209" s="9">
        <f>COUNTIFS($O$3:$O$34,"GERMINOMA",$V$3:$V$34,"ADOLESCENCE")</f>
        <v>0</v>
      </c>
      <c r="M209" s="9">
        <f>COUNTIFS($O$3:$O$34,"CONTROL",$V$3:$V$34,"ADOLESCENCE")</f>
        <v>0</v>
      </c>
      <c r="N209" s="116"/>
      <c r="O209" s="116"/>
      <c r="P209" s="116"/>
      <c r="Q209" s="116"/>
      <c r="R209" s="116"/>
      <c r="S209" s="141">
        <f t="array" ref="S209">AVERAGE(IF($V$3:$V$34="ADOLESCENCE",$Y$3:$Y$34,""))</f>
        <v>13.447488584474884</v>
      </c>
      <c r="T209" s="141">
        <f t="array" ref="T209">STDEVP(IF($V$3:$V$34="ADOLESCENCE",$Y$3:$Y$34,""))</f>
        <v>1.8481441695995766</v>
      </c>
      <c r="U209" s="141">
        <f t="array" ref="U209">AVERAGE(IF($V$3:$V$34="ADOLESCENCE",$Z$3:$Z$34,""))</f>
        <v>681.47945205479448</v>
      </c>
      <c r="V209" s="141">
        <f t="array" ref="V209">STDEVP(IF($V$3:$V$34="ADOLESCENCE",$Z$3:$Z$34,""))</f>
        <v>88.710920140778768</v>
      </c>
    </row>
    <row r="210" spans="4:22" x14ac:dyDescent="0.2">
      <c r="D210" s="158"/>
      <c r="E210" s="143" t="s">
        <v>171</v>
      </c>
      <c r="F210" s="9">
        <f>COUNTIF($V$3:$V$34,"ADULT")</f>
        <v>0</v>
      </c>
      <c r="G210" s="9">
        <f>COUNTIFS($J$3:$J$34,"M",$V$3:$V$34,"ADULT")</f>
        <v>0</v>
      </c>
      <c r="H210" s="9">
        <f>COUNTIFS($J$3:$J$34,"F",$V$3:$V$34,"ADULT")</f>
        <v>0</v>
      </c>
      <c r="I210" s="116"/>
      <c r="J210" s="9">
        <f>COUNTIFS($O$3:$O$34,"MEDULLOBLASTOMA",$V$3:$V$34,"ADULT")</f>
        <v>0</v>
      </c>
      <c r="K210" s="9">
        <f>COUNTIFS($O$3:$O$34,"ATRT",$V$3:$V$34,"ADULT")</f>
        <v>0</v>
      </c>
      <c r="L210" s="9">
        <f>COUNTIFS($O$3:$O$34,"GERMINOMA",$V$3:$V$34,"ADULT")</f>
        <v>0</v>
      </c>
      <c r="M210" s="9">
        <f>COUNTIFS($O$3:$O$34,"CONTROL",$V$3:$V$34,"ADULT")</f>
        <v>0</v>
      </c>
      <c r="N210" s="116"/>
      <c r="O210" s="116"/>
      <c r="P210" s="116"/>
      <c r="Q210" s="116"/>
      <c r="R210" s="116"/>
      <c r="S210" s="141" t="s">
        <v>71</v>
      </c>
      <c r="T210" s="141" t="s">
        <v>71</v>
      </c>
      <c r="U210" s="141" t="s">
        <v>71</v>
      </c>
      <c r="V210" s="141" t="s">
        <v>71</v>
      </c>
    </row>
    <row r="211" spans="4:22" x14ac:dyDescent="0.2">
      <c r="D211" s="158"/>
    </row>
    <row r="212" spans="4:22" x14ac:dyDescent="0.2">
      <c r="D212" s="158"/>
      <c r="E212" s="5" t="s">
        <v>328</v>
      </c>
      <c r="F212" s="139" t="s">
        <v>326</v>
      </c>
      <c r="G212" s="139" t="s">
        <v>322</v>
      </c>
      <c r="H212" s="5" t="s">
        <v>323</v>
      </c>
      <c r="I212" s="5" t="s">
        <v>329</v>
      </c>
      <c r="J212" s="5" t="s">
        <v>147</v>
      </c>
      <c r="K212" s="5" t="s">
        <v>178</v>
      </c>
      <c r="L212" s="5" t="s">
        <v>181</v>
      </c>
      <c r="M212" s="5" t="s">
        <v>324</v>
      </c>
      <c r="N212" s="5" t="s">
        <v>172</v>
      </c>
      <c r="O212" s="5" t="s">
        <v>175</v>
      </c>
      <c r="P212" s="5" t="s">
        <v>174</v>
      </c>
      <c r="Q212" s="5" t="s">
        <v>327</v>
      </c>
      <c r="R212" s="5" t="s">
        <v>171</v>
      </c>
    </row>
    <row r="213" spans="4:22" x14ac:dyDescent="0.2">
      <c r="D213" s="158"/>
      <c r="E213" s="142" t="s">
        <v>326</v>
      </c>
      <c r="F213" s="151">
        <f>F198/$F$198</f>
        <v>1</v>
      </c>
      <c r="G213" s="121"/>
      <c r="H213" s="121"/>
      <c r="I213" s="121"/>
      <c r="J213" s="121"/>
      <c r="K213" s="121"/>
      <c r="L213" s="121"/>
      <c r="M213" s="121"/>
      <c r="N213" s="116"/>
      <c r="O213" s="116"/>
      <c r="P213" s="116"/>
      <c r="Q213" s="116"/>
      <c r="R213" s="116"/>
    </row>
    <row r="214" spans="4:22" x14ac:dyDescent="0.2">
      <c r="D214" s="158"/>
      <c r="E214" s="142" t="s">
        <v>322</v>
      </c>
      <c r="F214" s="151">
        <f>F199/$F$198</f>
        <v>0.6875</v>
      </c>
      <c r="G214" s="121"/>
      <c r="H214" s="121"/>
      <c r="I214" s="121"/>
      <c r="J214" s="121"/>
      <c r="K214" s="121"/>
      <c r="L214" s="121"/>
      <c r="M214" s="121"/>
      <c r="N214" s="116"/>
      <c r="O214" s="116"/>
      <c r="P214" s="116"/>
      <c r="Q214" s="116"/>
      <c r="R214" s="116"/>
    </row>
    <row r="215" spans="4:22" x14ac:dyDescent="0.2">
      <c r="D215" s="158"/>
      <c r="E215" s="143" t="s">
        <v>323</v>
      </c>
      <c r="F215" s="151">
        <f t="shared" ref="F215:F225" si="59">F200/$F$198</f>
        <v>0.3125</v>
      </c>
      <c r="G215" s="121"/>
      <c r="H215" s="121"/>
      <c r="I215" s="121"/>
      <c r="J215" s="121"/>
      <c r="K215" s="121"/>
      <c r="L215" s="121"/>
      <c r="M215" s="121"/>
      <c r="N215" s="116"/>
      <c r="O215" s="116"/>
      <c r="P215" s="116"/>
      <c r="Q215" s="116"/>
      <c r="R215" s="116"/>
    </row>
    <row r="216" spans="4:22" x14ac:dyDescent="0.2">
      <c r="D216" s="158"/>
      <c r="E216" s="5" t="s">
        <v>329</v>
      </c>
      <c r="F216" s="151">
        <f t="shared" si="59"/>
        <v>0</v>
      </c>
      <c r="G216" s="121"/>
      <c r="H216" s="152"/>
      <c r="I216" s="121"/>
      <c r="J216" s="121"/>
      <c r="K216" s="121"/>
      <c r="L216" s="121"/>
      <c r="M216" s="121"/>
      <c r="N216" s="116"/>
      <c r="O216" s="116"/>
      <c r="P216" s="116"/>
      <c r="Q216" s="116"/>
      <c r="R216" s="116"/>
    </row>
    <row r="217" spans="4:22" x14ac:dyDescent="0.2">
      <c r="D217" s="158"/>
      <c r="E217" s="143" t="s">
        <v>147</v>
      </c>
      <c r="F217" s="151">
        <f t="shared" si="59"/>
        <v>0.46875</v>
      </c>
      <c r="G217" s="151">
        <f>G202/$F$167</f>
        <v>4.9689440993788817E-2</v>
      </c>
      <c r="H217" s="151">
        <f>H202/$F$167</f>
        <v>4.3478260869565216E-2</v>
      </c>
      <c r="I217" s="121"/>
      <c r="J217" s="121"/>
      <c r="K217" s="121"/>
      <c r="L217" s="121"/>
      <c r="M217" s="121"/>
      <c r="N217" s="116"/>
      <c r="O217" s="116"/>
      <c r="P217" s="116"/>
      <c r="Q217" s="116"/>
      <c r="R217" s="116"/>
    </row>
    <row r="218" spans="4:22" x14ac:dyDescent="0.2">
      <c r="D218" s="158"/>
      <c r="E218" s="143" t="s">
        <v>178</v>
      </c>
      <c r="F218" s="151">
        <f t="shared" si="59"/>
        <v>0.125</v>
      </c>
      <c r="G218" s="151">
        <f t="shared" ref="G218:H218" si="60">G203/$F$167</f>
        <v>6.2111801242236021E-3</v>
      </c>
      <c r="H218" s="151">
        <f t="shared" si="60"/>
        <v>1.8633540372670808E-2</v>
      </c>
      <c r="I218" s="121"/>
      <c r="J218" s="121"/>
      <c r="K218" s="121"/>
      <c r="L218" s="121"/>
      <c r="M218" s="121"/>
      <c r="N218" s="116"/>
      <c r="O218" s="116"/>
      <c r="P218" s="116"/>
      <c r="Q218" s="116"/>
      <c r="R218" s="116"/>
    </row>
    <row r="219" spans="4:22" x14ac:dyDescent="0.2">
      <c r="D219" s="158"/>
      <c r="E219" s="143" t="s">
        <v>181</v>
      </c>
      <c r="F219" s="151">
        <f t="shared" si="59"/>
        <v>0</v>
      </c>
      <c r="G219" s="151">
        <f t="shared" ref="G219:H219" si="61">G204/$F$167</f>
        <v>0</v>
      </c>
      <c r="H219" s="151">
        <f t="shared" si="61"/>
        <v>0</v>
      </c>
      <c r="I219" s="121"/>
      <c r="J219" s="121"/>
      <c r="K219" s="121"/>
      <c r="L219" s="121"/>
      <c r="M219" s="121"/>
      <c r="N219" s="116"/>
      <c r="O219" s="116"/>
      <c r="P219" s="116"/>
      <c r="Q219" s="116"/>
      <c r="R219" s="116"/>
    </row>
    <row r="220" spans="4:22" x14ac:dyDescent="0.2">
      <c r="D220" s="158"/>
      <c r="E220" s="143" t="s">
        <v>324</v>
      </c>
      <c r="F220" s="151">
        <f t="shared" si="59"/>
        <v>0.40625</v>
      </c>
      <c r="G220" s="151">
        <f t="shared" ref="G220:H220" si="62">G205/$F$167</f>
        <v>8.0745341614906832E-2</v>
      </c>
      <c r="H220" s="151">
        <f t="shared" si="62"/>
        <v>0</v>
      </c>
      <c r="I220" s="121"/>
      <c r="J220" s="121"/>
      <c r="K220" s="121"/>
      <c r="L220" s="121"/>
      <c r="M220" s="121"/>
      <c r="N220" s="116"/>
      <c r="O220" s="116"/>
      <c r="P220" s="116"/>
      <c r="Q220" s="116"/>
      <c r="R220" s="116"/>
    </row>
    <row r="221" spans="4:22" x14ac:dyDescent="0.2">
      <c r="D221" s="158"/>
      <c r="E221" s="143" t="s">
        <v>172</v>
      </c>
      <c r="F221" s="151">
        <f t="shared" si="59"/>
        <v>0</v>
      </c>
      <c r="G221" s="151">
        <f t="shared" ref="G221:H221" si="63">G206/$F$167</f>
        <v>0</v>
      </c>
      <c r="H221" s="151">
        <f t="shared" si="63"/>
        <v>0</v>
      </c>
      <c r="I221" s="121"/>
      <c r="J221" s="151">
        <f>J206/$F$167</f>
        <v>0</v>
      </c>
      <c r="K221" s="151">
        <f>K206/$F$167</f>
        <v>0</v>
      </c>
      <c r="L221" s="151">
        <f>L206/$F$167</f>
        <v>0</v>
      </c>
      <c r="M221" s="151">
        <f>M206/$F$167</f>
        <v>0</v>
      </c>
      <c r="N221" s="116"/>
      <c r="O221" s="116"/>
      <c r="P221" s="116"/>
      <c r="Q221" s="116"/>
      <c r="R221" s="116"/>
    </row>
    <row r="222" spans="4:22" x14ac:dyDescent="0.2">
      <c r="D222" s="158"/>
      <c r="E222" s="143" t="s">
        <v>175</v>
      </c>
      <c r="F222" s="151">
        <f t="shared" si="59"/>
        <v>9.375E-2</v>
      </c>
      <c r="G222" s="151">
        <f t="shared" ref="G222:H222" si="64">G207/$F$167</f>
        <v>6.2111801242236021E-3</v>
      </c>
      <c r="H222" s="151">
        <f t="shared" si="64"/>
        <v>1.2422360248447204E-2</v>
      </c>
      <c r="I222" s="121"/>
      <c r="J222" s="151">
        <f t="shared" ref="J222:M222" si="65">J207/$F$167</f>
        <v>6.2111801242236021E-3</v>
      </c>
      <c r="K222" s="151">
        <f t="shared" si="65"/>
        <v>1.2422360248447204E-2</v>
      </c>
      <c r="L222" s="151">
        <f t="shared" si="65"/>
        <v>0</v>
      </c>
      <c r="M222" s="151">
        <f t="shared" si="65"/>
        <v>0</v>
      </c>
      <c r="N222" s="116"/>
      <c r="O222" s="116"/>
      <c r="P222" s="116"/>
      <c r="Q222" s="116"/>
      <c r="R222" s="116"/>
    </row>
    <row r="223" spans="4:22" x14ac:dyDescent="0.2">
      <c r="D223" s="158"/>
      <c r="E223" s="143" t="s">
        <v>174</v>
      </c>
      <c r="F223" s="151">
        <f t="shared" si="59"/>
        <v>0.40625</v>
      </c>
      <c r="G223" s="151">
        <f t="shared" ref="G223:H223" si="66">G208/$F$167</f>
        <v>3.1055900621118012E-2</v>
      </c>
      <c r="H223" s="151">
        <f t="shared" si="66"/>
        <v>4.9689440993788817E-2</v>
      </c>
      <c r="I223" s="121"/>
      <c r="J223" s="151">
        <f t="shared" ref="J223:M223" si="67">J208/$F$167</f>
        <v>6.8322981366459631E-2</v>
      </c>
      <c r="K223" s="151">
        <f t="shared" si="67"/>
        <v>1.2422360248447204E-2</v>
      </c>
      <c r="L223" s="151">
        <f t="shared" si="67"/>
        <v>0</v>
      </c>
      <c r="M223" s="151">
        <f t="shared" si="67"/>
        <v>0</v>
      </c>
      <c r="N223" s="116"/>
      <c r="O223" s="116"/>
      <c r="P223" s="116"/>
      <c r="Q223" s="116"/>
      <c r="R223" s="116"/>
    </row>
    <row r="224" spans="4:22" x14ac:dyDescent="0.2">
      <c r="D224" s="158"/>
      <c r="E224" s="143" t="s">
        <v>327</v>
      </c>
      <c r="F224" s="151">
        <f t="shared" si="59"/>
        <v>9.375E-2</v>
      </c>
      <c r="G224" s="151">
        <f t="shared" ref="G224:H224" si="68">G209/$F$167</f>
        <v>1.8633540372670808E-2</v>
      </c>
      <c r="H224" s="151">
        <f t="shared" si="68"/>
        <v>0</v>
      </c>
      <c r="I224" s="121"/>
      <c r="J224" s="151">
        <f t="shared" ref="J224:M224" si="69">J209/$F$167</f>
        <v>1.8633540372670808E-2</v>
      </c>
      <c r="K224" s="151">
        <f t="shared" si="69"/>
        <v>0</v>
      </c>
      <c r="L224" s="151">
        <f t="shared" si="69"/>
        <v>0</v>
      </c>
      <c r="M224" s="151">
        <f t="shared" si="69"/>
        <v>0</v>
      </c>
      <c r="N224" s="116"/>
      <c r="O224" s="116"/>
      <c r="P224" s="116"/>
      <c r="Q224" s="116"/>
      <c r="R224" s="116"/>
    </row>
    <row r="225" spans="4:113" x14ac:dyDescent="0.2">
      <c r="D225" s="158"/>
      <c r="E225" s="143" t="s">
        <v>171</v>
      </c>
      <c r="F225" s="151">
        <f t="shared" si="59"/>
        <v>0</v>
      </c>
      <c r="G225" s="151">
        <f t="shared" ref="G225:H225" si="70">G210/$F$167</f>
        <v>0</v>
      </c>
      <c r="H225" s="151">
        <f t="shared" si="70"/>
        <v>0</v>
      </c>
      <c r="I225" s="121"/>
      <c r="J225" s="151">
        <f t="shared" ref="J225:M225" si="71">J210/$F$167</f>
        <v>0</v>
      </c>
      <c r="K225" s="151">
        <f t="shared" si="71"/>
        <v>0</v>
      </c>
      <c r="L225" s="151">
        <f t="shared" si="71"/>
        <v>0</v>
      </c>
      <c r="M225" s="151">
        <f t="shared" si="71"/>
        <v>0</v>
      </c>
      <c r="N225" s="116"/>
      <c r="O225" s="116"/>
      <c r="P225" s="116"/>
      <c r="Q225" s="116"/>
      <c r="R225" s="116"/>
    </row>
    <row r="226" spans="4:113" s="3" customFormat="1" x14ac:dyDescent="0.2">
      <c r="D226" s="157"/>
      <c r="E226" s="154"/>
      <c r="F226" s="151"/>
      <c r="G226" s="151"/>
      <c r="H226" s="151"/>
      <c r="I226" s="151"/>
      <c r="J226" s="151"/>
      <c r="K226" s="151"/>
      <c r="L226" s="151"/>
      <c r="M226" s="151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146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</row>
    <row r="227" spans="4:113" s="3" customFormat="1" ht="15.75" x14ac:dyDescent="0.2">
      <c r="D227" s="157"/>
      <c r="E227" s="154"/>
      <c r="F227" s="151"/>
      <c r="G227" s="151"/>
      <c r="H227" s="151"/>
      <c r="I227" s="151"/>
      <c r="J227" s="151"/>
      <c r="K227" s="151"/>
      <c r="L227" s="151"/>
      <c r="M227" s="151"/>
      <c r="N227" s="2"/>
      <c r="O227" s="155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146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</row>
    <row r="228" spans="4:113" ht="15.75" x14ac:dyDescent="0.2">
      <c r="D228" s="157"/>
      <c r="E228" s="155" t="s">
        <v>321</v>
      </c>
      <c r="F228" s="139" t="s">
        <v>326</v>
      </c>
      <c r="G228" s="139" t="s">
        <v>322</v>
      </c>
      <c r="H228" s="5" t="s">
        <v>323</v>
      </c>
      <c r="I228" s="5" t="s">
        <v>329</v>
      </c>
      <c r="J228" s="5" t="s">
        <v>147</v>
      </c>
      <c r="K228" s="5" t="s">
        <v>178</v>
      </c>
      <c r="L228" s="5" t="s">
        <v>181</v>
      </c>
      <c r="M228" s="5" t="s">
        <v>324</v>
      </c>
      <c r="N228" s="5" t="s">
        <v>371</v>
      </c>
      <c r="O228" s="155"/>
      <c r="P228" s="139" t="s">
        <v>326</v>
      </c>
      <c r="Q228" s="139" t="s">
        <v>322</v>
      </c>
      <c r="R228" s="5" t="s">
        <v>323</v>
      </c>
      <c r="S228" s="5" t="s">
        <v>329</v>
      </c>
      <c r="T228" s="5" t="s">
        <v>147</v>
      </c>
      <c r="U228" s="5" t="s">
        <v>178</v>
      </c>
      <c r="V228" s="5"/>
      <c r="W228" s="5"/>
    </row>
    <row r="229" spans="4:113" x14ac:dyDescent="0.2">
      <c r="D229" s="157"/>
      <c r="E229" s="153" t="s">
        <v>335</v>
      </c>
      <c r="F229" s="9">
        <f>COUNTIF($BU$3:$BU$34,"POSITIVE")</f>
        <v>6</v>
      </c>
      <c r="G229" s="9">
        <f>COUNTIFS($BU$3:$BU$162,"POSITIVE",$J$3:$J$162,"m")</f>
        <v>3</v>
      </c>
      <c r="H229" s="9">
        <f>COUNTIFS($BU$3:$BU$162,"POSITIVE",$J$3:$J$162,"f")</f>
        <v>3</v>
      </c>
      <c r="J229" s="9">
        <f>COUNTIFS($BU$3:$BU$162,"POSITIVE",$O$3:$O$162,"medulloblastoma")</f>
        <v>3</v>
      </c>
      <c r="K229" s="9">
        <f>COUNTIFS($BU$3:$BU$162,"POSITIVE",$O$3:$O$162,"atrt")</f>
        <v>3</v>
      </c>
      <c r="M229" s="9">
        <f>COUNTIFS($BU$3:$BU$162,"control",$O$3:$O$162,"control")</f>
        <v>4</v>
      </c>
      <c r="N229" s="9">
        <f>F229+F230</f>
        <v>19</v>
      </c>
      <c r="O229" s="153"/>
      <c r="P229" s="156">
        <f t="shared" ref="P229:R230" si="72">IF(ISERROR(F229/$N$229),"NaN",F229/$N$229)</f>
        <v>0.31578947368421051</v>
      </c>
      <c r="Q229" s="156">
        <f t="shared" si="72"/>
        <v>0.15789473684210525</v>
      </c>
      <c r="R229" s="156">
        <f t="shared" si="72"/>
        <v>0.15789473684210525</v>
      </c>
      <c r="S229" s="156"/>
      <c r="T229" s="156">
        <f>IF(ISERROR(J229/$N$229),"NaN",J229/$N$229)</f>
        <v>0.15789473684210525</v>
      </c>
      <c r="U229" s="156">
        <f>IF(ISERROR(K229/$N$229),"NaN",K229/$N$229)</f>
        <v>0.15789473684210525</v>
      </c>
    </row>
    <row r="230" spans="4:113" x14ac:dyDescent="0.2">
      <c r="D230" s="157"/>
      <c r="E230" s="153" t="s">
        <v>336</v>
      </c>
      <c r="F230" s="9">
        <f>COUNTIF($BU$3:$BU$34,"negative")</f>
        <v>13</v>
      </c>
      <c r="G230" s="9">
        <f>COUNTIFS($BU$3:$BU$162,"negative",$J$3:$J$162,"m")</f>
        <v>6</v>
      </c>
      <c r="H230" s="9">
        <f>COUNTIFS($BU$3:$BU$162,"negative",$J$3:$J$162,"f")</f>
        <v>7</v>
      </c>
      <c r="J230" s="9">
        <f>COUNTIFS($BU$3:$BU$162,"negative",$O$3:$O$162,"medulloblastoma")</f>
        <v>12</v>
      </c>
      <c r="K230" s="9">
        <f>COUNTIFS($BU$3:$BU$162,"negative",$O$3:$O$162,"atrt")</f>
        <v>1</v>
      </c>
      <c r="M230" s="9">
        <f>COUNTIFS($BU$3:$BU$162,"control",$O$3:$O$162,"control")</f>
        <v>4</v>
      </c>
      <c r="O230" s="153"/>
      <c r="P230" s="156">
        <f t="shared" si="72"/>
        <v>0.68421052631578949</v>
      </c>
      <c r="Q230" s="156">
        <f t="shared" si="72"/>
        <v>0.31578947368421051</v>
      </c>
      <c r="R230" s="156">
        <f t="shared" si="72"/>
        <v>0.36842105263157893</v>
      </c>
      <c r="S230" s="156"/>
      <c r="T230" s="156">
        <f>IF(ISERROR(J230/$N$229),"NaN",J230/$N$229)</f>
        <v>0.63157894736842102</v>
      </c>
      <c r="U230" s="156">
        <f>IF(ISERROR(K230/$N$229),"NaN",K230/$N$229)</f>
        <v>5.2631578947368418E-2</v>
      </c>
    </row>
    <row r="231" spans="4:113" x14ac:dyDescent="0.2">
      <c r="D231" s="157"/>
      <c r="E231" s="153" t="s">
        <v>337</v>
      </c>
      <c r="F231" s="9">
        <f>COUNTIF($BW$3:$BW$34,"POSITIVE")</f>
        <v>13</v>
      </c>
      <c r="G231" s="9">
        <f>COUNTIFS($BW$3:$BW$162,"POSITIVE",$J$3:$J$162,"m")</f>
        <v>8</v>
      </c>
      <c r="H231" s="9">
        <f>COUNTIFS($BW$3:$BW$162,"POSITIVE",$J$3:$J$162,"f")</f>
        <v>5</v>
      </c>
      <c r="J231" s="9">
        <f>COUNTIFS($BW$3:$BW$162,"POSITIVE",$O$3:$O$162,"medulloblastoma")</f>
        <v>12</v>
      </c>
      <c r="K231" s="9">
        <f>COUNTIFS($BW$3:$BW$162,"POSITIVE",$O$3:$O$162,"atrt")</f>
        <v>1</v>
      </c>
      <c r="M231" s="9">
        <f>COUNTIFS($BW$3:$BW$162,"control",$O$3:$O$162,"control")</f>
        <v>4</v>
      </c>
      <c r="N231" s="9">
        <f>F231+F232</f>
        <v>16</v>
      </c>
      <c r="O231" s="153"/>
      <c r="P231" s="156">
        <f t="shared" ref="P231:R232" si="73">IF(ISERROR(F231/$N$231),"NaN",F231/$N$231)</f>
        <v>0.8125</v>
      </c>
      <c r="Q231" s="156">
        <f t="shared" si="73"/>
        <v>0.5</v>
      </c>
      <c r="R231" s="156">
        <f t="shared" si="73"/>
        <v>0.3125</v>
      </c>
      <c r="S231" s="156"/>
      <c r="T231" s="156">
        <f>IF(ISERROR(J231/$N$231),"NaN",J231/$N$231)</f>
        <v>0.75</v>
      </c>
      <c r="U231" s="156">
        <f>IF(ISERROR(K231/$N$231),"NaN",K231/$N$231)</f>
        <v>6.25E-2</v>
      </c>
    </row>
    <row r="232" spans="4:113" x14ac:dyDescent="0.2">
      <c r="D232" s="157"/>
      <c r="E232" s="153" t="s">
        <v>338</v>
      </c>
      <c r="F232" s="9">
        <f>COUNTIF($BW$3:$BW$34,"negative")</f>
        <v>3</v>
      </c>
      <c r="G232" s="9">
        <f>COUNTIFS($BW$3:$BW$162,"negative",$J$3:$J$162,"m")</f>
        <v>0</v>
      </c>
      <c r="H232" s="9">
        <f>COUNTIFS($BW$3:$BW$162,"negative",$J$3:$J$162,"f")</f>
        <v>3</v>
      </c>
      <c r="J232" s="9">
        <f>COUNTIFS($BW$3:$BW$162,"negative",$O$3:$O$162,"medulloblastoma")</f>
        <v>0</v>
      </c>
      <c r="K232" s="9">
        <f>COUNTIFS($BW$3:$BW$162,"negative",$O$3:$O$162,"atrt")</f>
        <v>3</v>
      </c>
      <c r="M232" s="9">
        <f>COUNTIFS($BW$3:$BW$162,"control",$O$3:$O$162,"control")</f>
        <v>4</v>
      </c>
      <c r="O232" s="153"/>
      <c r="P232" s="156">
        <f t="shared" si="73"/>
        <v>0.1875</v>
      </c>
      <c r="Q232" s="156">
        <f t="shared" si="73"/>
        <v>0</v>
      </c>
      <c r="R232" s="156">
        <f t="shared" si="73"/>
        <v>0.1875</v>
      </c>
      <c r="S232" s="156"/>
      <c r="T232" s="156">
        <f>IF(ISERROR(J232/$N$231),"NaN",J232/$N$231)</f>
        <v>0</v>
      </c>
      <c r="U232" s="156">
        <f>IF(ISERROR(K232/$N$231),"NaN",K232/$N$231)</f>
        <v>0.1875</v>
      </c>
    </row>
    <row r="233" spans="4:113" x14ac:dyDescent="0.2">
      <c r="D233" s="157"/>
      <c r="E233" s="153" t="s">
        <v>339</v>
      </c>
      <c r="F233" s="9">
        <f>COUNTIF($BY$3:$BY$34,"POSITIVE")</f>
        <v>7</v>
      </c>
      <c r="G233" s="9">
        <f>COUNTIFS($BY$3:$BY$162,"POSITIVE",$J$3:$J$162,"m")</f>
        <v>3</v>
      </c>
      <c r="H233" s="9">
        <f>COUNTIFS($BY$3:$BY$162,"POSITIVE",$J$3:$J$162,"f")</f>
        <v>4</v>
      </c>
      <c r="J233" s="9">
        <f>COUNTIFS($BY$3:$BY$162,"POSITIVE",$O$3:$O$162,"medulloblastoma")</f>
        <v>4</v>
      </c>
      <c r="K233" s="9">
        <f>COUNTIFS($BY$3:$BY$162,"POSITIVE",$O$3:$O$162,"atrt")</f>
        <v>3</v>
      </c>
      <c r="M233" s="9">
        <f>COUNTIFS($BY$3:$BY$162,"control",$O$3:$O$162,"control")</f>
        <v>4</v>
      </c>
      <c r="N233" s="9">
        <f>F233+F234</f>
        <v>18</v>
      </c>
      <c r="O233" s="153"/>
      <c r="P233" s="156">
        <f t="shared" ref="P233:R234" si="74">IF(ISERROR(F233/$N$233),"NaN",F233/$N$233)</f>
        <v>0.3888888888888889</v>
      </c>
      <c r="Q233" s="156">
        <f t="shared" si="74"/>
        <v>0.16666666666666666</v>
      </c>
      <c r="R233" s="156">
        <f t="shared" si="74"/>
        <v>0.22222222222222221</v>
      </c>
      <c r="S233" s="156"/>
      <c r="T233" s="156">
        <f>IF(ISERROR(J233/$N$233),"NaN",J233/$N$233)</f>
        <v>0.22222222222222221</v>
      </c>
      <c r="U233" s="156">
        <f>IF(ISERROR(K233/$N$233),"NaN",K233/$N$233)</f>
        <v>0.16666666666666666</v>
      </c>
    </row>
    <row r="234" spans="4:113" x14ac:dyDescent="0.2">
      <c r="D234" s="157"/>
      <c r="E234" s="153" t="s">
        <v>340</v>
      </c>
      <c r="F234" s="9">
        <f>COUNTIF($BY$3:$BY$34,"negative")</f>
        <v>11</v>
      </c>
      <c r="G234" s="9">
        <f>COUNTIFS($BY$3:$BY$162,"negative",$J$3:$J$162,"m")</f>
        <v>6</v>
      </c>
      <c r="H234" s="9">
        <f>COUNTIFS($BY$3:$BY$162,"negative",$J$3:$J$162,"f")</f>
        <v>5</v>
      </c>
      <c r="J234" s="9">
        <f>COUNTIFS($BY$3:$BY$162,"negative",$O$3:$O$162,"medulloblastoma")</f>
        <v>10</v>
      </c>
      <c r="K234" s="9">
        <f>COUNTIFS($BY$3:$BY$162,"negative",$O$3:$O$162,"atrt")</f>
        <v>1</v>
      </c>
      <c r="M234" s="9">
        <f>COUNTIFS($BY$3:$BY$162,"control",$O$3:$O$162,"control")</f>
        <v>4</v>
      </c>
      <c r="O234" s="153"/>
      <c r="P234" s="156">
        <f t="shared" si="74"/>
        <v>0.61111111111111116</v>
      </c>
      <c r="Q234" s="156">
        <f t="shared" si="74"/>
        <v>0.33333333333333331</v>
      </c>
      <c r="R234" s="156">
        <f t="shared" si="74"/>
        <v>0.27777777777777779</v>
      </c>
      <c r="S234" s="156"/>
      <c r="T234" s="156">
        <f>IF(ISERROR(J234/$N$233),"NaN",J234/$N$233)</f>
        <v>0.55555555555555558</v>
      </c>
      <c r="U234" s="156">
        <f>IF(ISERROR(K234/$N$233),"NaN",K234/$N$233)</f>
        <v>5.5555555555555552E-2</v>
      </c>
    </row>
    <row r="235" spans="4:113" x14ac:dyDescent="0.2">
      <c r="D235" s="157"/>
      <c r="E235" s="153" t="s">
        <v>341</v>
      </c>
      <c r="F235" s="9">
        <f>COUNTIF($CA$3:$CA$34,"POSITIVE")</f>
        <v>17</v>
      </c>
      <c r="G235" s="9">
        <f>COUNTIFS($CA$3:$CA$162,"POSITIVE",$J$3:$J$162,"m")</f>
        <v>7</v>
      </c>
      <c r="H235" s="9">
        <f>COUNTIFS($CA$3:$CA$162,"POSITIVE",$J$3:$J$162,"f")</f>
        <v>10</v>
      </c>
      <c r="J235" s="9">
        <f>COUNTIFS($CA$3:$CA$162,"POSITIVE",$O$3:$O$162,"medulloblastoma")</f>
        <v>14</v>
      </c>
      <c r="K235" s="9">
        <f>COUNTIFS($CA$3:$CA$162,"POSITIVE",$O$3:$O$162,"atrt")</f>
        <v>3</v>
      </c>
      <c r="M235" s="9">
        <f>COUNTIFS($CA$3:$CA$162,"control",$O$3:$O$162,"control")</f>
        <v>13</v>
      </c>
      <c r="N235" s="9">
        <f>F235+F236</f>
        <v>19</v>
      </c>
      <c r="O235" s="153"/>
      <c r="P235" s="156">
        <f t="shared" ref="P235:R236" si="75">IF(ISERROR(F235/$N$235),"NaN",F235/$N$235)</f>
        <v>0.89473684210526316</v>
      </c>
      <c r="Q235" s="156">
        <f t="shared" si="75"/>
        <v>0.36842105263157893</v>
      </c>
      <c r="R235" s="156">
        <f t="shared" si="75"/>
        <v>0.52631578947368418</v>
      </c>
      <c r="S235" s="156"/>
      <c r="T235" s="156">
        <f>IF(ISERROR(J235/$N$235),"NaN",J235/$N$235)</f>
        <v>0.73684210526315785</v>
      </c>
      <c r="U235" s="156">
        <f>IF(ISERROR(K235/$N$235),"NaN",K235/$N$235)</f>
        <v>0.15789473684210525</v>
      </c>
    </row>
    <row r="236" spans="4:113" x14ac:dyDescent="0.2">
      <c r="D236" s="157"/>
      <c r="E236" s="153" t="s">
        <v>342</v>
      </c>
      <c r="F236" s="9">
        <f>COUNTIF($CA$3:$CA$34,"negative")</f>
        <v>2</v>
      </c>
      <c r="G236" s="9">
        <f>COUNTIFS($CA$3:$CA$162,"negative",$J$3:$J$162,"m")</f>
        <v>2</v>
      </c>
      <c r="H236" s="9">
        <f>COUNTIFS($CA$3:$CA$162,"negative",$J$3:$J$162,"f")</f>
        <v>0</v>
      </c>
      <c r="J236" s="9">
        <f>COUNTIFS($CA$3:$CA$162,"negative",$O$3:$O$162,"medulloblastoma")</f>
        <v>1</v>
      </c>
      <c r="K236" s="9">
        <f>COUNTIFS($CA$3:$CA$162,"negative",$O$3:$O$162,"atrt")</f>
        <v>1</v>
      </c>
      <c r="M236" s="9">
        <f>COUNTIFS($CA$3:$CA$162,"control",$O$3:$O$162,"control")</f>
        <v>13</v>
      </c>
      <c r="O236" s="153"/>
      <c r="P236" s="156">
        <f t="shared" si="75"/>
        <v>0.10526315789473684</v>
      </c>
      <c r="Q236" s="156">
        <f t="shared" si="75"/>
        <v>0.10526315789473684</v>
      </c>
      <c r="R236" s="156">
        <f t="shared" si="75"/>
        <v>0</v>
      </c>
      <c r="S236" s="156"/>
      <c r="T236" s="156">
        <f>IF(ISERROR(J236/$N$235),"NaN",J236/$N$235)</f>
        <v>5.2631578947368418E-2</v>
      </c>
      <c r="U236" s="156">
        <f>IF(ISERROR(K236/$N$235),"NaN",K236/$N$235)</f>
        <v>5.2631578947368418E-2</v>
      </c>
    </row>
    <row r="237" spans="4:113" x14ac:dyDescent="0.2">
      <c r="D237" s="157"/>
      <c r="E237" s="153" t="s">
        <v>343</v>
      </c>
      <c r="F237" s="9">
        <f>COUNTIF($CC$3:$CC$34,"POSITIVE")</f>
        <v>11</v>
      </c>
      <c r="G237" s="9">
        <f>COUNTIFS($CC$3:$CC$162,"POSITIVE",$J$3:$J$162,"m")</f>
        <v>6</v>
      </c>
      <c r="H237" s="9">
        <f>COUNTIFS($CC$3:$CC$162,"POSITIVE",$J$3:$J$162,"f")</f>
        <v>5</v>
      </c>
      <c r="J237" s="9">
        <f>COUNTIFS($CC$3:$CC$162,"POSITIVE",$O$3:$O$162,"medulloblastoma")</f>
        <v>8</v>
      </c>
      <c r="K237" s="9">
        <f>COUNTIFS($CC$3:$CC$162,"POSITIVE",$O$3:$O$162,"atrt")</f>
        <v>3</v>
      </c>
      <c r="M237" s="9">
        <f>COUNTIFS($CC$3:$CC$162,"control",$O$3:$O$162,"control")</f>
        <v>7</v>
      </c>
      <c r="N237" s="9">
        <f>F237+F238</f>
        <v>17</v>
      </c>
      <c r="O237" s="153"/>
      <c r="P237" s="156">
        <f t="shared" ref="P237:R238" si="76">IF(ISERROR(F237/$N$237),"NaN",F237/$N$237)</f>
        <v>0.6470588235294118</v>
      </c>
      <c r="Q237" s="156">
        <f t="shared" si="76"/>
        <v>0.35294117647058826</v>
      </c>
      <c r="R237" s="156">
        <f t="shared" si="76"/>
        <v>0.29411764705882354</v>
      </c>
      <c r="S237" s="156"/>
      <c r="T237" s="156">
        <f>IF(ISERROR(J237/$N$237),"NaN",J237/$N$237)</f>
        <v>0.47058823529411764</v>
      </c>
      <c r="U237" s="156">
        <f>IF(ISERROR(K237/$N$237),"NaN",K237/$N$237)</f>
        <v>0.17647058823529413</v>
      </c>
    </row>
    <row r="238" spans="4:113" x14ac:dyDescent="0.2">
      <c r="D238" s="157"/>
      <c r="E238" s="153" t="s">
        <v>344</v>
      </c>
      <c r="F238" s="9">
        <f>COUNTIF($CC$3:$CC$34,"negative")</f>
        <v>6</v>
      </c>
      <c r="G238" s="9">
        <f>COUNTIFS($CC$3:$CC$162,"negative",$J$3:$J$162,"m")</f>
        <v>3</v>
      </c>
      <c r="H238" s="9">
        <f>COUNTIFS($CC$3:$CC$162,"negative",$J$3:$J$162,"f")</f>
        <v>3</v>
      </c>
      <c r="J238" s="9">
        <f>COUNTIFS($CC$3:$CC$162,"negative",$O$3:$O$162,"medulloblastoma")</f>
        <v>6</v>
      </c>
      <c r="K238" s="9">
        <f>COUNTIFS($CC$3:$CC$162,"negative",$O$3:$O$162,"atrt")</f>
        <v>0</v>
      </c>
      <c r="M238" s="9">
        <f>COUNTIFS($CC$3:$CC$162,"control",$O$3:$O$162,"control")</f>
        <v>7</v>
      </c>
      <c r="O238" s="153"/>
      <c r="P238" s="156">
        <f t="shared" si="76"/>
        <v>0.35294117647058826</v>
      </c>
      <c r="Q238" s="156">
        <f t="shared" si="76"/>
        <v>0.17647058823529413</v>
      </c>
      <c r="R238" s="156">
        <f t="shared" si="76"/>
        <v>0.17647058823529413</v>
      </c>
      <c r="S238" s="156"/>
      <c r="T238" s="156">
        <f>IF(ISERROR(J238/$N$237),"NaN",J238/$N$237)</f>
        <v>0.35294117647058826</v>
      </c>
      <c r="U238" s="156">
        <f>IF(ISERROR(K238/$N$237),"NaN",K238/$N$237)</f>
        <v>0</v>
      </c>
    </row>
    <row r="239" spans="4:113" x14ac:dyDescent="0.2">
      <c r="D239" s="157"/>
      <c r="E239" s="153" t="s">
        <v>345</v>
      </c>
      <c r="F239" s="9">
        <f>COUNTIF($CE$3:$CE$34,"POSITIVE")</f>
        <v>6</v>
      </c>
      <c r="G239" s="9">
        <f>COUNTIFS($CE$3:$CE$162,"POSITIVE",$J$3:$J$162,"m")</f>
        <v>4</v>
      </c>
      <c r="H239" s="9">
        <f>COUNTIFS($CE$3:$CE$162,"POSITIVE",$J$3:$J$162,"f")</f>
        <v>2</v>
      </c>
      <c r="J239" s="9">
        <f>COUNTIFS($CE$3:$CE$162,"POSITIVE",$O$3:$O$162,"medulloblastoma")</f>
        <v>6</v>
      </c>
      <c r="K239" s="9">
        <f>COUNTIFS($CE$3:$CE$162,"POSITIVE",$O$3:$O$162,"atrt")</f>
        <v>0</v>
      </c>
      <c r="M239" s="9">
        <f>COUNTIFS($CE$3:$CE$162,"control",$O$3:$O$162,"control")</f>
        <v>4</v>
      </c>
      <c r="N239" s="9">
        <f>F239+F240</f>
        <v>9</v>
      </c>
      <c r="O239" s="153"/>
      <c r="P239" s="156">
        <f t="shared" ref="P239:R240" si="77">IF(ISERROR(F239/$N$239),"NaN",F239/$N$239)</f>
        <v>0.66666666666666663</v>
      </c>
      <c r="Q239" s="156">
        <f t="shared" si="77"/>
        <v>0.44444444444444442</v>
      </c>
      <c r="R239" s="156">
        <f t="shared" si="77"/>
        <v>0.22222222222222221</v>
      </c>
      <c r="S239" s="156"/>
      <c r="T239" s="156">
        <f>IF(ISERROR(J239/$N$239),"NaN",J239/$N$239)</f>
        <v>0.66666666666666663</v>
      </c>
      <c r="U239" s="156">
        <f>IF(ISERROR(K239/$N$239),"NaN",K239/$N$239)</f>
        <v>0</v>
      </c>
    </row>
    <row r="240" spans="4:113" x14ac:dyDescent="0.2">
      <c r="D240" s="157"/>
      <c r="E240" s="153" t="s">
        <v>346</v>
      </c>
      <c r="F240" s="9">
        <f>COUNTIF($CE$3:$CE$34,"negative")</f>
        <v>3</v>
      </c>
      <c r="G240" s="9">
        <f>COUNTIFS($CE$3:$CE$162,"negative",$J$3:$J$162,"m")</f>
        <v>0</v>
      </c>
      <c r="H240" s="9">
        <f>COUNTIFS($CE$3:$CE$162,"negative",$J$3:$J$162,"f")</f>
        <v>3</v>
      </c>
      <c r="J240" s="9">
        <f>COUNTIFS($CE$3:$CE$162,"negative",$O$3:$O$162,"medulloblastoma")</f>
        <v>2</v>
      </c>
      <c r="K240" s="9">
        <f>COUNTIFS($CE$3:$CE$162,"negative",$O$3:$O$162,"atrt")</f>
        <v>1</v>
      </c>
      <c r="M240" s="9">
        <f>COUNTIFS($CE$3:$CE$162,"control",$O$3:$O$162,"control")</f>
        <v>4</v>
      </c>
      <c r="O240" s="153"/>
      <c r="P240" s="156">
        <f t="shared" si="77"/>
        <v>0.33333333333333331</v>
      </c>
      <c r="Q240" s="156">
        <f t="shared" si="77"/>
        <v>0</v>
      </c>
      <c r="R240" s="156">
        <f t="shared" si="77"/>
        <v>0.33333333333333331</v>
      </c>
      <c r="S240" s="156"/>
      <c r="T240" s="156">
        <f>IF(ISERROR(J240/$N$239),"NaN",J240/$N$239)</f>
        <v>0.22222222222222221</v>
      </c>
      <c r="U240" s="156">
        <f>IF(ISERROR(K240/$N$239),"NaN",K240/$N$239)</f>
        <v>0.1111111111111111</v>
      </c>
    </row>
    <row r="241" spans="4:21" x14ac:dyDescent="0.2">
      <c r="D241" s="157"/>
      <c r="E241" s="153" t="s">
        <v>347</v>
      </c>
      <c r="F241" s="9">
        <f>COUNTIF($CG$3:$CG$34,"POSITIVE")</f>
        <v>5</v>
      </c>
      <c r="G241" s="9">
        <f>COUNTIFS($CG$3:$CG$162,"POSITIVE",$J$3:$J$162,"m")</f>
        <v>2</v>
      </c>
      <c r="H241" s="9">
        <f>COUNTIFS($CG$3:$CG$162,"POSITIVE",$J$3:$J$162,"f")</f>
        <v>3</v>
      </c>
      <c r="J241" s="9">
        <f>COUNTIFS($CG$3:$CG$162,"POSITIVE",$O$3:$O$162,"medulloblastoma")</f>
        <v>5</v>
      </c>
      <c r="K241" s="9">
        <f>COUNTIFS($CG$3:$CG$162,"POSITIVE",$O$3:$O$162,"atrt")</f>
        <v>0</v>
      </c>
      <c r="M241" s="9">
        <f>COUNTIFS($CG$3:$CG$162,"control",$O$3:$O$162,"control")</f>
        <v>4</v>
      </c>
      <c r="N241" s="9">
        <f>F241+F242</f>
        <v>8</v>
      </c>
      <c r="O241" s="153"/>
      <c r="P241" s="156">
        <f t="shared" ref="P241:R242" si="78">IF(ISERROR(F241/$N$241),"NaN",F241/$N$241)</f>
        <v>0.625</v>
      </c>
      <c r="Q241" s="156">
        <f t="shared" si="78"/>
        <v>0.25</v>
      </c>
      <c r="R241" s="156">
        <f t="shared" si="78"/>
        <v>0.375</v>
      </c>
      <c r="S241" s="156"/>
      <c r="T241" s="156">
        <f>IF(ISERROR(J241/$N$241),"NaN",J241/$N$241)</f>
        <v>0.625</v>
      </c>
      <c r="U241" s="156">
        <f>IF(ISERROR(K241/$N$241),"NaN",K241/$N$241)</f>
        <v>0</v>
      </c>
    </row>
    <row r="242" spans="4:21" x14ac:dyDescent="0.2">
      <c r="D242" s="157"/>
      <c r="E242" s="153" t="s">
        <v>348</v>
      </c>
      <c r="F242" s="9">
        <f>COUNTIF($CG$3:$CG$34,"negative")</f>
        <v>3</v>
      </c>
      <c r="G242" s="9">
        <f>COUNTIFS($CG$3:$CG$162,"negative",$J$3:$J$162,"m")</f>
        <v>2</v>
      </c>
      <c r="H242" s="9">
        <f>COUNTIFS($CG$3:$CG$162,"negative",$J$3:$J$162,"f")</f>
        <v>1</v>
      </c>
      <c r="J242" s="9">
        <f>COUNTIFS($CG$3:$CG$162,"negative",$O$3:$O$162,"medulloblastoma")</f>
        <v>2</v>
      </c>
      <c r="K242" s="9">
        <f>COUNTIFS($CG$3:$CG$162,"negative",$O$3:$O$162,"atrt")</f>
        <v>1</v>
      </c>
      <c r="M242" s="9">
        <f>COUNTIFS($CG$3:$CG$162,"control",$O$3:$O$162,"control")</f>
        <v>4</v>
      </c>
      <c r="O242" s="153"/>
      <c r="P242" s="156">
        <f t="shared" si="78"/>
        <v>0.375</v>
      </c>
      <c r="Q242" s="156">
        <f t="shared" si="78"/>
        <v>0.25</v>
      </c>
      <c r="R242" s="156">
        <f t="shared" si="78"/>
        <v>0.125</v>
      </c>
      <c r="S242" s="156"/>
      <c r="T242" s="156">
        <f>IF(ISERROR(J242/$N$241),"NaN",J242/$N$241)</f>
        <v>0.25</v>
      </c>
      <c r="U242" s="156">
        <f>IF(ISERROR(K242/$N$241),"NaN",K242/$N$241)</f>
        <v>0.125</v>
      </c>
    </row>
    <row r="243" spans="4:21" x14ac:dyDescent="0.2">
      <c r="D243" s="157"/>
      <c r="E243" s="153" t="s">
        <v>349</v>
      </c>
      <c r="F243" s="9">
        <f>COUNTIF($CI$3:$CI$34,"POSITIVE")</f>
        <v>4</v>
      </c>
      <c r="G243" s="9">
        <f>COUNTIFS($CI$3:$CI$162,"POSITIVE",$J$3:$J$162,"m")</f>
        <v>3</v>
      </c>
      <c r="H243" s="9">
        <f>COUNTIFS($CI$3:$CI$162,"POSITIVE",$J$3:$J$162,"f")</f>
        <v>1</v>
      </c>
      <c r="J243" s="9">
        <f>COUNTIFS($CI$3:$CI$162,"POSITIVE",$O$3:$O$162,"medulloblastoma")</f>
        <v>3</v>
      </c>
      <c r="K243" s="9">
        <f>COUNTIFS($CI$3:$CI$162,"POSITIVE",$O$3:$O$162,"atrt")</f>
        <v>1</v>
      </c>
      <c r="M243" s="9">
        <f>COUNTIFS($CI$3:$CI$162,"control",$O$3:$O$162,"control")</f>
        <v>4</v>
      </c>
      <c r="N243" s="9">
        <f>F243+F244</f>
        <v>5</v>
      </c>
      <c r="O243" s="153"/>
      <c r="P243" s="156">
        <f t="shared" ref="P243:R244" si="79">IF(ISERROR(F243/$N$243),"NaN",F243/$N$243)</f>
        <v>0.8</v>
      </c>
      <c r="Q243" s="156">
        <f t="shared" si="79"/>
        <v>0.6</v>
      </c>
      <c r="R243" s="156">
        <f t="shared" si="79"/>
        <v>0.2</v>
      </c>
      <c r="S243" s="156"/>
      <c r="T243" s="156">
        <f>IF(ISERROR(J243/$N$243),"NaN",J243/$N$243)</f>
        <v>0.6</v>
      </c>
      <c r="U243" s="156">
        <f>IF(ISERROR(K243/$N$243),"NaN",K243/$N$243)</f>
        <v>0.2</v>
      </c>
    </row>
    <row r="244" spans="4:21" x14ac:dyDescent="0.2">
      <c r="D244" s="157"/>
      <c r="E244" s="153" t="s">
        <v>350</v>
      </c>
      <c r="F244" s="9">
        <f>COUNTIF($CI$3:$CI$34,"negative")</f>
        <v>1</v>
      </c>
      <c r="G244" s="9">
        <f>COUNTIFS($CI$3:$CI$162,"negative",$J$3:$J$162,"m")</f>
        <v>1</v>
      </c>
      <c r="H244" s="9">
        <f>COUNTIFS($CI$3:$CI$162,"negative",$J$3:$J$162,"f")</f>
        <v>0</v>
      </c>
      <c r="J244" s="9">
        <f>COUNTIFS($CI$3:$CI$162,"negative",$O$3:$O$162,"medulloblastoma")</f>
        <v>1</v>
      </c>
      <c r="K244" s="9">
        <f>COUNTIFS($CI$3:$CI$162,"negative",$O$3:$O$162,"atrt")</f>
        <v>0</v>
      </c>
      <c r="M244" s="9">
        <f>COUNTIFS($CI$3:$CI$162,"control",$O$3:$O$162,"control")</f>
        <v>4</v>
      </c>
      <c r="O244" s="153"/>
      <c r="P244" s="156">
        <f t="shared" si="79"/>
        <v>0.2</v>
      </c>
      <c r="Q244" s="156">
        <f t="shared" si="79"/>
        <v>0.2</v>
      </c>
      <c r="R244" s="156">
        <f t="shared" si="79"/>
        <v>0</v>
      </c>
      <c r="S244" s="156"/>
      <c r="T244" s="156">
        <f>IF(ISERROR(J244/$N$243),"NaN",J244/$N$243)</f>
        <v>0.2</v>
      </c>
      <c r="U244" s="156">
        <f>IF(ISERROR(K244/$N$243),"NaN",K244/$N$243)</f>
        <v>0</v>
      </c>
    </row>
    <row r="245" spans="4:21" x14ac:dyDescent="0.2">
      <c r="D245" s="157"/>
      <c r="E245" s="153" t="s">
        <v>351</v>
      </c>
      <c r="F245" s="9">
        <f>COUNTIF($CK$3:$CK$34,"POSITIVE")</f>
        <v>7</v>
      </c>
      <c r="G245" s="9">
        <f>COUNTIFS($CK$3:$CK$162,"POSITIVE",$J$3:$J$162,"m")</f>
        <v>3</v>
      </c>
      <c r="H245" s="9">
        <f>COUNTIFS($CK$3:$CK$162,"POSITIVE",$J$3:$J$162,"f")</f>
        <v>4</v>
      </c>
      <c r="J245" s="9">
        <f>COUNTIFS($CK$3:$CK$162,"POSITIVE",$O$3:$O$162,"medulloblastoma")</f>
        <v>6</v>
      </c>
      <c r="K245" s="9">
        <f>COUNTIFS($CK$3:$CK$162,"POSITIVE",$O$3:$O$162,"atrt")</f>
        <v>1</v>
      </c>
      <c r="M245" s="9">
        <f>COUNTIFS($CK$3:$CK$162,"control",$O$3:$O$162,"control")</f>
        <v>4</v>
      </c>
      <c r="N245" s="9">
        <f>F245+F246</f>
        <v>7</v>
      </c>
      <c r="O245" s="153"/>
      <c r="P245" s="156">
        <f t="shared" ref="P245:R246" si="80">IF(ISERROR(F245/$N$245),"NaN",F245/$N$245)</f>
        <v>1</v>
      </c>
      <c r="Q245" s="156">
        <f t="shared" si="80"/>
        <v>0.42857142857142855</v>
      </c>
      <c r="R245" s="156">
        <f t="shared" si="80"/>
        <v>0.5714285714285714</v>
      </c>
      <c r="S245" s="156"/>
      <c r="T245" s="156">
        <f>IF(ISERROR(J245/$N$245),"NaN",J245/$N$245)</f>
        <v>0.8571428571428571</v>
      </c>
      <c r="U245" s="156">
        <f>IF(ISERROR(K245/$N$245),"NaN",K245/$N$245)</f>
        <v>0.14285714285714285</v>
      </c>
    </row>
    <row r="246" spans="4:21" x14ac:dyDescent="0.2">
      <c r="D246" s="157"/>
      <c r="E246" s="153" t="s">
        <v>370</v>
      </c>
      <c r="F246" s="9">
        <f>COUNTIF($CK$3:$CK$34,"negative")</f>
        <v>0</v>
      </c>
      <c r="G246" s="9">
        <f>COUNTIFS($CK$3:$CK$162,"negative",$J$3:$J$162,"m")</f>
        <v>0</v>
      </c>
      <c r="H246" s="9">
        <f>COUNTIFS($CK$3:$CK$162,"negative",$J$3:$J$162,"f")</f>
        <v>0</v>
      </c>
      <c r="J246" s="9">
        <f>COUNTIFS($CK$3:$CK$162,"negative",$O$3:$O$162,"medulloblastoma")</f>
        <v>0</v>
      </c>
      <c r="K246" s="9">
        <f>COUNTIFS($CK$3:$CK$162,"negative",$O$3:$O$162,"atrt")</f>
        <v>0</v>
      </c>
      <c r="M246" s="9">
        <f>COUNTIFS($CK$3:$CK$162,"control",$O$3:$O$162,"control")</f>
        <v>4</v>
      </c>
      <c r="O246" s="153"/>
      <c r="P246" s="156">
        <f t="shared" si="80"/>
        <v>0</v>
      </c>
      <c r="Q246" s="156">
        <f t="shared" si="80"/>
        <v>0</v>
      </c>
      <c r="R246" s="156">
        <f t="shared" si="80"/>
        <v>0</v>
      </c>
      <c r="S246" s="156"/>
      <c r="T246" s="156">
        <f>IF(ISERROR(J246/$N$245),"NaN",J246/$N$245)</f>
        <v>0</v>
      </c>
      <c r="U246" s="156">
        <f>IF(ISERROR(K246/$N$245),"NaN",K246/$N$245)</f>
        <v>0</v>
      </c>
    </row>
    <row r="247" spans="4:21" x14ac:dyDescent="0.2">
      <c r="D247" s="157"/>
      <c r="E247" s="153" t="s">
        <v>352</v>
      </c>
      <c r="F247" s="9">
        <f>COUNTIF($CM$3:$CM$34,"POSITIVE")</f>
        <v>19</v>
      </c>
      <c r="G247" s="9">
        <f>COUNTIFS($CM$3:$CM$162,"POSITIVE",$J$3:$J$162,"m")</f>
        <v>9</v>
      </c>
      <c r="H247" s="9">
        <f>COUNTIFS($CM$3:$CM$162,"POSITIVE",$J$3:$J$162,"f")</f>
        <v>10</v>
      </c>
      <c r="J247" s="9">
        <f>COUNTIFS($CM$3:$CM$162,"POSITIVE",$O$3:$O$162,"medulloblastoma")</f>
        <v>15</v>
      </c>
      <c r="K247" s="9">
        <f>COUNTIFS($CM$3:$CM$162,"POSITIVE",$O$3:$O$162,"atrt")</f>
        <v>4</v>
      </c>
      <c r="M247" s="9">
        <f>COUNTIFS($CM$3:$CM$162,"control",$O$3:$O$162,"control")</f>
        <v>4</v>
      </c>
      <c r="N247" s="9">
        <f>F247+F248</f>
        <v>19</v>
      </c>
      <c r="O247" s="153"/>
      <c r="P247" s="156">
        <f t="shared" ref="P247:R248" si="81">IF(ISERROR(F247/$N$247),"NaN",F247/$N$247)</f>
        <v>1</v>
      </c>
      <c r="Q247" s="156">
        <f t="shared" si="81"/>
        <v>0.47368421052631576</v>
      </c>
      <c r="R247" s="156">
        <f t="shared" si="81"/>
        <v>0.52631578947368418</v>
      </c>
      <c r="S247" s="156"/>
      <c r="T247" s="156">
        <f>IF(ISERROR(J247/$N$247),"NaN",J247/$N$247)</f>
        <v>0.78947368421052633</v>
      </c>
      <c r="U247" s="156">
        <f>IF(ISERROR(K247/$N$247),"NaN",K247/$N$247)</f>
        <v>0.21052631578947367</v>
      </c>
    </row>
    <row r="248" spans="4:21" x14ac:dyDescent="0.2">
      <c r="D248" s="157"/>
      <c r="E248" s="153" t="s">
        <v>353</v>
      </c>
      <c r="F248" s="9">
        <f>COUNTIF($CM$3:$CM$34,"negative")</f>
        <v>0</v>
      </c>
      <c r="G248" s="9">
        <f>COUNTIFS($CM$3:$CM$162,"negative",$J$3:$J$162,"m")</f>
        <v>0</v>
      </c>
      <c r="H248" s="9">
        <f>COUNTIFS($CM$3:$CM$162,"negative",$J$3:$J$162,"f")</f>
        <v>0</v>
      </c>
      <c r="J248" s="9">
        <f>COUNTIFS($CM$3:$CM$162,"negative",$O$3:$O$162,"medulloblastoma")</f>
        <v>0</v>
      </c>
      <c r="K248" s="9">
        <f>COUNTIFS($CM$3:$CM$162,"negative",$O$3:$O$162,"atrt")</f>
        <v>0</v>
      </c>
      <c r="M248" s="9">
        <f>COUNTIFS($CM$3:$CM$162,"control",$O$3:$O$162,"control")</f>
        <v>4</v>
      </c>
      <c r="O248" s="153"/>
      <c r="P248" s="156">
        <f t="shared" si="81"/>
        <v>0</v>
      </c>
      <c r="Q248" s="156">
        <f t="shared" si="81"/>
        <v>0</v>
      </c>
      <c r="R248" s="156">
        <f t="shared" si="81"/>
        <v>0</v>
      </c>
      <c r="S248" s="156"/>
      <c r="T248" s="156">
        <f>IF(ISERROR(J248/$N$247),"NaN",J248/$N$247)</f>
        <v>0</v>
      </c>
      <c r="U248" s="156">
        <f>IF(ISERROR(K248/$N$247),"NaN",K248/$N$247)</f>
        <v>0</v>
      </c>
    </row>
    <row r="249" spans="4:21" x14ac:dyDescent="0.2">
      <c r="D249" s="157"/>
      <c r="E249" s="153" t="s">
        <v>354</v>
      </c>
      <c r="F249" s="9">
        <f>COUNTIF($CO$3:$CO$34,"POSITIVE")</f>
        <v>4</v>
      </c>
      <c r="G249" s="9">
        <f>COUNTIFS($CO$3:$CO$162,"POSITIVE",$J$3:$J$162,"m")</f>
        <v>2</v>
      </c>
      <c r="H249" s="9">
        <f>COUNTIFS($CO$3:$CO$162,"POSITIVE",$J$3:$J$162,"f")</f>
        <v>2</v>
      </c>
      <c r="J249" s="9">
        <f>COUNTIFS($CO$3:$CO$162,"POSITIVE",$O$3:$O$162,"medulloblastoma")</f>
        <v>1</v>
      </c>
      <c r="K249" s="9">
        <f>COUNTIFS($CO$3:$CO$162,"POSITIVE",$O$3:$O$162,"atrt")</f>
        <v>3</v>
      </c>
      <c r="M249" s="9">
        <f>COUNTIFS($CO$3:$CO$162,"control",$O$3:$O$162,"control")</f>
        <v>4</v>
      </c>
      <c r="N249" s="9">
        <f>F249+F250</f>
        <v>14</v>
      </c>
      <c r="O249" s="153"/>
      <c r="P249" s="156">
        <f t="shared" ref="P249:R250" si="82">IF(ISERROR(F249/$N$249),"NaN",F249/$N$249)</f>
        <v>0.2857142857142857</v>
      </c>
      <c r="Q249" s="156">
        <f t="shared" si="82"/>
        <v>0.14285714285714285</v>
      </c>
      <c r="R249" s="156">
        <f t="shared" si="82"/>
        <v>0.14285714285714285</v>
      </c>
      <c r="S249" s="156"/>
      <c r="T249" s="156">
        <f>IF(ISERROR(J249/$N$249),"NaN",J249/$N$249)</f>
        <v>7.1428571428571425E-2</v>
      </c>
      <c r="U249" s="156">
        <f>IF(ISERROR(K249/$N$249),"NaN",K249/$N$249)</f>
        <v>0.21428571428571427</v>
      </c>
    </row>
    <row r="250" spans="4:21" x14ac:dyDescent="0.2">
      <c r="D250" s="157"/>
      <c r="E250" s="153" t="s">
        <v>355</v>
      </c>
      <c r="F250" s="9">
        <f>COUNTIF($CO$3:$CO$34,"negative")</f>
        <v>10</v>
      </c>
      <c r="G250" s="9">
        <f>COUNTIFS($CO$3:$CO$162,"negative",$J$3:$J$162,"m")</f>
        <v>5</v>
      </c>
      <c r="H250" s="9">
        <f>COUNTIFS($CO$3:$CO$162,"negative",$J$3:$J$162,"f")</f>
        <v>5</v>
      </c>
      <c r="J250" s="9">
        <f>COUNTIFS($CO$3:$CO$162,"negative",$O$3:$O$162,"medulloblastoma")</f>
        <v>10</v>
      </c>
      <c r="K250" s="9">
        <f>COUNTIFS($CO$3:$CO$162,"negative",$O$3:$O$162,"atrt")</f>
        <v>0</v>
      </c>
      <c r="M250" s="9">
        <f>COUNTIFS($CO$3:$CO$162,"control",$O$3:$O$162,"control")</f>
        <v>4</v>
      </c>
      <c r="O250" s="153"/>
      <c r="P250" s="156">
        <f t="shared" si="82"/>
        <v>0.7142857142857143</v>
      </c>
      <c r="Q250" s="156">
        <f t="shared" si="82"/>
        <v>0.35714285714285715</v>
      </c>
      <c r="R250" s="156">
        <f t="shared" si="82"/>
        <v>0.35714285714285715</v>
      </c>
      <c r="S250" s="156"/>
      <c r="T250" s="156">
        <f>IF(ISERROR(J250/$N$249),"NaN",J250/$N$249)</f>
        <v>0.7142857142857143</v>
      </c>
      <c r="U250" s="156">
        <f>IF(ISERROR(K250/$N$249),"NaN",K250/$N$249)</f>
        <v>0</v>
      </c>
    </row>
    <row r="251" spans="4:21" x14ac:dyDescent="0.2">
      <c r="D251" s="157"/>
      <c r="E251" s="153" t="s">
        <v>356</v>
      </c>
      <c r="F251" s="9">
        <f>COUNTIF($CQ$3:$CQ$34,"POSITIVE")</f>
        <v>3</v>
      </c>
      <c r="G251" s="9">
        <f>COUNTIFS($CQ$3:$CQ$162,"POSITIVE",$J$3:$J$162,"m")</f>
        <v>1</v>
      </c>
      <c r="H251" s="9">
        <f>COUNTIFS($CQ$3:$CQ$162,"POSITIVE",$J$3:$J$162,"f")</f>
        <v>2</v>
      </c>
      <c r="J251" s="9">
        <f>COUNTIFS($CQ$3:$CQ$162,"POSITIVE",$O$3:$O$162,"medulloblastoma")</f>
        <v>0</v>
      </c>
      <c r="K251" s="9">
        <f>COUNTIFS($CQ$3:$CQ$162,"POSITIVE",$O$3:$O$162,"atrt")</f>
        <v>3</v>
      </c>
      <c r="M251" s="9">
        <f>COUNTIFS($CQ$3:$CQ$162,"control",$O$3:$O$162,"control")</f>
        <v>4</v>
      </c>
      <c r="N251" s="9">
        <f>F251+F252</f>
        <v>17</v>
      </c>
      <c r="O251" s="153"/>
      <c r="P251" s="156">
        <f t="shared" ref="P251:R252" si="83">IF(ISERROR(F251/$N$251),"NaN",F251/$N$251)</f>
        <v>0.17647058823529413</v>
      </c>
      <c r="Q251" s="156">
        <f t="shared" si="83"/>
        <v>5.8823529411764705E-2</v>
      </c>
      <c r="R251" s="156">
        <f t="shared" si="83"/>
        <v>0.11764705882352941</v>
      </c>
      <c r="S251" s="156"/>
      <c r="T251" s="156">
        <f>IF(ISERROR(J251/$N$251),"NaN",J251/$N$251)</f>
        <v>0</v>
      </c>
      <c r="U251" s="156">
        <f>IF(ISERROR(K251/$N$251),"NaN",K251/$N$251)</f>
        <v>0.17647058823529413</v>
      </c>
    </row>
    <row r="252" spans="4:21" x14ac:dyDescent="0.2">
      <c r="D252" s="157"/>
      <c r="E252" s="153" t="s">
        <v>357</v>
      </c>
      <c r="F252" s="9">
        <f>COUNTIF($CQ$3:$CQ$34,"negative")</f>
        <v>14</v>
      </c>
      <c r="G252" s="9">
        <f>COUNTIFS($CQ$3:$CQ$162,"negative",$J$3:$J$162,"m")</f>
        <v>8</v>
      </c>
      <c r="H252" s="9">
        <f>COUNTIFS($CQ$3:$CQ$162,"negative",$J$3:$J$162,"f")</f>
        <v>6</v>
      </c>
      <c r="J252" s="9">
        <f>COUNTIFS($CQ$3:$CQ$162,"negative",$O$3:$O$162,"medulloblastoma")</f>
        <v>14</v>
      </c>
      <c r="K252" s="9">
        <f>COUNTIFS($CQ$3:$CQ$162,"negative",$O$3:$O$162,"atrt")</f>
        <v>0</v>
      </c>
      <c r="M252" s="9">
        <f>COUNTIFS($CQ$3:$CQ$162,"control",$O$3:$O$162,"control")</f>
        <v>4</v>
      </c>
      <c r="O252" s="153"/>
      <c r="P252" s="156">
        <f t="shared" si="83"/>
        <v>0.82352941176470584</v>
      </c>
      <c r="Q252" s="156">
        <f t="shared" si="83"/>
        <v>0.47058823529411764</v>
      </c>
      <c r="R252" s="156">
        <f t="shared" si="83"/>
        <v>0.35294117647058826</v>
      </c>
      <c r="S252" s="156"/>
      <c r="T252" s="156">
        <f>IF(ISERROR(J252/$N$251),"NaN",J252/$N$251)</f>
        <v>0.82352941176470584</v>
      </c>
      <c r="U252" s="156">
        <f>IF(ISERROR(K252/$N$251),"NaN",K252/$N$251)</f>
        <v>0</v>
      </c>
    </row>
    <row r="253" spans="4:21" x14ac:dyDescent="0.2">
      <c r="D253" s="157"/>
      <c r="E253" s="153" t="s">
        <v>358</v>
      </c>
      <c r="F253" s="9">
        <f>COUNTIF($CS$3:$CS$34,"POSITIVE")</f>
        <v>0</v>
      </c>
      <c r="G253" s="9">
        <f>COUNTIFS($CS$3:$CS$162,"POSITIVE",$J$3:$J$162,"m")</f>
        <v>0</v>
      </c>
      <c r="H253" s="9">
        <f>COUNTIFS($CS$3:$CS$162,"POSITIVE",$J$3:$J$162,"f")</f>
        <v>0</v>
      </c>
      <c r="J253" s="9">
        <f>COUNTIFS($CS$3:$CS$162,"POSITIVE",$O$3:$O$162,"medulloblastoma")</f>
        <v>0</v>
      </c>
      <c r="K253" s="9">
        <f>COUNTIFS($CS$3:$CS$162,"POSITIVE",$O$3:$O$162,"atrt")</f>
        <v>0</v>
      </c>
      <c r="M253" s="9">
        <f>COUNTIFS($CS$3:$CS$162,"control",$O$3:$O$162,"control")</f>
        <v>4</v>
      </c>
      <c r="N253" s="9">
        <f>F253+F254</f>
        <v>0</v>
      </c>
      <c r="O253" s="153"/>
      <c r="P253" s="156" t="str">
        <f t="shared" ref="P253:R254" si="84">IF(ISERROR(F253/$N$253),"NaN",F253/$N$253)</f>
        <v>NaN</v>
      </c>
      <c r="Q253" s="156" t="str">
        <f t="shared" si="84"/>
        <v>NaN</v>
      </c>
      <c r="R253" s="156" t="str">
        <f t="shared" si="84"/>
        <v>NaN</v>
      </c>
      <c r="S253" s="156"/>
      <c r="T253" s="156" t="str">
        <f>IF(ISERROR(J253/$N$253),"NaN",J253/$N$253)</f>
        <v>NaN</v>
      </c>
      <c r="U253" s="156" t="str">
        <f>IF(ISERROR(K253/$N$253),"NaN",K253/$N$253)</f>
        <v>NaN</v>
      </c>
    </row>
    <row r="254" spans="4:21" x14ac:dyDescent="0.2">
      <c r="D254" s="157"/>
      <c r="E254" s="153" t="s">
        <v>359</v>
      </c>
      <c r="F254" s="9">
        <f>COUNTIF($CS$3:$CS$34,"negative")</f>
        <v>0</v>
      </c>
      <c r="G254" s="9">
        <f>COUNTIFS($CS$3:$CS$162,"negative",$J$3:$J$162,"m")</f>
        <v>0</v>
      </c>
      <c r="H254" s="9">
        <f>COUNTIFS($CS$3:$CS$162,"negative",$J$3:$J$162,"f")</f>
        <v>0</v>
      </c>
      <c r="J254" s="9">
        <f>COUNTIFS($CS$3:$CS$162,"negative",$O$3:$O$162,"medulloblastoma")</f>
        <v>0</v>
      </c>
      <c r="K254" s="9">
        <f>COUNTIFS($CS$3:$CS$162,"negative",$O$3:$O$162,"atrt")</f>
        <v>0</v>
      </c>
      <c r="M254" s="9">
        <f>COUNTIFS($CS$3:$CS$162,"control",$O$3:$O$162,"control")</f>
        <v>4</v>
      </c>
      <c r="O254" s="153"/>
      <c r="P254" s="156" t="str">
        <f t="shared" si="84"/>
        <v>NaN</v>
      </c>
      <c r="Q254" s="156" t="str">
        <f t="shared" si="84"/>
        <v>NaN</v>
      </c>
      <c r="R254" s="156" t="str">
        <f t="shared" si="84"/>
        <v>NaN</v>
      </c>
      <c r="S254" s="156"/>
      <c r="T254" s="156" t="str">
        <f>IF(ISERROR(J254/$N$253),"NaN",J254/$N$253)</f>
        <v>NaN</v>
      </c>
      <c r="U254" s="156" t="str">
        <f>IF(ISERROR(K254/$N$253),"NaN",K254/$N$253)</f>
        <v>NaN</v>
      </c>
    </row>
    <row r="255" spans="4:21" x14ac:dyDescent="0.2">
      <c r="D255" s="157"/>
      <c r="E255" s="153" t="s">
        <v>360</v>
      </c>
      <c r="F255" s="9">
        <f>COUNTIF($CU$3:$CU$34,"POSITIVE")</f>
        <v>4</v>
      </c>
      <c r="G255" s="9">
        <f>COUNTIFS($CU$3:$CU$162,"POSITIVE",$J$3:$J$162,"m")</f>
        <v>2</v>
      </c>
      <c r="H255" s="9">
        <f>COUNTIFS($CU$3:$CU$162,"POSITIVE",$J$3:$J$162,"f")</f>
        <v>2</v>
      </c>
      <c r="J255" s="9">
        <f>COUNTIFS($CU$3:$CU$162,"POSITIVE",$O$3:$O$162,"medulloblastoma")</f>
        <v>3</v>
      </c>
      <c r="K255" s="9">
        <f>COUNTIFS($CU$3:$CU$162,"POSITIVE",$O$3:$O$162,"atrt")</f>
        <v>1</v>
      </c>
      <c r="M255" s="9">
        <f>COUNTIFS($CU$3:$CU$162,"control",$O$3:$O$162,"control")</f>
        <v>4</v>
      </c>
      <c r="N255" s="9">
        <f>F255+F256</f>
        <v>4</v>
      </c>
      <c r="O255" s="153"/>
      <c r="P255" s="156">
        <f t="shared" ref="P255:R256" si="85">IF(ISERROR(F255/$N$255),"NaN",F255/$N$255)</f>
        <v>1</v>
      </c>
      <c r="Q255" s="156">
        <f t="shared" si="85"/>
        <v>0.5</v>
      </c>
      <c r="R255" s="156">
        <f t="shared" si="85"/>
        <v>0.5</v>
      </c>
      <c r="S255" s="156"/>
      <c r="T255" s="156">
        <f>IF(ISERROR(J255/$N$255),"NaN",J255/$N$255)</f>
        <v>0.75</v>
      </c>
      <c r="U255" s="156">
        <f>IF(ISERROR(K255/$N$255),"NaN",K255/$N$255)</f>
        <v>0.25</v>
      </c>
    </row>
    <row r="256" spans="4:21" x14ac:dyDescent="0.2">
      <c r="D256" s="157"/>
      <c r="E256" s="153" t="s">
        <v>361</v>
      </c>
      <c r="F256" s="9">
        <f>COUNTIF($CU$3:$CU$34,"negative")</f>
        <v>0</v>
      </c>
      <c r="G256" s="9">
        <f>COUNTIFS($CU$3:$CU$162,"negative",$J$3:$J$162,"m")</f>
        <v>0</v>
      </c>
      <c r="H256" s="9">
        <f>COUNTIFS($CU$3:$CU$162,"negative",$J$3:$J$162,"f")</f>
        <v>0</v>
      </c>
      <c r="J256" s="9">
        <f>COUNTIFS($CU$3:$CU$162,"negative",$O$3:$O$162,"medulloblastoma")</f>
        <v>0</v>
      </c>
      <c r="K256" s="9">
        <f>COUNTIFS($CU$3:$CU$162,"negative",$O$3:$O$162,"atrt")</f>
        <v>0</v>
      </c>
      <c r="M256" s="9">
        <f>COUNTIFS($CU$3:$CU$162,"control",$O$3:$O$162,"control")</f>
        <v>4</v>
      </c>
      <c r="O256" s="153"/>
      <c r="P256" s="156">
        <f t="shared" si="85"/>
        <v>0</v>
      </c>
      <c r="Q256" s="156">
        <f t="shared" si="85"/>
        <v>0</v>
      </c>
      <c r="R256" s="156">
        <f t="shared" si="85"/>
        <v>0</v>
      </c>
      <c r="S256" s="156"/>
      <c r="T256" s="156">
        <f>IF(ISERROR(J256/$N$255),"NaN",J256/$N$255)</f>
        <v>0</v>
      </c>
      <c r="U256" s="156">
        <f>IF(ISERROR(K256/$N$255),"NaN",K256/$N$255)</f>
        <v>0</v>
      </c>
    </row>
    <row r="257" spans="4:21" x14ac:dyDescent="0.2">
      <c r="D257" s="157"/>
      <c r="E257" s="153" t="s">
        <v>362</v>
      </c>
      <c r="F257" s="9">
        <f>COUNTIF($CW$3:$CW$34,"POSITIVE")</f>
        <v>2</v>
      </c>
      <c r="G257" s="9">
        <f>COUNTIFS($CW$3:$CW$162,"POSITIVE",$J$3:$J$162,"m")</f>
        <v>1</v>
      </c>
      <c r="H257" s="9">
        <f>COUNTIFS($CW$3:$CW$162,"POSITIVE",$J$3:$J$162,"f")</f>
        <v>1</v>
      </c>
      <c r="J257" s="9">
        <f>COUNTIFS($CW$3:$CW$162,"POSITIVE",$O$3:$O$162,"medulloblastoma")</f>
        <v>0</v>
      </c>
      <c r="K257" s="9">
        <f>COUNTIFS($CW$3:$CW$162,"POSITIVE",$O$3:$O$162,"atrt")</f>
        <v>2</v>
      </c>
      <c r="M257" s="9">
        <f>COUNTIFS($CW$3:$CW$162,"control",$O$3:$O$162,"control")</f>
        <v>4</v>
      </c>
      <c r="N257" s="9">
        <f>F257+F258</f>
        <v>3</v>
      </c>
      <c r="O257" s="153"/>
      <c r="P257" s="156">
        <f t="shared" ref="P257:R258" si="86">IF(ISERROR(F257/$N$257),"NaN",F257/$N$257)</f>
        <v>0.66666666666666663</v>
      </c>
      <c r="Q257" s="156">
        <f t="shared" si="86"/>
        <v>0.33333333333333331</v>
      </c>
      <c r="R257" s="156">
        <f t="shared" si="86"/>
        <v>0.33333333333333331</v>
      </c>
      <c r="S257" s="156"/>
      <c r="T257" s="156">
        <f>IF(ISERROR(J257/$N$257),"NaN",J257/$N$257)</f>
        <v>0</v>
      </c>
      <c r="U257" s="156">
        <f>IF(ISERROR(K257/$N$257),"NaN",K257/$N$257)</f>
        <v>0.66666666666666663</v>
      </c>
    </row>
    <row r="258" spans="4:21" x14ac:dyDescent="0.2">
      <c r="D258" s="157"/>
      <c r="E258" s="153" t="s">
        <v>363</v>
      </c>
      <c r="F258" s="9">
        <f>COUNTIF($CW$3:$CW$34,"negative")</f>
        <v>1</v>
      </c>
      <c r="G258" s="9">
        <f>COUNTIFS($CW$3:$CW$162,"negative",$J$3:$J$162,"m")</f>
        <v>0</v>
      </c>
      <c r="H258" s="9">
        <f>COUNTIFS($CW$3:$CW$162,"negative",$J$3:$J$162,"f")</f>
        <v>1</v>
      </c>
      <c r="J258" s="9">
        <f>COUNTIFS($CW$3:$CW$162,"negative",$O$3:$O$162,"medulloblastoma")</f>
        <v>0</v>
      </c>
      <c r="K258" s="9">
        <f>COUNTIFS($CW$3:$CW$162,"negative",$O$3:$O$162,"atrt")</f>
        <v>1</v>
      </c>
      <c r="M258" s="9">
        <f>COUNTIFS($CW$3:$CW$162,"control",$O$3:$O$162,"control")</f>
        <v>4</v>
      </c>
      <c r="O258" s="153"/>
      <c r="P258" s="156">
        <f t="shared" si="86"/>
        <v>0.33333333333333331</v>
      </c>
      <c r="Q258" s="156">
        <f t="shared" si="86"/>
        <v>0</v>
      </c>
      <c r="R258" s="156">
        <f t="shared" si="86"/>
        <v>0.33333333333333331</v>
      </c>
      <c r="S258" s="156"/>
      <c r="T258" s="156">
        <f>IF(ISERROR(J258/$N$257),"NaN",J258/$N$257)</f>
        <v>0</v>
      </c>
      <c r="U258" s="156">
        <f>IF(ISERROR(K258/$N$257),"NaN",K258/$N$257)</f>
        <v>0.33333333333333331</v>
      </c>
    </row>
    <row r="259" spans="4:21" x14ac:dyDescent="0.2">
      <c r="D259" s="157"/>
      <c r="E259" s="153" t="s">
        <v>364</v>
      </c>
      <c r="F259" s="9">
        <f>COUNTIF($CY$3:$CY$34,"POSITIVE")</f>
        <v>3</v>
      </c>
      <c r="G259" s="9">
        <f>COUNTIFS($CY$3:$CY$162,"POSITIVE",$J$3:$J$162,"m")</f>
        <v>1</v>
      </c>
      <c r="H259" s="9">
        <f>COUNTIFS($CY$3:$CY$162,"POSITIVE",$J$3:$J$162,"f")</f>
        <v>2</v>
      </c>
      <c r="J259" s="9">
        <f>COUNTIFS($CY$3:$CY$162,"POSITIVE",$O$3:$O$162,"medulloblastoma")</f>
        <v>0</v>
      </c>
      <c r="K259" s="9">
        <f>COUNTIFS($CY$3:$CY$162,"POSITIVE",$O$3:$O$162,"atrt")</f>
        <v>3</v>
      </c>
      <c r="M259" s="9">
        <f>COUNTIFS($CY$3:$CY$162,"control",$O$3:$O$162,"control")</f>
        <v>4</v>
      </c>
      <c r="N259" s="9">
        <f>F259+F260</f>
        <v>4</v>
      </c>
      <c r="O259" s="153"/>
      <c r="P259" s="156">
        <f t="shared" ref="P259:R260" si="87">IF(ISERROR(F259/$N$259),"NaN",F259/$N$259)</f>
        <v>0.75</v>
      </c>
      <c r="Q259" s="156">
        <f t="shared" si="87"/>
        <v>0.25</v>
      </c>
      <c r="R259" s="156">
        <f t="shared" si="87"/>
        <v>0.5</v>
      </c>
      <c r="S259" s="156"/>
      <c r="T259" s="156">
        <f>IF(ISERROR(J259/$N$259),"NaN",J259/$N$259)</f>
        <v>0</v>
      </c>
      <c r="U259" s="156">
        <f>IF(ISERROR(K259/$N$259),"NaN",K259/$N$259)</f>
        <v>0.75</v>
      </c>
    </row>
    <row r="260" spans="4:21" x14ac:dyDescent="0.2">
      <c r="D260" s="157"/>
      <c r="E260" s="153" t="s">
        <v>365</v>
      </c>
      <c r="F260" s="9">
        <f>COUNTIF($CY$3:$CY$34,"negative")</f>
        <v>1</v>
      </c>
      <c r="G260" s="9">
        <f>COUNTIFS($CY$3:$CY$162,"negative",$J$3:$J$162,"m")</f>
        <v>1</v>
      </c>
      <c r="H260" s="9">
        <f>COUNTIFS($CY$3:$CY$162,"negative",$J$3:$J$162,"f")</f>
        <v>0</v>
      </c>
      <c r="J260" s="9">
        <f>COUNTIFS($CY$3:$CY$162,"negative",$O$3:$O$162,"medulloblastoma")</f>
        <v>1</v>
      </c>
      <c r="K260" s="9">
        <f>COUNTIFS($CY$3:$CY$162,"negative",$O$3:$O$162,"atrt")</f>
        <v>0</v>
      </c>
      <c r="M260" s="9">
        <f>COUNTIFS($CY$3:$CY$162,"control",$O$3:$O$162,"control")</f>
        <v>4</v>
      </c>
      <c r="O260" s="153"/>
      <c r="P260" s="156">
        <f t="shared" si="87"/>
        <v>0.25</v>
      </c>
      <c r="Q260" s="156">
        <f t="shared" si="87"/>
        <v>0.25</v>
      </c>
      <c r="R260" s="156">
        <f t="shared" si="87"/>
        <v>0</v>
      </c>
      <c r="S260" s="156"/>
      <c r="T260" s="156">
        <f>IF(ISERROR(J260/$N$259),"NaN",J260/$N$259)</f>
        <v>0.25</v>
      </c>
      <c r="U260" s="156">
        <f>IF(ISERROR(K260/$N$259),"NaN",K260/$N$259)</f>
        <v>0</v>
      </c>
    </row>
    <row r="261" spans="4:21" x14ac:dyDescent="0.2">
      <c r="D261" s="157"/>
      <c r="E261" s="153" t="s">
        <v>366</v>
      </c>
      <c r="F261" s="9">
        <f>COUNTIF($DA$3:$DA$34,"POSITIVE")</f>
        <v>1</v>
      </c>
      <c r="G261" s="9">
        <f>COUNTIFS($DA$3:$DA$162,"POSITIVE",$J$3:$J$162,"m")</f>
        <v>1</v>
      </c>
      <c r="H261" s="9">
        <f>COUNTIFS($DA$3:$DA$162,"POSITIVE",$J$3:$J$162,"f")</f>
        <v>0</v>
      </c>
      <c r="J261" s="9">
        <f>COUNTIFS($DA$3:$DA$162,"POSITIVE",$O$3:$O$162,"medulloblastoma")</f>
        <v>1</v>
      </c>
      <c r="K261" s="9">
        <f>COUNTIFS($DA$3:$DA$162,"POSITIVE",$O$3:$O$162,"atrt")</f>
        <v>0</v>
      </c>
      <c r="M261" s="9">
        <f>COUNTIFS($DA$3:$DA$162,"control",$O$3:$O$162,"control")</f>
        <v>4</v>
      </c>
      <c r="N261" s="9">
        <f>F261+F262</f>
        <v>5</v>
      </c>
      <c r="O261" s="153"/>
      <c r="P261" s="156">
        <f t="shared" ref="P261:R262" si="88">IF(ISERROR(F261/$N$261),"NaN",F261/$N$261)</f>
        <v>0.2</v>
      </c>
      <c r="Q261" s="156">
        <f t="shared" si="88"/>
        <v>0.2</v>
      </c>
      <c r="R261" s="156">
        <f t="shared" si="88"/>
        <v>0</v>
      </c>
      <c r="S261" s="156"/>
      <c r="T261" s="156">
        <f>IF(ISERROR(J261/$N$261),"NaN",J261/$N$261)</f>
        <v>0.2</v>
      </c>
      <c r="U261" s="156">
        <f>IF(ISERROR(K261/$N$261),"NaN",K261/$N$261)</f>
        <v>0</v>
      </c>
    </row>
    <row r="262" spans="4:21" x14ac:dyDescent="0.2">
      <c r="D262" s="157"/>
      <c r="E262" s="153" t="s">
        <v>367</v>
      </c>
      <c r="F262" s="9">
        <f>COUNTIF($DA$3:$DA$34,"negative")</f>
        <v>4</v>
      </c>
      <c r="G262" s="9">
        <f>COUNTIFS($DA$3:$DA$162,"negative",$J$3:$J$162,"m")</f>
        <v>2</v>
      </c>
      <c r="H262" s="9">
        <f>COUNTIFS($DA$3:$DA$162,"negative",$J$3:$J$162,"f")</f>
        <v>2</v>
      </c>
      <c r="J262" s="9">
        <f>COUNTIFS($DA$3:$DA$162,"negative",$O$3:$O$162,"medulloblastoma")</f>
        <v>1</v>
      </c>
      <c r="K262" s="9">
        <f>COUNTIFS($DA$3:$DA$162,"negative",$O$3:$O$162,"atrt")</f>
        <v>3</v>
      </c>
      <c r="M262" s="9">
        <f>COUNTIFS($DA$3:$DA$162,"control",$O$3:$O$162,"control")</f>
        <v>4</v>
      </c>
      <c r="O262" s="153"/>
      <c r="P262" s="156">
        <f t="shared" si="88"/>
        <v>0.8</v>
      </c>
      <c r="Q262" s="156">
        <f t="shared" si="88"/>
        <v>0.4</v>
      </c>
      <c r="R262" s="156">
        <f t="shared" si="88"/>
        <v>0.4</v>
      </c>
      <c r="S262" s="156"/>
      <c r="T262" s="156">
        <f>IF(ISERROR(J262/$N$261),"NaN",J262/$N$261)</f>
        <v>0.2</v>
      </c>
      <c r="U262" s="156">
        <f>IF(ISERROR(K262/$N$261),"NaN",K262/$N$261)</f>
        <v>0.6</v>
      </c>
    </row>
    <row r="263" spans="4:21" x14ac:dyDescent="0.2">
      <c r="D263" s="157"/>
      <c r="E263" s="153" t="s">
        <v>368</v>
      </c>
      <c r="F263" s="9">
        <f>COUNTIF($DC$3:$DC$34,"POSITIVE")</f>
        <v>0</v>
      </c>
      <c r="G263" s="9">
        <f>COUNTIFS($DC$3:$DC$162,"POSITIVE",$J$3:$J$162,"m")</f>
        <v>0</v>
      </c>
      <c r="H263" s="9">
        <f>COUNTIFS($DC$3:$DC$162,"POSITIVE",$J$3:$J$162,"f")</f>
        <v>0</v>
      </c>
      <c r="J263" s="9">
        <f>COUNTIFS($DC$3:$DC$162,"POSITIVE",$O$3:$O$162,"medulloblastoma")</f>
        <v>0</v>
      </c>
      <c r="K263" s="9">
        <f>COUNTIFS($DC$3:$DC$162,"POSITIVE",$O$3:$O$162,"atrt")</f>
        <v>0</v>
      </c>
      <c r="M263" s="9">
        <f>COUNTIFS($DC$3:$DC$162,"control",$O$3:$O$162,"control")</f>
        <v>4</v>
      </c>
      <c r="N263" s="9">
        <f>F263+F264</f>
        <v>1</v>
      </c>
      <c r="O263" s="153"/>
      <c r="P263" s="156">
        <f t="shared" ref="P263:R264" si="89">IF(ISERROR(F263/$N$263),"NaN",F263/$N$263)</f>
        <v>0</v>
      </c>
      <c r="Q263" s="156">
        <f t="shared" si="89"/>
        <v>0</v>
      </c>
      <c r="R263" s="156">
        <f t="shared" si="89"/>
        <v>0</v>
      </c>
      <c r="S263" s="156"/>
      <c r="T263" s="156">
        <f>IF(ISERROR(J263/$N$263),"NaN",J263/$N$263)</f>
        <v>0</v>
      </c>
      <c r="U263" s="156">
        <f>IF(ISERROR(K263/$N$263),"NaN",K263/$N$263)</f>
        <v>0</v>
      </c>
    </row>
    <row r="264" spans="4:21" x14ac:dyDescent="0.2">
      <c r="D264" s="157"/>
      <c r="E264" s="153" t="s">
        <v>369</v>
      </c>
      <c r="F264" s="9">
        <f>COUNTIF($DC$3:$DC$34,"negative")</f>
        <v>1</v>
      </c>
      <c r="G264" s="9">
        <f>COUNTIFS($DC$3:$DC$162,"negative",$J$3:$J$162,"m")</f>
        <v>1</v>
      </c>
      <c r="H264" s="9">
        <f>COUNTIFS($DC$3:$DC$162,"negative",$J$3:$J$162,"f")</f>
        <v>0</v>
      </c>
      <c r="J264" s="9">
        <f>COUNTIFS($DC$3:$DC$162,"negative",$O$3:$O$162,"medulloblastoma")</f>
        <v>1</v>
      </c>
      <c r="K264" s="9">
        <f>COUNTIFS($DC$3:$DC$162,"negative",$O$3:$O$162,"atrt")</f>
        <v>0</v>
      </c>
      <c r="M264" s="9">
        <f>COUNTIFS($DC$3:$DC$162,"control",$O$3:$O$162,"control")</f>
        <v>4</v>
      </c>
      <c r="O264" s="153"/>
      <c r="P264" s="156">
        <f t="shared" si="89"/>
        <v>1</v>
      </c>
      <c r="Q264" s="156">
        <f t="shared" si="89"/>
        <v>1</v>
      </c>
      <c r="R264" s="156">
        <f t="shared" si="89"/>
        <v>0</v>
      </c>
      <c r="S264" s="156"/>
      <c r="T264" s="156">
        <f>IF(ISERROR(J264/$N$263),"NaN",J264/$N$263)</f>
        <v>1</v>
      </c>
      <c r="U264" s="156">
        <f>IF(ISERROR(K264/$N$263),"NaN",K264/$N$263)</f>
        <v>0</v>
      </c>
    </row>
    <row r="266" spans="4:21" x14ac:dyDescent="0.2">
      <c r="L266" s="5"/>
      <c r="M266" s="5"/>
      <c r="N266" s="5"/>
    </row>
    <row r="267" spans="4:21" x14ac:dyDescent="0.2">
      <c r="L267" s="156"/>
      <c r="M267" s="156"/>
    </row>
    <row r="268" spans="4:21" x14ac:dyDescent="0.2">
      <c r="L268" s="156"/>
      <c r="M268" s="156"/>
    </row>
    <row r="269" spans="4:21" x14ac:dyDescent="0.2">
      <c r="L269" s="156"/>
      <c r="M269" s="156"/>
    </row>
    <row r="270" spans="4:21" x14ac:dyDescent="0.2">
      <c r="L270" s="156"/>
      <c r="M270" s="156"/>
    </row>
    <row r="271" spans="4:21" x14ac:dyDescent="0.2">
      <c r="L271" s="156"/>
      <c r="M271" s="156"/>
    </row>
    <row r="272" spans="4:21" x14ac:dyDescent="0.2">
      <c r="L272" s="156"/>
      <c r="M272" s="156"/>
    </row>
    <row r="273" spans="12:13" x14ac:dyDescent="0.2">
      <c r="L273" s="156"/>
      <c r="M273" s="156"/>
    </row>
    <row r="274" spans="12:13" x14ac:dyDescent="0.2">
      <c r="L274" s="156"/>
      <c r="M274" s="156"/>
    </row>
    <row r="275" spans="12:13" x14ac:dyDescent="0.2">
      <c r="L275" s="156"/>
      <c r="M275" s="156"/>
    </row>
    <row r="276" spans="12:13" x14ac:dyDescent="0.2">
      <c r="L276" s="156"/>
      <c r="M276" s="156"/>
    </row>
    <row r="277" spans="12:13" x14ac:dyDescent="0.2">
      <c r="L277" s="156"/>
      <c r="M277" s="156"/>
    </row>
    <row r="278" spans="12:13" x14ac:dyDescent="0.2">
      <c r="L278" s="156"/>
      <c r="M278" s="156"/>
    </row>
    <row r="279" spans="12:13" x14ac:dyDescent="0.2">
      <c r="L279" s="156"/>
      <c r="M279" s="156"/>
    </row>
    <row r="280" spans="12:13" x14ac:dyDescent="0.2">
      <c r="L280" s="156"/>
      <c r="M280" s="156"/>
    </row>
    <row r="281" spans="12:13" x14ac:dyDescent="0.2">
      <c r="L281" s="156"/>
      <c r="M281" s="156"/>
    </row>
    <row r="282" spans="12:13" x14ac:dyDescent="0.2">
      <c r="L282" s="156"/>
      <c r="M282" s="156"/>
    </row>
    <row r="283" spans="12:13" x14ac:dyDescent="0.2">
      <c r="L283" s="156"/>
      <c r="M283" s="156"/>
    </row>
    <row r="284" spans="12:13" x14ac:dyDescent="0.2">
      <c r="L284" s="156"/>
      <c r="M284" s="156"/>
    </row>
    <row r="285" spans="12:13" x14ac:dyDescent="0.2">
      <c r="L285" s="156"/>
      <c r="M285" s="156"/>
    </row>
    <row r="286" spans="12:13" x14ac:dyDescent="0.2">
      <c r="L286" s="156"/>
      <c r="M286" s="156"/>
    </row>
    <row r="287" spans="12:13" x14ac:dyDescent="0.2">
      <c r="L287" s="156"/>
      <c r="M287" s="156"/>
    </row>
    <row r="288" spans="12:13" x14ac:dyDescent="0.2">
      <c r="L288" s="156"/>
      <c r="M288" s="156"/>
    </row>
    <row r="289" spans="12:13" x14ac:dyDescent="0.2">
      <c r="L289" s="156"/>
      <c r="M289" s="156"/>
    </row>
    <row r="290" spans="12:13" x14ac:dyDescent="0.2">
      <c r="L290" s="156"/>
      <c r="M290" s="156"/>
    </row>
    <row r="291" spans="12:13" x14ac:dyDescent="0.2">
      <c r="L291" s="156"/>
      <c r="M291" s="156"/>
    </row>
    <row r="292" spans="12:13" x14ac:dyDescent="0.2">
      <c r="L292" s="156"/>
      <c r="M292" s="156"/>
    </row>
    <row r="293" spans="12:13" x14ac:dyDescent="0.2">
      <c r="L293" s="156"/>
      <c r="M293" s="156"/>
    </row>
    <row r="294" spans="12:13" x14ac:dyDescent="0.2">
      <c r="L294" s="156"/>
      <c r="M294" s="156"/>
    </row>
    <row r="295" spans="12:13" x14ac:dyDescent="0.2">
      <c r="L295" s="156"/>
      <c r="M295" s="156"/>
    </row>
    <row r="296" spans="12:13" x14ac:dyDescent="0.2">
      <c r="L296" s="156"/>
      <c r="M296" s="156"/>
    </row>
    <row r="297" spans="12:13" x14ac:dyDescent="0.2">
      <c r="L297" s="156"/>
      <c r="M297" s="156"/>
    </row>
    <row r="298" spans="12:13" x14ac:dyDescent="0.2">
      <c r="L298" s="156"/>
      <c r="M298" s="156"/>
    </row>
    <row r="299" spans="12:13" x14ac:dyDescent="0.2">
      <c r="L299" s="156"/>
      <c r="M299" s="156"/>
    </row>
    <row r="300" spans="12:13" x14ac:dyDescent="0.2">
      <c r="L300" s="156"/>
      <c r="M300" s="156"/>
    </row>
    <row r="301" spans="12:13" x14ac:dyDescent="0.2">
      <c r="L301" s="156"/>
      <c r="M301" s="156"/>
    </row>
    <row r="302" spans="12:13" x14ac:dyDescent="0.2">
      <c r="L302" s="156"/>
      <c r="M302" s="156"/>
    </row>
  </sheetData>
  <mergeCells count="7">
    <mergeCell ref="D197:D225"/>
    <mergeCell ref="D166:D194"/>
    <mergeCell ref="BU1:CR1"/>
    <mergeCell ref="A3:A34"/>
    <mergeCell ref="A35:A50"/>
    <mergeCell ref="A51:A62"/>
    <mergeCell ref="A63:A162"/>
  </mergeCells>
  <phoneticPr fontId="1" type="noConversion"/>
  <pageMargins left="0.75" right="0.75" top="1" bottom="1" header="0.5" footer="0.5"/>
  <pageSetup scale="12" fitToHeight="0" orientation="landscape" verticalDpi="1200" r:id="rId1"/>
  <headerFooter alignWithMargins="0"/>
  <ignoredErrors>
    <ignoredError sqref="G173 T167 T168:T179 F230" 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Clinical Data</vt:lpstr>
    </vt:vector>
  </TitlesOfParts>
  <Company>Univeristy  of Athens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</dc:creator>
  <cp:lastModifiedBy>ATROPOS_02</cp:lastModifiedBy>
  <cp:lastPrinted>2013-09-12T10:19:12Z</cp:lastPrinted>
  <dcterms:created xsi:type="dcterms:W3CDTF">2012-11-21T18:28:28Z</dcterms:created>
  <dcterms:modified xsi:type="dcterms:W3CDTF">2014-12-07T23:30:00Z</dcterms:modified>
</cp:coreProperties>
</file>